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ytsaban/Documents/Colman AFM/2024 A/"/>
    </mc:Choice>
  </mc:AlternateContent>
  <xr:revisionPtr revIDLastSave="0" documentId="13_ncr:1_{8F8A832B-D1DB-3C48-A2A1-6BE67D13D2EE}" xr6:coauthVersionLast="47" xr6:coauthVersionMax="47" xr10:uidLastSave="{00000000-0000-0000-0000-000000000000}"/>
  <bookViews>
    <workbookView xWindow="0" yWindow="500" windowWidth="51200" windowHeight="29580" activeTab="3" xr2:uid="{00000000-000D-0000-FFFF-FFFF00000000}"/>
  </bookViews>
  <sheets>
    <sheet name="הנחיות" sheetId="1" r:id="rId1"/>
    <sheet name="שאלה 1" sheetId="2" r:id="rId2"/>
    <sheet name="שאלה 2" sheetId="3" r:id="rId3"/>
    <sheet name="שאלה 3" sheetId="4" r:id="rId4"/>
    <sheet name="שאלה 4" sheetId="5" r:id="rId5"/>
    <sheet name="שאלה 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1" i="4" l="1"/>
  <c r="D85" i="4"/>
  <c r="F85" i="4" s="1"/>
  <c r="D86" i="4"/>
  <c r="F86" i="4" s="1"/>
  <c r="D87" i="4"/>
  <c r="F87" i="4" s="1"/>
  <c r="D88" i="4"/>
  <c r="D84" i="4"/>
  <c r="F84" i="4" s="1"/>
  <c r="C57" i="4"/>
  <c r="C61" i="4" s="1"/>
  <c r="C63" i="4"/>
  <c r="C40" i="4"/>
  <c r="C44" i="4" s="1"/>
  <c r="F141" i="3"/>
  <c r="F140" i="3"/>
  <c r="F139" i="3"/>
  <c r="F143" i="3" s="1"/>
  <c r="F137" i="3"/>
  <c r="H113" i="3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12" i="3"/>
  <c r="D114" i="3" s="1"/>
  <c r="F114" i="3" s="1"/>
  <c r="D112" i="3"/>
  <c r="F112" i="3" s="1"/>
  <c r="H86" i="3"/>
  <c r="D87" i="3" s="1"/>
  <c r="F87" i="3" s="1"/>
  <c r="F81" i="3"/>
  <c r="F76" i="3"/>
  <c r="H63" i="3"/>
  <c r="D64" i="3" s="1"/>
  <c r="F28" i="3"/>
  <c r="E43" i="2"/>
  <c r="H28" i="3"/>
  <c r="D29" i="3" s="1"/>
  <c r="F98" i="2"/>
  <c r="F95" i="2"/>
  <c r="F94" i="2"/>
  <c r="F92" i="2"/>
  <c r="F91" i="2"/>
  <c r="F82" i="2"/>
  <c r="H82" i="2"/>
  <c r="D83" i="2"/>
  <c r="D82" i="2"/>
  <c r="H81" i="2"/>
  <c r="E86" i="2" s="1"/>
  <c r="E87" i="2" s="1"/>
  <c r="E88" i="2" s="1"/>
  <c r="E89" i="2" s="1"/>
  <c r="F57" i="2"/>
  <c r="E66" i="2"/>
  <c r="E67" i="2" s="1"/>
  <c r="E68" i="2" s="1"/>
  <c r="E69" i="2" s="1"/>
  <c r="H58" i="2"/>
  <c r="D59" i="2" s="1"/>
  <c r="H25" i="2"/>
  <c r="C26" i="2"/>
  <c r="D58" i="2" s="1"/>
  <c r="F58" i="2" s="1"/>
  <c r="C24" i="2"/>
  <c r="E44" i="2" s="1"/>
  <c r="E45" i="2" s="1"/>
  <c r="E46" i="2" s="1"/>
  <c r="C65" i="4" l="1"/>
  <c r="E96" i="4"/>
  <c r="E98" i="4" s="1"/>
  <c r="E100" i="4" s="1"/>
  <c r="H87" i="3"/>
  <c r="H88" i="3" s="1"/>
  <c r="H89" i="3" s="1"/>
  <c r="D89" i="3"/>
  <c r="F89" i="3" s="1"/>
  <c r="D88" i="3"/>
  <c r="F88" i="3" s="1"/>
  <c r="H64" i="3"/>
  <c r="H65" i="3" s="1"/>
  <c r="H66" i="3" s="1"/>
  <c r="H67" i="3" s="1"/>
  <c r="H68" i="3" s="1"/>
  <c r="H69" i="3" s="1"/>
  <c r="H70" i="3" s="1"/>
  <c r="F64" i="3"/>
  <c r="D65" i="3"/>
  <c r="H29" i="3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F29" i="3"/>
  <c r="H59" i="2"/>
  <c r="H60" i="2" s="1"/>
  <c r="H61" i="2" s="1"/>
  <c r="H62" i="2" s="1"/>
  <c r="H63" i="2" s="1"/>
  <c r="H64" i="2" s="1"/>
  <c r="H65" i="2" s="1"/>
  <c r="H66" i="2"/>
  <c r="H67" i="2" s="1"/>
  <c r="H68" i="2" s="1"/>
  <c r="H69" i="2" s="1"/>
  <c r="H30" i="2"/>
  <c r="H31" i="2" s="1"/>
  <c r="D32" i="2" s="1"/>
  <c r="F32" i="2" s="1"/>
  <c r="H32" i="2"/>
  <c r="E88" i="4" l="1"/>
  <c r="F88" i="4" s="1"/>
  <c r="F91" i="4" s="1"/>
  <c r="F92" i="4" s="1"/>
  <c r="E102" i="4"/>
  <c r="D116" i="3"/>
  <c r="F116" i="3" s="1"/>
  <c r="H90" i="3"/>
  <c r="D90" i="3"/>
  <c r="F90" i="3" s="1"/>
  <c r="F65" i="3"/>
  <c r="D31" i="3"/>
  <c r="F83" i="2"/>
  <c r="H83" i="2"/>
  <c r="D84" i="2" s="1"/>
  <c r="D31" i="2"/>
  <c r="F31" i="2" s="1"/>
  <c r="D33" i="2"/>
  <c r="F33" i="2" s="1"/>
  <c r="H33" i="2"/>
  <c r="D118" i="3" l="1"/>
  <c r="F118" i="3" s="1"/>
  <c r="H91" i="3"/>
  <c r="D91" i="3"/>
  <c r="F91" i="3" s="1"/>
  <c r="D66" i="3"/>
  <c r="F66" i="3" s="1"/>
  <c r="D33" i="3"/>
  <c r="F31" i="3"/>
  <c r="H84" i="2"/>
  <c r="D85" i="2" s="1"/>
  <c r="F84" i="2"/>
  <c r="D34" i="2"/>
  <c r="F34" i="2" s="1"/>
  <c r="H34" i="2"/>
  <c r="D120" i="3" l="1"/>
  <c r="F120" i="3" s="1"/>
  <c r="D92" i="3"/>
  <c r="F92" i="3" s="1"/>
  <c r="H92" i="3"/>
  <c r="D67" i="3"/>
  <c r="F67" i="3" s="1"/>
  <c r="D35" i="3"/>
  <c r="H85" i="2"/>
  <c r="D86" i="2" s="1"/>
  <c r="F85" i="2"/>
  <c r="D35" i="2"/>
  <c r="F35" i="2" s="1"/>
  <c r="H35" i="2"/>
  <c r="D122" i="3" l="1"/>
  <c r="F122" i="3" s="1"/>
  <c r="H93" i="3"/>
  <c r="D93" i="3"/>
  <c r="F93" i="3" s="1"/>
  <c r="D68" i="3"/>
  <c r="F68" i="3" s="1"/>
  <c r="D37" i="3"/>
  <c r="F37" i="3" s="1"/>
  <c r="F33" i="3"/>
  <c r="H86" i="2"/>
  <c r="D87" i="2" s="1"/>
  <c r="F86" i="2"/>
  <c r="D36" i="2"/>
  <c r="F36" i="2" s="1"/>
  <c r="H36" i="2"/>
  <c r="D124" i="3" l="1"/>
  <c r="F124" i="3" s="1"/>
  <c r="E94" i="3"/>
  <c r="D94" i="3"/>
  <c r="D69" i="3"/>
  <c r="F69" i="3" s="1"/>
  <c r="D39" i="3"/>
  <c r="F39" i="3" s="1"/>
  <c r="H87" i="2"/>
  <c r="D88" i="2" s="1"/>
  <c r="F87" i="2"/>
  <c r="D60" i="2"/>
  <c r="F59" i="2"/>
  <c r="D37" i="2"/>
  <c r="F37" i="2" s="1"/>
  <c r="H37" i="2"/>
  <c r="D126" i="3" l="1"/>
  <c r="F126" i="3" s="1"/>
  <c r="H94" i="3"/>
  <c r="D70" i="3"/>
  <c r="F70" i="3" s="1"/>
  <c r="D41" i="3"/>
  <c r="F41" i="3" s="1"/>
  <c r="F35" i="3"/>
  <c r="H88" i="2"/>
  <c r="D89" i="2" s="1"/>
  <c r="F88" i="2"/>
  <c r="D61" i="2"/>
  <c r="F60" i="2"/>
  <c r="D38" i="2"/>
  <c r="F38" i="2" s="1"/>
  <c r="H38" i="2"/>
  <c r="D128" i="3" l="1"/>
  <c r="F128" i="3" s="1"/>
  <c r="D71" i="3"/>
  <c r="E71" i="3"/>
  <c r="D43" i="3"/>
  <c r="F43" i="3" s="1"/>
  <c r="H89" i="2"/>
  <c r="F89" i="2"/>
  <c r="D62" i="2"/>
  <c r="F61" i="2"/>
  <c r="D39" i="2"/>
  <c r="F39" i="2" s="1"/>
  <c r="H39" i="2"/>
  <c r="E130" i="3" l="1"/>
  <c r="D130" i="3"/>
  <c r="E72" i="3"/>
  <c r="E73" i="3" s="1"/>
  <c r="H71" i="3"/>
  <c r="F71" i="3"/>
  <c r="D45" i="3"/>
  <c r="F45" i="3" s="1"/>
  <c r="F62" i="2"/>
  <c r="D63" i="2"/>
  <c r="H40" i="2"/>
  <c r="D40" i="2"/>
  <c r="F40" i="2" s="1"/>
  <c r="E132" i="3" l="1"/>
  <c r="E134" i="3" s="1"/>
  <c r="H130" i="3"/>
  <c r="H131" i="3" s="1"/>
  <c r="H132" i="3" s="1"/>
  <c r="H133" i="3" s="1"/>
  <c r="H134" i="3" s="1"/>
  <c r="F130" i="3"/>
  <c r="D132" i="3"/>
  <c r="F132" i="3" s="1"/>
  <c r="H72" i="3"/>
  <c r="H73" i="3" s="1"/>
  <c r="D72" i="3"/>
  <c r="F72" i="3" s="1"/>
  <c r="E47" i="3"/>
  <c r="D47" i="3"/>
  <c r="F47" i="3" s="1"/>
  <c r="D64" i="2"/>
  <c r="F63" i="2"/>
  <c r="D41" i="2"/>
  <c r="F41" i="2" s="1"/>
  <c r="H41" i="2"/>
  <c r="D134" i="3" l="1"/>
  <c r="F134" i="3" s="1"/>
  <c r="D73" i="3"/>
  <c r="F73" i="3" s="1"/>
  <c r="F77" i="3" s="1"/>
  <c r="F86" i="3" s="1"/>
  <c r="E49" i="3"/>
  <c r="E51" i="3" s="1"/>
  <c r="H47" i="3"/>
  <c r="H48" i="3" s="1"/>
  <c r="H49" i="3" s="1"/>
  <c r="H50" i="3" s="1"/>
  <c r="H51" i="3" s="1"/>
  <c r="F64" i="2"/>
  <c r="D65" i="2"/>
  <c r="D42" i="2"/>
  <c r="F42" i="2" s="1"/>
  <c r="H42" i="2"/>
  <c r="F82" i="3" l="1"/>
  <c r="F94" i="3" s="1"/>
  <c r="F101" i="3" s="1"/>
  <c r="F102" i="3" s="1"/>
  <c r="D49" i="3"/>
  <c r="F49" i="3" s="1"/>
  <c r="D51" i="3"/>
  <c r="F51" i="3" s="1"/>
  <c r="D66" i="2"/>
  <c r="F65" i="2"/>
  <c r="D43" i="2"/>
  <c r="F43" i="2" s="1"/>
  <c r="H43" i="2"/>
  <c r="F53" i="3" l="1"/>
  <c r="F54" i="3" s="1"/>
  <c r="F66" i="2"/>
  <c r="D67" i="2"/>
  <c r="D44" i="2"/>
  <c r="F44" i="2" s="1"/>
  <c r="H44" i="2"/>
  <c r="F67" i="2" l="1"/>
  <c r="D68" i="2"/>
  <c r="H45" i="2"/>
  <c r="D45" i="2"/>
  <c r="F45" i="2" s="1"/>
  <c r="F68" i="2" l="1"/>
  <c r="D69" i="2"/>
  <c r="H46" i="2"/>
  <c r="D46" i="2"/>
  <c r="F46" i="2" s="1"/>
  <c r="F48" i="2" s="1"/>
  <c r="F69" i="2" l="1"/>
  <c r="F71" i="2" s="1"/>
  <c r="F72" i="2" s="1"/>
</calcChain>
</file>

<file path=xl/sharedStrings.xml><?xml version="1.0" encoding="utf-8"?>
<sst xmlns="http://schemas.openxmlformats.org/spreadsheetml/2006/main" count="288" uniqueCount="196">
  <si>
    <t>מר תמיר זוילי, MA</t>
  </si>
  <si>
    <t>גב׳ מורן חלמיש עידן, MA</t>
  </si>
  <si>
    <t>רו״ח שי צבאן, MBA</t>
  </si>
  <si>
    <t>בחינת הגמר בקורס: מימון מתקדם</t>
  </si>
  <si>
    <t>סמסטר 2024א, מועד א</t>
  </si>
  <si>
    <t>מועד הבחינה: יום ב׳,  26/2/2024, 9:00-11:30</t>
  </si>
  <si>
    <t>סגל הקורס:</t>
  </si>
  <si>
    <t>אינג׳ יואב זיו, M.SC</t>
  </si>
  <si>
    <t>בבחינה זו שני חלקים:</t>
  </si>
  <si>
    <t xml:space="preserve">משקל כל שאלה בחלק זה זהה, והוא 30 נק׳. </t>
  </si>
  <si>
    <t>במידה והנכם חשים כי חסרים לכם / לכן נתונים, הניחו הנחה פרשנית רלוונטית</t>
  </si>
  <si>
    <t>להתייחסות הבודק.</t>
  </si>
  <si>
    <t xml:space="preserve">בחלק זה 3 שאלות פתוחות. יש להשיב על כולן. </t>
  </si>
  <si>
    <t>חלק ב - שאלות רב-ברירה, במשקל 10 נק׳</t>
  </si>
  <si>
    <t>חלק א - שאלות פתוחות, במשקל 90 נק׳</t>
  </si>
  <si>
    <t>בחלק זה 2 שאלות רב-ברירה - אמריקאיות.</t>
  </si>
  <si>
    <t>יש לציין באופן בולט את התשובה הנכונה.</t>
  </si>
  <si>
    <t>בחלק זה לא ייבדק הנימוק.</t>
  </si>
  <si>
    <t>מבנה הבחינה:</t>
  </si>
  <si>
    <t>הנחיות נוספות:</t>
  </si>
  <si>
    <t xml:space="preserve">משך הבחינה הוא שעתיים וחצי (150 דקות). </t>
  </si>
  <si>
    <t>חומר עזר מותר: כל חומר עזר כתוב (ידנית / מודפס) מותר בשימוש.</t>
  </si>
  <si>
    <t xml:space="preserve">כמו כן, מותר בשימוש מחשבון מדעי ו/או פיננסי (אם כי חובה לפרט את כלל הדרך החישובית באקסל). </t>
  </si>
  <si>
    <t xml:space="preserve">במהלך הבחינה, יש לשאול שאלות הקשורות להבנת הנקרא בלבד. </t>
  </si>
  <si>
    <t>ב ה צ ל ח ה ! ! !</t>
  </si>
  <si>
    <t>שאלה 1 - 30 נק׳</t>
  </si>
  <si>
    <t>חברת ״מורן, חלמיש ועידן״ בע״מ הנפיקה ב-1.1.2020 אגרות חוב.</t>
  </si>
  <si>
    <t xml:space="preserve">בסך הכל הונפקו בעסקה, לפי התשקיף, 200,000 אגרות חוב אשר הערך הנקוב של כל אחת מהן הוא 4 ש״ח. </t>
  </si>
  <si>
    <t xml:space="preserve">האג״ח איננה צמודה למדד (שקלית). </t>
  </si>
  <si>
    <t>נדרש:</t>
  </si>
  <si>
    <t xml:space="preserve">א. חשבו את השווי הכולל של כלל האג״ח ליום 1.1.2021 בהנחה שידוע שלמועד זה שיעור התשואה לפדיון באג״ח </t>
  </si>
  <si>
    <t xml:space="preserve">     במונחים שנתיים הוא  6.1363551%.</t>
  </si>
  <si>
    <t xml:space="preserve">    שנתיים, בהנחות אלו?</t>
  </si>
  <si>
    <t>שאלה 2 - 30 נק׳</t>
  </si>
  <si>
    <t>חברת ״הדיילת התאילנדית״ הנפיקה 200,000 יח׳ אג״ח שהערך הנקוב של כל אחת מהן 3 ש״ח. השווי הכולל של כל</t>
  </si>
  <si>
    <t xml:space="preserve">אגרות החוב הנ״ל ל-1.1.2022 הנו 621,000 ש״ח. </t>
  </si>
  <si>
    <t>שקרן האג״ח צפויה להפרע ב-3 תשלומים חצי שנתיים שווים, שיבוצעו ב-30.9.2026, 31.3.2027 ו-30.9.2027 בהתאמה.</t>
  </si>
  <si>
    <t xml:space="preserve">האג״ח איננה צמודה, ומשלמת ריבית נקובה בשיעור שנתי של 6% פעמיים בשנה, ב-31.3 וב-30.9 של כל שנה, כאשר ידוע </t>
  </si>
  <si>
    <t>ג. הניחו לטובת המענה על נדרש זה כי אגרת החוב צמודה למדד.</t>
  </si>
  <si>
    <t>א. מהו שיעור התשואה השנתי לפדיון באג״ח, נכון ל-1.1.2022?</t>
  </si>
  <si>
    <t xml:space="preserve">ב. משקיע רכש את האג״ח ב-1.3.2023 ובאותו מועד שיעור התשואה השנתי לפדיון באג״ח היה 4.04%. </t>
  </si>
  <si>
    <t xml:space="preserve">     מהי התשואה השנתית האפקטיבית של המשקיע (ה-IRR של תזרימי המשקיע) אם ידוע שהוא רכש 18,000 יחידות </t>
  </si>
  <si>
    <t xml:space="preserve">    של אגרות חוב ושיעור התשואה לפדיון במועד המכירה היה 3% לשנה?</t>
  </si>
  <si>
    <t>שאלה 3 - 30 נק׳</t>
  </si>
  <si>
    <t>להלן מספר שאלות הקשורות למניותיה של חברה זו:</t>
  </si>
  <si>
    <t xml:space="preserve">א. הניחו שמחיר מניית החברה ליום 1.1.2022 הוא 842.11 ש״ח, וכי שיעור התשואה הנדרש על ידי בעלי המניות </t>
  </si>
  <si>
    <t xml:space="preserve">    היא לחלק 80% מרווחיה כדיבידנד?</t>
  </si>
  <si>
    <t xml:space="preserve">    השתנה ל-20%. החברה צופה כי בתום השנה הקרובה הרווח למניה יעמוד על 280 ש״ח.</t>
  </si>
  <si>
    <t xml:space="preserve">     החברה מחלקת 75% מרווחיה כדיבידנד, ותשלום הדיבידנד הקרוב הוא ב-31.12.2023. </t>
  </si>
  <si>
    <t xml:space="preserve">    בנתונים אלו, חשבו את שיעור הצמיחה המגולם במחיר המניה ואת הערך הנוכחי של הזדמנויות </t>
  </si>
  <si>
    <t xml:space="preserve">     הצמיחה בחברה (PVGO) למועד זה. לצורך חישוב ה - PVGO יש להניח שבהיעדר צמיחה הרווח למניה יישאר </t>
  </si>
  <si>
    <t xml:space="preserve">      בסך של 280 ש״ח למניה, לנצח. </t>
  </si>
  <si>
    <t>ג.  הניחו כעת כי נכון ל-1.7.2024 צופה החברה כי הרווח למניה הצפוי בתום כל אחת מהשנים הקרובות הוא כדלקמן:</t>
  </si>
  <si>
    <t>מועד</t>
  </si>
  <si>
    <t>רווח למניה לשנת הדיווח שהסתיימה במועד זה</t>
  </si>
  <si>
    <t xml:space="preserve">    ידוע כי החברה צופה כי תחלק 70% מרווחיה כדיבידנד. </t>
  </si>
  <si>
    <t xml:space="preserve">     כמו כן, הריבית חסרת הסיכון 5%, תוחלת תשואת תיק השוק 12% והביטא של מניית החברה 1.4.</t>
  </si>
  <si>
    <t xml:space="preserve">     חשבו את מחיר המניה ל-1.7.2024, בהנחה ששיעור הצמיחה השנתי מסוף 2024 לסוף 2028 הוא מייצג לטובת </t>
  </si>
  <si>
    <t>שאלה 4 - 5 נק׳</t>
  </si>
  <si>
    <t>סמנו את הטענה הנכונה:</t>
  </si>
  <si>
    <t xml:space="preserve">א. כדי לקבוע כדאיות פרויקט, תמיד נהוון (נחשב NPV) את תזרימי הפרויקט כאשר ה - rate הוא מחיר ההון העצמי. </t>
  </si>
  <si>
    <t>ב. ככל שמחיר ההון העצמי בחברה גבוה יותר, המשמעות היא שהיא רווחית יותר.</t>
  </si>
  <si>
    <t>ג. גם מחיר ההון העצמי בחברה וגם מחיר ההון הזר / הריבית על החוב, מזכים את החברה במגן מס / זיכוי מס, שכן</t>
  </si>
  <si>
    <t xml:space="preserve">    בשני ההקשרים מדובר בעלויות מימון של החברה.</t>
  </si>
  <si>
    <t>ה. כל יתר הטענות שגויות.</t>
  </si>
  <si>
    <t>שאלה 5 - 5 נק׳</t>
  </si>
  <si>
    <t>ד. אם חברה שוקלת ביצוע פרויקט שהוא בתחום פעילות שונה לחלוטין מזה שבו היא עוסקת, עליה להעריך את כדאיות</t>
  </si>
  <si>
    <t>ג. עלייה משמעותית בריבית חסרת הסיכון צפויה להגדיל את מחיר ההון העצמי בחברה אך לא את מחיר ההון הכולל.</t>
  </si>
  <si>
    <t>ד. מחיר ההון של החברה WACC הוא מחיר ההון שבו נהוון את תזרימי הדיבידנד הצפויים ממניה כדי לקבוע את מחירה.</t>
  </si>
  <si>
    <t>ב. עלייה מהותית ברמת הסיכון של החברה צפויה להתבטא בעלייה במחיר ההון הכולל שלה (WACC).</t>
  </si>
  <si>
    <t xml:space="preserve">      ידוע שערך המדד הידוע במועד הנפקת האג״ח היה 102 נקודות.</t>
  </si>
  <si>
    <t>ג.  משקיע רכש 30,000 יחידות של אגרות חוב ב-1.1.2023. שיעור התשואה השנתי לפדיון של האג״ח למועד זה הנו 3.2386052%.</t>
  </si>
  <si>
    <t>פתרון שאלה 1</t>
  </si>
  <si>
    <t>תזרימי האג״ח:</t>
  </si>
  <si>
    <t>תאריך התמחיר</t>
  </si>
  <si>
    <t>תאריך</t>
  </si>
  <si>
    <t>קופון</t>
  </si>
  <si>
    <t>ע״ח ע״נ</t>
  </si>
  <si>
    <t>סך התשלום</t>
  </si>
  <si>
    <t>יתרה (עזר)</t>
  </si>
  <si>
    <t>סך הערך הנקוב:</t>
  </si>
  <si>
    <t>ריבית נקובה שנתית:</t>
  </si>
  <si>
    <t>ריבית רבעונית לתשלום:</t>
  </si>
  <si>
    <t>האג״ח משלמת ריבית שנתית נקובה בשיעור 4% בתדירות רבעונית.</t>
  </si>
  <si>
    <t>קרן האג״ח תפרע ב-4 תשלומים רבעוניים שווים בשנת האג״ח האחרונה שהיא 2024,</t>
  </si>
  <si>
    <t>כך שתשלום הקרן האחרון הוא ב-31.12.2024.</t>
  </si>
  <si>
    <t>שיעור תשואה לפדיון במונחים שנתיים:</t>
  </si>
  <si>
    <t>שיעור תשואה לפדיון במונחים רבעוניים:</t>
  </si>
  <si>
    <t>שווי האג״ח - תשובה סופית לנדרש א:</t>
  </si>
  <si>
    <t xml:space="preserve">NPV = </t>
  </si>
  <si>
    <t>נבנה לוח תזרימים ליחידת אג״ח אחת - שכזכור ערכה הנקוב 4 ש״ח.</t>
  </si>
  <si>
    <t xml:space="preserve">IRR = </t>
  </si>
  <si>
    <t>ב. הניחו כעת כי ידוע שליום 1.1.2022 מחיר יחידת אג״ח בודדת הוא 3.68 ש״ח. מהו שיעור התשואה לפדיון במונחים</t>
  </si>
  <si>
    <t xml:space="preserve">ג.  משקיע רכש 30,000 יחידות של אגרות חוב ב-1.1.2023. שיעור התשואה השנתי לפדיון של האג״ח למועד </t>
  </si>
  <si>
    <t xml:space="preserve">    זה הנו 3.2386052%. המשקיע החזיק באג״ח במשך שנה אחת, ומכר אותה ב-1.1.2024. באותו המועד, </t>
  </si>
  <si>
    <t xml:space="preserve">    המשקיע החזיק באג״ח במשך שנה אחת, ומכר אותה ב-1.1.2024. באותו המועד, שיעור התשואה השנתי לפדיון של האג״ח</t>
  </si>
  <si>
    <t xml:space="preserve">    הנו 5.7187014%. בנתונים אלו, מהי התשואה לתקופת ההחזקה (HPR) של המשקיע, במונחים שנתיים.</t>
  </si>
  <si>
    <t xml:space="preserve">    שיעור התשואה השנתי לפדיון של האג״ח הנו 5.7187014%. </t>
  </si>
  <si>
    <t xml:space="preserve">    בנתונים אלו, מהי התשואה לתקופת ההחזקה (HPR) במונחים שנתיים, עבור המשקיע?</t>
  </si>
  <si>
    <t>תאריך התמחיר ה-1</t>
  </si>
  <si>
    <t>תאריך התמחיר ה-2</t>
  </si>
  <si>
    <t>בהתאם, שווי אג״ח ל-1/1/2023:</t>
  </si>
  <si>
    <t>שווי אג״ח ל-1/1/2024:</t>
  </si>
  <si>
    <t>חישוב HPR (הואיל ותקופת ההחזקה שנה, אין צורך לתאם את התוצאה לשנה):</t>
  </si>
  <si>
    <t>פתרון שאלה 5:</t>
  </si>
  <si>
    <t>טענה א</t>
  </si>
  <si>
    <t>שגויה. כדאיות תתקיים כאשר IRR גבוה ממחיר ההון הכולל.</t>
  </si>
  <si>
    <t xml:space="preserve">א. כדי שפרויקט בתחום פעילות החברה יהיה כדאי על פי כלל השת״פ (IRR), נדרוש שהשת״פ יהיה גבוה ממחיר ההון העצמי. </t>
  </si>
  <si>
    <t>טענה ב</t>
  </si>
  <si>
    <t>נכונה. עלייה ברמת הסיכון תוביל לעלייה בביטא, במחיר ההון העצמי ובהתאם במחיר ההון הכולל.</t>
  </si>
  <si>
    <t>טענה ג</t>
  </si>
  <si>
    <t>שגויה. לאור העלייה במחיר ההון העצמי גם מחיר ההון הכולל יגדל (מחיר ההון העצמי הוא חלק ממנו).</t>
  </si>
  <si>
    <t>טענה ד</t>
  </si>
  <si>
    <t>שגויה. את תזרימי הדיבידנד נהוון במחיר ההון העצמי ולא במחיר ההון הכולל.</t>
  </si>
  <si>
    <t>התשובה:</t>
  </si>
  <si>
    <t>ב.</t>
  </si>
  <si>
    <t>הסברים:</t>
  </si>
  <si>
    <t>פתרון שאלה 4:</t>
  </si>
  <si>
    <t>שגויה. כדאיות פרויקט מחושבת על בסיס היוון תזרימי פרויקט במחיר ההון הכולל הרלוונטי.</t>
  </si>
  <si>
    <t>שגויה. מחיר הון עצמי גבוה יותר משקף סיכון גבוה יותר / ריבית חסרת סיכון גבוהה יותר / תשואת</t>
  </si>
  <si>
    <t>שוק גבוהה יותר. נתונים אלו אינם בהכרח קשורים לרווחיות של החברה עצמה.</t>
  </si>
  <si>
    <t>שגויה. רק רכיב המימון בהון זר (התחייבויות נושאות ריבית) מוביל ליצירת הוצאות מימון המזכות</t>
  </si>
  <si>
    <t>במגן מס.</t>
  </si>
  <si>
    <t xml:space="preserve">     הפרויקט על בסיס שימוש במחיר הון (rate) המתואם לסיכון בפרויקט ולא על בסיס מחיר ההון הכללי שלה כחברה. </t>
  </si>
  <si>
    <t>נכונה. צריכה להתקיים התאמה בין מחיר ההון המשמש להיוון הפרויקט לרמת הסיכון המגולמת בו,</t>
  </si>
  <si>
    <t xml:space="preserve">ואם רמת הסיכון שונה לחלוטין - מחיר ההון להיוון צריך להשתנות בהתאם. </t>
  </si>
  <si>
    <t>ד</t>
  </si>
  <si>
    <t>פתרון שאלה 2</t>
  </si>
  <si>
    <t>חברת ״מבורגלים״ בע״מ מממנת את עצמה בהון עצמי בלבד, על ידי הנפקת מניות.</t>
  </si>
  <si>
    <t>שימו לב! מרחק הזמן בין התזרים הראשון ליתר התזרימים שונה ממרחק הזמן בין כל 2 תזרימים עוקבים, ומשום כך,</t>
  </si>
  <si>
    <t xml:space="preserve">חייבים להתגבר על כך באמצעות ״שורות פיקטיביות״ שיובילו למרווחים של רבעון בין שורות. </t>
  </si>
  <si>
    <t>המרה למונחים שנתיים - תשובה סופית:</t>
  </si>
  <si>
    <t>שיעור תשואה לפדיון במונחים שנתיים</t>
  </si>
  <si>
    <t>שיעור תשואה לפדיון במונחים חצי שנתיים</t>
  </si>
  <si>
    <t>היוון התזרימים ב - NPV</t>
  </si>
  <si>
    <t>?</t>
  </si>
  <si>
    <t>תחילה, חישוב המחיר ברכישה:</t>
  </si>
  <si>
    <t>שווי עדכני למועד זה - תמורת מכירה</t>
  </si>
  <si>
    <t>וכעת נציב את התזרימים ונחשב IRR:</t>
  </si>
  <si>
    <t xml:space="preserve">ב. משקיע רכש את האג״ח ב-1.1.2023 ובאותו מועד שיעור התשואה השנתי לפדיון באג״ח היה 4.04%. </t>
  </si>
  <si>
    <t xml:space="preserve">    הוא מכר את האג״ח ב-1.10.2026.</t>
  </si>
  <si>
    <t>כעת, חישוב תמורת המכירה ב-1/10/2026:</t>
  </si>
  <si>
    <t xml:space="preserve">שימו לב: הערך הכספי ב-30/9/2026 כולל גם את התזרים מטבלת התזרימים וגם את </t>
  </si>
  <si>
    <t>התקבול במכירה, שאמנם מתבצע ב-1/10/2026, אך אין משמעות בהיוונים כהנחתנו</t>
  </si>
  <si>
    <t>להפרש של יום אחד (ובכל מקרה, הצגת התזרים בשורה נפרדת משמעה מרווח</t>
  </si>
  <si>
    <t xml:space="preserve">של חצי שנה קרי טעות חמורה הרבה יותר). </t>
  </si>
  <si>
    <t>נחשב IRR ונקבל תשואה חצי שנתית:</t>
  </si>
  <si>
    <t>מנין 56,420??? ובכן&gt;&gt;&gt;&gt;&gt;&gt;</t>
  </si>
  <si>
    <t>נמיר למונחים שנתיים ונקבל תשובה סופית:</t>
  </si>
  <si>
    <t>שווי אג״ח ריאלי:</t>
  </si>
  <si>
    <t>שווי אג״ח נומינלי נתון:</t>
  </si>
  <si>
    <t>היסק בדבר עליית מדד:</t>
  </si>
  <si>
    <t>מדד מקורי</t>
  </si>
  <si>
    <t>מדד עדכני</t>
  </si>
  <si>
    <t xml:space="preserve">       כמו כן ידוע כי שיעור התשואה השנתי לפדיון ל-1.1.2022 במונחים ריאליים הנו 8.25% ומחירה הנומינלי (כולל הצמדה) </t>
  </si>
  <si>
    <t xml:space="preserve">      של יחידת אג"ח בת 3 ש״ח ערך נקוב, הוא 2.9808  ש״ח במועד זה. בנתונים אלו, מהו ערך המדד בתאריך 1.1.2022?</t>
  </si>
  <si>
    <t>פתרון שאלה 3</t>
  </si>
  <si>
    <t>מחיר המניה:</t>
  </si>
  <si>
    <t xml:space="preserve">Ps = </t>
  </si>
  <si>
    <t>שיעור תשואה נדרש:</t>
  </si>
  <si>
    <t xml:space="preserve">r = </t>
  </si>
  <si>
    <t xml:space="preserve">    הוא 10% לשנה. כמו כן, הרווח למניה צפוי להיות בשנה הבאה בסכום של 80 ש״ח. החברה מחלקת דיבידנד שנתי</t>
  </si>
  <si>
    <t xml:space="preserve">    בסוף כל שנה. מהו שיעור הצמיחה השנתי המגולם בציפיות המשקיעים ליום 1.1.2022, אם מדיניות החברה</t>
  </si>
  <si>
    <t xml:space="preserve">EPS = </t>
  </si>
  <si>
    <t>רווח למניה בשנה הבאה:</t>
  </si>
  <si>
    <t>שיעור החלוקה בשנה הבאה:</t>
  </si>
  <si>
    <t>דיבידנד בשנה הבאה:</t>
  </si>
  <si>
    <t xml:space="preserve">Div = </t>
  </si>
  <si>
    <t>שיעור צמיחה מגולם במחיר:</t>
  </si>
  <si>
    <t>בקרה:</t>
  </si>
  <si>
    <t>מחולץ מפתרון משוואה בדבר תמחור המניה ללא התאמות.</t>
  </si>
  <si>
    <t>מחיר המניה</t>
  </si>
  <si>
    <t>תשואה נדרשת ע״י הבעלים</t>
  </si>
  <si>
    <t>רווח למניה בעוד שנה</t>
  </si>
  <si>
    <t>שיעור החלוקה בשנה הבאה</t>
  </si>
  <si>
    <t>דיבידנד צפוי בשנה הבאה</t>
  </si>
  <si>
    <t>Div =</t>
  </si>
  <si>
    <t>שווי מניה ללא צמיחה:</t>
  </si>
  <si>
    <t xml:space="preserve">Ps (No Growth) = </t>
  </si>
  <si>
    <t xml:space="preserve">ב. הניחו כעת כי ב-1.1.2023 מחיר המניה הוא 1,680 ש״ח, ושיעור התשואה הנדרש על ידי בעלי המניות </t>
  </si>
  <si>
    <t xml:space="preserve">Ps (Growth) = </t>
  </si>
  <si>
    <t>ערך ה - PVGO:</t>
  </si>
  <si>
    <t>EPS</t>
  </si>
  <si>
    <t>DIV</t>
  </si>
  <si>
    <t xml:space="preserve">     שיעור הצמיחה העתידי לאחר 2028 (החברה תמשיך ותחלק דיבידנדים לנצח בסוף כל שנה, גם לאחר 2028).</t>
  </si>
  <si>
    <t>ואילך...</t>
  </si>
  <si>
    <t>שיעור צמיחה כולל מסוף 2024 לסוף 2028:</t>
  </si>
  <si>
    <t>שיעור צמיחה במונחים שנתיים:</t>
  </si>
  <si>
    <t>ערך נצחי</t>
  </si>
  <si>
    <t>סה״כ להיוון</t>
  </si>
  <si>
    <t>דיבידנד לשנת 2029:</t>
  </si>
  <si>
    <t>מחיר ההון על בסיס CAPM להיוון:</t>
  </si>
  <si>
    <t>ערך נצחי מ-2029 ואילך מתואם לסוף 2028:</t>
  </si>
  <si>
    <t>שווי המניה ליום 1.1.2024:</t>
  </si>
  <si>
    <t>תיאום ל-1.7.2024 - תשובה סופית:</t>
  </si>
  <si>
    <t>הסברים נוספים: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</si>
</sst>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000000%"/>
    <numFmt numFmtId="166" formatCode="0.0%"/>
    <numFmt numFmtId="167" formatCode="#,##0.0000_);\(#,##0.0000\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David"/>
    </font>
    <font>
      <b/>
      <sz val="12"/>
      <color theme="1"/>
      <name val="David"/>
    </font>
    <font>
      <b/>
      <u/>
      <sz val="12"/>
      <color theme="1"/>
      <name val="David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164" fontId="1" fillId="0" borderId="0" xfId="0" applyNumberFormat="1" applyFont="1"/>
    <xf numFmtId="14" fontId="1" fillId="0" borderId="0" xfId="0" applyNumberFormat="1" applyFont="1"/>
    <xf numFmtId="9" fontId="1" fillId="0" borderId="0" xfId="0" applyNumberFormat="1" applyFont="1"/>
    <xf numFmtId="10" fontId="1" fillId="0" borderId="0" xfId="0" applyNumberFormat="1" applyFont="1"/>
    <xf numFmtId="10" fontId="1" fillId="0" borderId="0" xfId="1" applyNumberFormat="1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37" fontId="1" fillId="0" borderId="0" xfId="0" applyNumberFormat="1" applyFont="1"/>
    <xf numFmtId="0" fontId="1" fillId="0" borderId="0" xfId="0" applyFont="1" applyAlignment="1">
      <alignment horizontal="right" readingOrder="2"/>
    </xf>
    <xf numFmtId="165" fontId="1" fillId="0" borderId="0" xfId="0" applyNumberFormat="1" applyFont="1"/>
    <xf numFmtId="166" fontId="1" fillId="0" borderId="0" xfId="0" applyNumberFormat="1" applyFont="1"/>
    <xf numFmtId="37" fontId="1" fillId="2" borderId="0" xfId="0" applyNumberFormat="1" applyFont="1" applyFill="1"/>
    <xf numFmtId="39" fontId="1" fillId="0" borderId="0" xfId="0" applyNumberFormat="1" applyFont="1"/>
    <xf numFmtId="164" fontId="1" fillId="0" borderId="0" xfId="1" applyNumberFormat="1" applyFont="1" applyFill="1"/>
    <xf numFmtId="164" fontId="1" fillId="2" borderId="1" xfId="1" applyNumberFormat="1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 applyAlignment="1">
      <alignment horizontal="right" readingOrder="2"/>
    </xf>
    <xf numFmtId="10" fontId="1" fillId="2" borderId="1" xfId="1" applyNumberFormat="1" applyFont="1" applyFill="1" applyBorder="1"/>
    <xf numFmtId="166" fontId="1" fillId="0" borderId="0" xfId="1" applyNumberFormat="1" applyFont="1" applyFill="1"/>
    <xf numFmtId="166" fontId="1" fillId="0" borderId="0" xfId="1" applyNumberFormat="1" applyFont="1" applyFill="1" applyBorder="1"/>
    <xf numFmtId="38" fontId="1" fillId="0" borderId="0" xfId="0" applyNumberFormat="1" applyFont="1"/>
    <xf numFmtId="164" fontId="1" fillId="0" borderId="0" xfId="1" applyNumberFormat="1" applyFont="1"/>
    <xf numFmtId="0" fontId="2" fillId="2" borderId="10" xfId="0" applyFont="1" applyFill="1" applyBorder="1"/>
    <xf numFmtId="0" fontId="2" fillId="2" borderId="11" xfId="0" applyFont="1" applyFill="1" applyBorder="1"/>
    <xf numFmtId="0" fontId="1" fillId="0" borderId="10" xfId="0" applyFont="1" applyBorder="1"/>
    <xf numFmtId="0" fontId="1" fillId="0" borderId="12" xfId="0" applyFont="1" applyBorder="1"/>
    <xf numFmtId="0" fontId="1" fillId="0" borderId="11" xfId="0" applyFont="1" applyBorder="1"/>
    <xf numFmtId="3" fontId="1" fillId="0" borderId="0" xfId="0" applyNumberFormat="1" applyFont="1"/>
    <xf numFmtId="9" fontId="1" fillId="0" borderId="0" xfId="1" applyFont="1"/>
    <xf numFmtId="37" fontId="1" fillId="0" borderId="0" xfId="0" applyNumberFormat="1" applyFont="1" applyAlignment="1">
      <alignment horizontal="right"/>
    </xf>
    <xf numFmtId="0" fontId="1" fillId="0" borderId="8" xfId="0" applyFont="1" applyBorder="1" applyAlignment="1">
      <alignment readingOrder="2"/>
    </xf>
    <xf numFmtId="0" fontId="1" fillId="0" borderId="5" xfId="0" applyFont="1" applyBorder="1" applyAlignment="1">
      <alignment readingOrder="2"/>
    </xf>
    <xf numFmtId="0" fontId="1" fillId="0" borderId="0" xfId="0" applyFont="1" applyAlignment="1">
      <alignment readingOrder="2"/>
    </xf>
    <xf numFmtId="167" fontId="1" fillId="0" borderId="0" xfId="0" applyNumberFormat="1" applyFont="1"/>
    <xf numFmtId="2" fontId="1" fillId="0" borderId="0" xfId="0" applyNumberFormat="1" applyFont="1"/>
    <xf numFmtId="2" fontId="1" fillId="2" borderId="1" xfId="0" applyNumberFormat="1" applyFont="1" applyFill="1" applyBorder="1"/>
    <xf numFmtId="10" fontId="1" fillId="2" borderId="1" xfId="0" applyNumberFormat="1" applyFont="1" applyFill="1" applyBorder="1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rightToLeft="1" zoomScale="137" workbookViewId="0">
      <selection activeCell="B26" sqref="B26"/>
    </sheetView>
  </sheetViews>
  <sheetFormatPr baseColWidth="10" defaultColWidth="10.83203125" defaultRowHeight="16" x14ac:dyDescent="0.2"/>
  <cols>
    <col min="1" max="16384" width="10.83203125" style="1"/>
  </cols>
  <sheetData>
    <row r="1" spans="1:8" x14ac:dyDescent="0.2">
      <c r="A1" s="50" t="s">
        <v>3</v>
      </c>
      <c r="B1" s="50"/>
      <c r="C1" s="50"/>
      <c r="D1" s="50"/>
      <c r="E1" s="50"/>
      <c r="F1" s="50"/>
      <c r="G1" s="50"/>
      <c r="H1" s="50"/>
    </row>
    <row r="2" spans="1:8" x14ac:dyDescent="0.2">
      <c r="A2" s="50" t="s">
        <v>4</v>
      </c>
      <c r="B2" s="50"/>
      <c r="C2" s="50"/>
      <c r="D2" s="50"/>
      <c r="E2" s="50"/>
      <c r="F2" s="50"/>
      <c r="G2" s="50"/>
      <c r="H2" s="50"/>
    </row>
    <row r="3" spans="1:8" x14ac:dyDescent="0.2">
      <c r="A3" s="50" t="s">
        <v>5</v>
      </c>
      <c r="B3" s="50"/>
      <c r="C3" s="50"/>
      <c r="D3" s="50"/>
      <c r="E3" s="50"/>
      <c r="F3" s="50"/>
      <c r="G3" s="50"/>
      <c r="H3" s="50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 t="s">
        <v>6</v>
      </c>
      <c r="B5" s="2"/>
      <c r="C5" s="2"/>
      <c r="D5" s="2"/>
      <c r="E5" s="2"/>
      <c r="F5" s="2"/>
      <c r="G5" s="2"/>
      <c r="H5" s="2"/>
    </row>
    <row r="6" spans="1:8" x14ac:dyDescent="0.2">
      <c r="A6" s="2"/>
      <c r="B6" s="1" t="s">
        <v>0</v>
      </c>
      <c r="C6" s="2"/>
      <c r="D6" s="2"/>
      <c r="E6" s="2"/>
      <c r="F6" s="2"/>
      <c r="G6" s="2"/>
      <c r="H6" s="2"/>
    </row>
    <row r="7" spans="1:8" x14ac:dyDescent="0.2">
      <c r="A7" s="2"/>
      <c r="B7" s="1" t="s">
        <v>1</v>
      </c>
      <c r="C7" s="2"/>
      <c r="D7" s="2"/>
      <c r="E7" s="2"/>
      <c r="F7" s="2"/>
      <c r="G7" s="2"/>
      <c r="H7" s="2"/>
    </row>
    <row r="8" spans="1:8" x14ac:dyDescent="0.2">
      <c r="A8" s="2"/>
      <c r="B8" s="1" t="s">
        <v>7</v>
      </c>
      <c r="C8" s="2"/>
      <c r="D8" s="2"/>
      <c r="E8" s="2"/>
      <c r="F8" s="2"/>
      <c r="G8" s="2"/>
      <c r="H8" s="2"/>
    </row>
    <row r="9" spans="1:8" x14ac:dyDescent="0.2">
      <c r="B9" s="1" t="s">
        <v>2</v>
      </c>
    </row>
    <row r="11" spans="1:8" x14ac:dyDescent="0.2">
      <c r="A11" s="3" t="s">
        <v>18</v>
      </c>
    </row>
    <row r="12" spans="1:8" x14ac:dyDescent="0.2">
      <c r="B12" s="3" t="s">
        <v>8</v>
      </c>
    </row>
    <row r="14" spans="1:8" x14ac:dyDescent="0.2">
      <c r="C14" s="4" t="s">
        <v>14</v>
      </c>
    </row>
    <row r="15" spans="1:8" x14ac:dyDescent="0.2">
      <c r="C15" s="1" t="s">
        <v>12</v>
      </c>
    </row>
    <row r="16" spans="1:8" x14ac:dyDescent="0.2">
      <c r="C16" s="1" t="s">
        <v>9</v>
      </c>
    </row>
    <row r="17" spans="1:3" x14ac:dyDescent="0.2">
      <c r="C17" s="1" t="s">
        <v>10</v>
      </c>
    </row>
    <row r="18" spans="1:3" x14ac:dyDescent="0.2">
      <c r="C18" s="1" t="s">
        <v>11</v>
      </c>
    </row>
    <row r="20" spans="1:3" x14ac:dyDescent="0.2">
      <c r="C20" s="4" t="s">
        <v>13</v>
      </c>
    </row>
    <row r="21" spans="1:3" x14ac:dyDescent="0.2">
      <c r="C21" s="1" t="s">
        <v>15</v>
      </c>
    </row>
    <row r="22" spans="1:3" x14ac:dyDescent="0.2">
      <c r="C22" s="1" t="s">
        <v>16</v>
      </c>
    </row>
    <row r="23" spans="1:3" x14ac:dyDescent="0.2">
      <c r="C23" s="1" t="s">
        <v>17</v>
      </c>
    </row>
    <row r="25" spans="1:3" x14ac:dyDescent="0.2">
      <c r="A25" s="3" t="s">
        <v>19</v>
      </c>
    </row>
    <row r="26" spans="1:3" x14ac:dyDescent="0.2">
      <c r="B26" s="1" t="s">
        <v>20</v>
      </c>
    </row>
    <row r="27" spans="1:3" x14ac:dyDescent="0.2">
      <c r="B27" s="1" t="s">
        <v>21</v>
      </c>
    </row>
    <row r="28" spans="1:3" x14ac:dyDescent="0.2">
      <c r="B28" s="1" t="s">
        <v>22</v>
      </c>
    </row>
    <row r="29" spans="1:3" x14ac:dyDescent="0.2">
      <c r="B29" s="1" t="s">
        <v>23</v>
      </c>
    </row>
    <row r="31" spans="1:3" x14ac:dyDescent="0.2">
      <c r="B31" s="3" t="s">
        <v>24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8"/>
  <sheetViews>
    <sheetView rightToLeft="1" zoomScale="254" zoomScaleNormal="130" workbookViewId="0">
      <selection activeCell="E44" sqref="E44"/>
    </sheetView>
  </sheetViews>
  <sheetFormatPr baseColWidth="10" defaultColWidth="10.83203125" defaultRowHeight="16" x14ac:dyDescent="0.2"/>
  <cols>
    <col min="1" max="5" width="10.83203125" style="1"/>
    <col min="6" max="6" width="10.83203125" style="1" customWidth="1"/>
    <col min="7" max="16384" width="10.83203125" style="1"/>
  </cols>
  <sheetData>
    <row r="1" spans="1:8" x14ac:dyDescent="0.2">
      <c r="A1" s="5" t="s">
        <v>25</v>
      </c>
      <c r="B1" s="5"/>
      <c r="C1" s="5"/>
      <c r="D1" s="5"/>
      <c r="E1" s="5"/>
      <c r="F1" s="5"/>
      <c r="G1" s="5"/>
      <c r="H1" s="5"/>
    </row>
    <row r="3" spans="1:8" x14ac:dyDescent="0.2">
      <c r="A3" s="1" t="s">
        <v>26</v>
      </c>
    </row>
    <row r="4" spans="1:8" x14ac:dyDescent="0.2">
      <c r="A4" s="1" t="s">
        <v>27</v>
      </c>
    </row>
    <row r="5" spans="1:8" x14ac:dyDescent="0.2">
      <c r="A5" s="1" t="s">
        <v>83</v>
      </c>
    </row>
    <row r="6" spans="1:8" x14ac:dyDescent="0.2">
      <c r="A6" s="1" t="s">
        <v>84</v>
      </c>
    </row>
    <row r="7" spans="1:8" x14ac:dyDescent="0.2">
      <c r="A7" s="18" t="s">
        <v>85</v>
      </c>
    </row>
    <row r="8" spans="1:8" x14ac:dyDescent="0.2">
      <c r="A8" s="1" t="s">
        <v>28</v>
      </c>
    </row>
    <row r="10" spans="1:8" x14ac:dyDescent="0.2">
      <c r="A10" s="1" t="s">
        <v>29</v>
      </c>
    </row>
    <row r="11" spans="1:8" x14ac:dyDescent="0.2">
      <c r="A11" s="1" t="s">
        <v>30</v>
      </c>
    </row>
    <row r="12" spans="1:8" x14ac:dyDescent="0.2">
      <c r="A12" s="1" t="s">
        <v>31</v>
      </c>
    </row>
    <row r="13" spans="1:8" x14ac:dyDescent="0.2">
      <c r="A13" s="1" t="s">
        <v>92</v>
      </c>
    </row>
    <row r="14" spans="1:8" x14ac:dyDescent="0.2">
      <c r="A14" s="1" t="s">
        <v>32</v>
      </c>
    </row>
    <row r="15" spans="1:8" x14ac:dyDescent="0.2">
      <c r="A15" s="1" t="s">
        <v>71</v>
      </c>
    </row>
    <row r="16" spans="1:8" x14ac:dyDescent="0.2">
      <c r="A16" s="1" t="s">
        <v>95</v>
      </c>
    </row>
    <row r="17" spans="1:8" x14ac:dyDescent="0.2">
      <c r="A17" s="1" t="s">
        <v>96</v>
      </c>
    </row>
    <row r="19" spans="1:8" x14ac:dyDescent="0.2">
      <c r="A19" s="3" t="s">
        <v>72</v>
      </c>
    </row>
    <row r="20" spans="1:8" ht="17" thickBot="1" x14ac:dyDescent="0.25"/>
    <row r="21" spans="1:8" x14ac:dyDescent="0.2">
      <c r="A21" s="11" t="s">
        <v>30</v>
      </c>
      <c r="B21" s="12"/>
      <c r="C21" s="12"/>
      <c r="D21" s="12"/>
      <c r="E21" s="12"/>
      <c r="F21" s="12"/>
      <c r="G21" s="12"/>
      <c r="H21" s="13"/>
    </row>
    <row r="22" spans="1:8" ht="17" thickBot="1" x14ac:dyDescent="0.25">
      <c r="A22" s="14" t="s">
        <v>31</v>
      </c>
      <c r="B22" s="15"/>
      <c r="C22" s="15"/>
      <c r="D22" s="15"/>
      <c r="E22" s="15"/>
      <c r="F22" s="15"/>
      <c r="G22" s="15"/>
      <c r="H22" s="16"/>
    </row>
    <row r="24" spans="1:8" x14ac:dyDescent="0.2">
      <c r="A24" s="1" t="s">
        <v>80</v>
      </c>
      <c r="C24" s="17">
        <f>200000*4</f>
        <v>800000</v>
      </c>
      <c r="E24" s="1" t="s">
        <v>86</v>
      </c>
      <c r="H24" s="19">
        <v>6.1363551000000002E-2</v>
      </c>
    </row>
    <row r="25" spans="1:8" x14ac:dyDescent="0.2">
      <c r="A25" s="1" t="s">
        <v>81</v>
      </c>
      <c r="C25" s="8">
        <v>0.04</v>
      </c>
      <c r="E25" s="1" t="s">
        <v>87</v>
      </c>
      <c r="H25" s="20">
        <f>(1+H24)^0.25-1</f>
        <v>1.500000008965463E-2</v>
      </c>
    </row>
    <row r="26" spans="1:8" x14ac:dyDescent="0.2">
      <c r="A26" s="1" t="s">
        <v>82</v>
      </c>
      <c r="C26" s="8">
        <f>C25/4</f>
        <v>0.01</v>
      </c>
    </row>
    <row r="28" spans="1:8" x14ac:dyDescent="0.2">
      <c r="A28" s="1" t="s">
        <v>73</v>
      </c>
    </row>
    <row r="29" spans="1:8" x14ac:dyDescent="0.2">
      <c r="C29" s="1" t="s">
        <v>75</v>
      </c>
      <c r="D29" s="1" t="s">
        <v>76</v>
      </c>
      <c r="E29" s="1" t="s">
        <v>77</v>
      </c>
      <c r="F29" s="1" t="s">
        <v>78</v>
      </c>
      <c r="H29" s="1" t="s">
        <v>79</v>
      </c>
    </row>
    <row r="30" spans="1:8" x14ac:dyDescent="0.2">
      <c r="A30" s="1" t="s">
        <v>74</v>
      </c>
      <c r="C30" s="7">
        <v>44197</v>
      </c>
      <c r="H30" s="17">
        <f>C24</f>
        <v>800000</v>
      </c>
    </row>
    <row r="31" spans="1:8" x14ac:dyDescent="0.2">
      <c r="C31" s="7">
        <v>44286</v>
      </c>
      <c r="D31" s="17">
        <f>$C$26*H30</f>
        <v>8000</v>
      </c>
      <c r="E31" s="17"/>
      <c r="F31" s="17">
        <f>D31+E31</f>
        <v>8000</v>
      </c>
      <c r="H31" s="17">
        <f>H30-E31</f>
        <v>800000</v>
      </c>
    </row>
    <row r="32" spans="1:8" x14ac:dyDescent="0.2">
      <c r="C32" s="7">
        <v>44377</v>
      </c>
      <c r="D32" s="17">
        <f t="shared" ref="D32:D46" si="0">$C$26*H31</f>
        <v>8000</v>
      </c>
      <c r="E32" s="17"/>
      <c r="F32" s="17">
        <f t="shared" ref="F32:F46" si="1">D32+E32</f>
        <v>8000</v>
      </c>
      <c r="H32" s="17">
        <f t="shared" ref="H32:H46" si="2">H31-E32</f>
        <v>800000</v>
      </c>
    </row>
    <row r="33" spans="3:8" x14ac:dyDescent="0.2">
      <c r="C33" s="7">
        <v>44469</v>
      </c>
      <c r="D33" s="17">
        <f t="shared" si="0"/>
        <v>8000</v>
      </c>
      <c r="E33" s="17"/>
      <c r="F33" s="17">
        <f t="shared" si="1"/>
        <v>8000</v>
      </c>
      <c r="H33" s="17">
        <f t="shared" si="2"/>
        <v>800000</v>
      </c>
    </row>
    <row r="34" spans="3:8" x14ac:dyDescent="0.2">
      <c r="C34" s="7">
        <v>44561</v>
      </c>
      <c r="D34" s="17">
        <f t="shared" si="0"/>
        <v>8000</v>
      </c>
      <c r="E34" s="17"/>
      <c r="F34" s="17">
        <f t="shared" si="1"/>
        <v>8000</v>
      </c>
      <c r="H34" s="17">
        <f t="shared" si="2"/>
        <v>800000</v>
      </c>
    </row>
    <row r="35" spans="3:8" x14ac:dyDescent="0.2">
      <c r="C35" s="7">
        <v>44651</v>
      </c>
      <c r="D35" s="17">
        <f t="shared" si="0"/>
        <v>8000</v>
      </c>
      <c r="E35" s="17"/>
      <c r="F35" s="17">
        <f t="shared" si="1"/>
        <v>8000</v>
      </c>
      <c r="H35" s="17">
        <f t="shared" si="2"/>
        <v>800000</v>
      </c>
    </row>
    <row r="36" spans="3:8" x14ac:dyDescent="0.2">
      <c r="C36" s="7">
        <v>44742</v>
      </c>
      <c r="D36" s="17">
        <f t="shared" si="0"/>
        <v>8000</v>
      </c>
      <c r="E36" s="17"/>
      <c r="F36" s="17">
        <f t="shared" si="1"/>
        <v>8000</v>
      </c>
      <c r="H36" s="17">
        <f t="shared" si="2"/>
        <v>800000</v>
      </c>
    </row>
    <row r="37" spans="3:8" x14ac:dyDescent="0.2">
      <c r="C37" s="7">
        <v>44834</v>
      </c>
      <c r="D37" s="17">
        <f t="shared" si="0"/>
        <v>8000</v>
      </c>
      <c r="E37" s="17"/>
      <c r="F37" s="17">
        <f t="shared" si="1"/>
        <v>8000</v>
      </c>
      <c r="H37" s="17">
        <f t="shared" si="2"/>
        <v>800000</v>
      </c>
    </row>
    <row r="38" spans="3:8" x14ac:dyDescent="0.2">
      <c r="C38" s="7">
        <v>44926</v>
      </c>
      <c r="D38" s="17">
        <f t="shared" si="0"/>
        <v>8000</v>
      </c>
      <c r="E38" s="17"/>
      <c r="F38" s="17">
        <f t="shared" si="1"/>
        <v>8000</v>
      </c>
      <c r="H38" s="17">
        <f t="shared" si="2"/>
        <v>800000</v>
      </c>
    </row>
    <row r="39" spans="3:8" x14ac:dyDescent="0.2">
      <c r="C39" s="7">
        <v>45016</v>
      </c>
      <c r="D39" s="17">
        <f t="shared" si="0"/>
        <v>8000</v>
      </c>
      <c r="E39" s="17"/>
      <c r="F39" s="17">
        <f t="shared" si="1"/>
        <v>8000</v>
      </c>
      <c r="H39" s="17">
        <f t="shared" si="2"/>
        <v>800000</v>
      </c>
    </row>
    <row r="40" spans="3:8" x14ac:dyDescent="0.2">
      <c r="C40" s="7">
        <v>45107</v>
      </c>
      <c r="D40" s="17">
        <f t="shared" si="0"/>
        <v>8000</v>
      </c>
      <c r="E40" s="17"/>
      <c r="F40" s="17">
        <f t="shared" si="1"/>
        <v>8000</v>
      </c>
      <c r="H40" s="17">
        <f t="shared" si="2"/>
        <v>800000</v>
      </c>
    </row>
    <row r="41" spans="3:8" x14ac:dyDescent="0.2">
      <c r="C41" s="7">
        <v>45199</v>
      </c>
      <c r="D41" s="17">
        <f t="shared" si="0"/>
        <v>8000</v>
      </c>
      <c r="E41" s="17"/>
      <c r="F41" s="17">
        <f t="shared" si="1"/>
        <v>8000</v>
      </c>
      <c r="H41" s="17">
        <f t="shared" si="2"/>
        <v>800000</v>
      </c>
    </row>
    <row r="42" spans="3:8" x14ac:dyDescent="0.2">
      <c r="C42" s="7">
        <v>45291</v>
      </c>
      <c r="D42" s="17">
        <f t="shared" si="0"/>
        <v>8000</v>
      </c>
      <c r="E42" s="17"/>
      <c r="F42" s="17">
        <f t="shared" si="1"/>
        <v>8000</v>
      </c>
      <c r="H42" s="17">
        <f t="shared" si="2"/>
        <v>800000</v>
      </c>
    </row>
    <row r="43" spans="3:8" x14ac:dyDescent="0.2">
      <c r="C43" s="7">
        <v>45382</v>
      </c>
      <c r="D43" s="17">
        <f t="shared" si="0"/>
        <v>8000</v>
      </c>
      <c r="E43" s="17">
        <f>C24/4</f>
        <v>200000</v>
      </c>
      <c r="F43" s="17">
        <f t="shared" si="1"/>
        <v>208000</v>
      </c>
      <c r="H43" s="17">
        <f t="shared" si="2"/>
        <v>600000</v>
      </c>
    </row>
    <row r="44" spans="3:8" x14ac:dyDescent="0.2">
      <c r="C44" s="7">
        <v>45473</v>
      </c>
      <c r="D44" s="17">
        <f t="shared" si="0"/>
        <v>6000</v>
      </c>
      <c r="E44" s="17">
        <f>E43</f>
        <v>200000</v>
      </c>
      <c r="F44" s="17">
        <f t="shared" si="1"/>
        <v>206000</v>
      </c>
      <c r="H44" s="17">
        <f t="shared" si="2"/>
        <v>400000</v>
      </c>
    </row>
    <row r="45" spans="3:8" x14ac:dyDescent="0.2">
      <c r="C45" s="7">
        <v>45565</v>
      </c>
      <c r="D45" s="17">
        <f t="shared" si="0"/>
        <v>4000</v>
      </c>
      <c r="E45" s="17">
        <f>E44</f>
        <v>200000</v>
      </c>
      <c r="F45" s="17">
        <f t="shared" si="1"/>
        <v>204000</v>
      </c>
      <c r="H45" s="17">
        <f t="shared" si="2"/>
        <v>200000</v>
      </c>
    </row>
    <row r="46" spans="3:8" x14ac:dyDescent="0.2">
      <c r="C46" s="7">
        <v>45657</v>
      </c>
      <c r="D46" s="17">
        <f t="shared" si="0"/>
        <v>2000</v>
      </c>
      <c r="E46" s="17">
        <f>E45</f>
        <v>200000</v>
      </c>
      <c r="F46" s="17">
        <f t="shared" si="1"/>
        <v>202000</v>
      </c>
      <c r="H46" s="17">
        <f t="shared" si="2"/>
        <v>0</v>
      </c>
    </row>
    <row r="47" spans="3:8" x14ac:dyDescent="0.2">
      <c r="C47" s="7"/>
    </row>
    <row r="48" spans="3:8" x14ac:dyDescent="0.2">
      <c r="C48" s="1" t="s">
        <v>88</v>
      </c>
      <c r="F48" s="21">
        <f>NPV(H25,F31:F46)</f>
        <v>748250.58833041426</v>
      </c>
      <c r="G48" s="1" t="s">
        <v>89</v>
      </c>
    </row>
    <row r="49" spans="1:8" ht="17" thickBot="1" x14ac:dyDescent="0.25"/>
    <row r="50" spans="1:8" x14ac:dyDescent="0.2">
      <c r="A50" s="11" t="s">
        <v>92</v>
      </c>
      <c r="B50" s="12"/>
      <c r="C50" s="12"/>
      <c r="D50" s="12"/>
      <c r="E50" s="12"/>
      <c r="F50" s="12"/>
      <c r="G50" s="12"/>
      <c r="H50" s="13"/>
    </row>
    <row r="51" spans="1:8" ht="17" thickBot="1" x14ac:dyDescent="0.25">
      <c r="A51" s="14" t="s">
        <v>32</v>
      </c>
      <c r="B51" s="15"/>
      <c r="C51" s="15"/>
      <c r="D51" s="15"/>
      <c r="E51" s="15"/>
      <c r="F51" s="15"/>
      <c r="G51" s="15"/>
      <c r="H51" s="16"/>
    </row>
    <row r="53" spans="1:8" x14ac:dyDescent="0.2">
      <c r="A53" s="1" t="s">
        <v>90</v>
      </c>
    </row>
    <row r="55" spans="1:8" x14ac:dyDescent="0.2">
      <c r="A55" s="1" t="s">
        <v>73</v>
      </c>
    </row>
    <row r="56" spans="1:8" x14ac:dyDescent="0.2">
      <c r="C56" s="1" t="s">
        <v>75</v>
      </c>
      <c r="D56" s="1" t="s">
        <v>76</v>
      </c>
      <c r="E56" s="1" t="s">
        <v>77</v>
      </c>
      <c r="F56" s="1" t="s">
        <v>78</v>
      </c>
      <c r="H56" s="1" t="s">
        <v>79</v>
      </c>
    </row>
    <row r="57" spans="1:8" x14ac:dyDescent="0.2">
      <c r="A57" s="1" t="s">
        <v>74</v>
      </c>
      <c r="C57" s="7">
        <v>44562</v>
      </c>
      <c r="F57" s="1">
        <f>-3.68</f>
        <v>-3.68</v>
      </c>
      <c r="H57" s="17">
        <v>4</v>
      </c>
    </row>
    <row r="58" spans="1:8" x14ac:dyDescent="0.2">
      <c r="C58" s="7">
        <v>44651</v>
      </c>
      <c r="D58" s="22">
        <f>H57*$C$26</f>
        <v>0.04</v>
      </c>
      <c r="E58" s="17"/>
      <c r="F58" s="22">
        <f>D58+E58</f>
        <v>0.04</v>
      </c>
      <c r="H58" s="17">
        <f>H57-E58</f>
        <v>4</v>
      </c>
    </row>
    <row r="59" spans="1:8" x14ac:dyDescent="0.2">
      <c r="C59" s="7">
        <v>44742</v>
      </c>
      <c r="D59" s="22">
        <f t="shared" ref="D59:D69" si="3">H58*$C$26</f>
        <v>0.04</v>
      </c>
      <c r="E59" s="17"/>
      <c r="F59" s="22">
        <f t="shared" ref="F59:F69" si="4">D59+E59</f>
        <v>0.04</v>
      </c>
      <c r="H59" s="17">
        <f t="shared" ref="H59:H69" si="5">H58-E59</f>
        <v>4</v>
      </c>
    </row>
    <row r="60" spans="1:8" x14ac:dyDescent="0.2">
      <c r="C60" s="7">
        <v>44834</v>
      </c>
      <c r="D60" s="22">
        <f t="shared" si="3"/>
        <v>0.04</v>
      </c>
      <c r="E60" s="17"/>
      <c r="F60" s="22">
        <f t="shared" si="4"/>
        <v>0.04</v>
      </c>
      <c r="H60" s="17">
        <f t="shared" si="5"/>
        <v>4</v>
      </c>
    </row>
    <row r="61" spans="1:8" x14ac:dyDescent="0.2">
      <c r="C61" s="7">
        <v>44926</v>
      </c>
      <c r="D61" s="22">
        <f t="shared" si="3"/>
        <v>0.04</v>
      </c>
      <c r="E61" s="17"/>
      <c r="F61" s="22">
        <f t="shared" si="4"/>
        <v>0.04</v>
      </c>
      <c r="H61" s="17">
        <f t="shared" si="5"/>
        <v>4</v>
      </c>
    </row>
    <row r="62" spans="1:8" x14ac:dyDescent="0.2">
      <c r="C62" s="7">
        <v>45016</v>
      </c>
      <c r="D62" s="22">
        <f t="shared" si="3"/>
        <v>0.04</v>
      </c>
      <c r="E62" s="17"/>
      <c r="F62" s="22">
        <f t="shared" si="4"/>
        <v>0.04</v>
      </c>
      <c r="H62" s="17">
        <f t="shared" si="5"/>
        <v>4</v>
      </c>
    </row>
    <row r="63" spans="1:8" x14ac:dyDescent="0.2">
      <c r="C63" s="7">
        <v>45107</v>
      </c>
      <c r="D63" s="22">
        <f t="shared" si="3"/>
        <v>0.04</v>
      </c>
      <c r="E63" s="17"/>
      <c r="F63" s="22">
        <f t="shared" si="4"/>
        <v>0.04</v>
      </c>
      <c r="H63" s="17">
        <f t="shared" si="5"/>
        <v>4</v>
      </c>
    </row>
    <row r="64" spans="1:8" x14ac:dyDescent="0.2">
      <c r="C64" s="7">
        <v>45199</v>
      </c>
      <c r="D64" s="22">
        <f t="shared" si="3"/>
        <v>0.04</v>
      </c>
      <c r="E64" s="17"/>
      <c r="F64" s="22">
        <f t="shared" si="4"/>
        <v>0.04</v>
      </c>
      <c r="H64" s="17">
        <f t="shared" si="5"/>
        <v>4</v>
      </c>
    </row>
    <row r="65" spans="1:8" x14ac:dyDescent="0.2">
      <c r="C65" s="7">
        <v>45291</v>
      </c>
      <c r="D65" s="22">
        <f t="shared" si="3"/>
        <v>0.04</v>
      </c>
      <c r="E65" s="17"/>
      <c r="F65" s="22">
        <f t="shared" si="4"/>
        <v>0.04</v>
      </c>
      <c r="H65" s="17">
        <f t="shared" si="5"/>
        <v>4</v>
      </c>
    </row>
    <row r="66" spans="1:8" x14ac:dyDescent="0.2">
      <c r="C66" s="7">
        <v>45382</v>
      </c>
      <c r="D66" s="22">
        <f t="shared" si="3"/>
        <v>0.04</v>
      </c>
      <c r="E66" s="17">
        <f>H57/4</f>
        <v>1</v>
      </c>
      <c r="F66" s="22">
        <f t="shared" si="4"/>
        <v>1.04</v>
      </c>
      <c r="H66" s="17">
        <f t="shared" si="5"/>
        <v>3</v>
      </c>
    </row>
    <row r="67" spans="1:8" x14ac:dyDescent="0.2">
      <c r="C67" s="7">
        <v>45473</v>
      </c>
      <c r="D67" s="22">
        <f t="shared" si="3"/>
        <v>0.03</v>
      </c>
      <c r="E67" s="17">
        <f>E66</f>
        <v>1</v>
      </c>
      <c r="F67" s="22">
        <f t="shared" si="4"/>
        <v>1.03</v>
      </c>
      <c r="H67" s="17">
        <f t="shared" si="5"/>
        <v>2</v>
      </c>
    </row>
    <row r="68" spans="1:8" x14ac:dyDescent="0.2">
      <c r="C68" s="7">
        <v>45565</v>
      </c>
      <c r="D68" s="22">
        <f t="shared" si="3"/>
        <v>0.02</v>
      </c>
      <c r="E68" s="17">
        <f>E67</f>
        <v>1</v>
      </c>
      <c r="F68" s="22">
        <f t="shared" si="4"/>
        <v>1.02</v>
      </c>
      <c r="H68" s="17">
        <f t="shared" si="5"/>
        <v>1</v>
      </c>
    </row>
    <row r="69" spans="1:8" x14ac:dyDescent="0.2">
      <c r="C69" s="7">
        <v>45657</v>
      </c>
      <c r="D69" s="22">
        <f t="shared" si="3"/>
        <v>0.01</v>
      </c>
      <c r="E69" s="17">
        <f>E68</f>
        <v>1</v>
      </c>
      <c r="F69" s="22">
        <f t="shared" si="4"/>
        <v>1.01</v>
      </c>
      <c r="H69" s="17">
        <f t="shared" si="5"/>
        <v>0</v>
      </c>
    </row>
    <row r="70" spans="1:8" x14ac:dyDescent="0.2">
      <c r="C70" s="7"/>
    </row>
    <row r="71" spans="1:8" ht="17" thickBot="1" x14ac:dyDescent="0.25">
      <c r="C71" s="1" t="s">
        <v>87</v>
      </c>
      <c r="F71" s="23">
        <f>IRR(F57:F69)</f>
        <v>1.8459511082775881E-2</v>
      </c>
      <c r="G71" s="1" t="s">
        <v>91</v>
      </c>
    </row>
    <row r="72" spans="1:8" ht="17" thickBot="1" x14ac:dyDescent="0.25">
      <c r="C72" s="1" t="s">
        <v>86</v>
      </c>
      <c r="F72" s="24">
        <f>(1+F71)^4-1</f>
        <v>7.5907842316263352E-2</v>
      </c>
    </row>
    <row r="73" spans="1:8" ht="17" thickBot="1" x14ac:dyDescent="0.25"/>
    <row r="74" spans="1:8" x14ac:dyDescent="0.2">
      <c r="A74" s="11" t="s">
        <v>93</v>
      </c>
      <c r="B74" s="12"/>
      <c r="C74" s="12"/>
      <c r="D74" s="12"/>
      <c r="E74" s="12"/>
      <c r="F74" s="12"/>
      <c r="G74" s="12"/>
      <c r="H74" s="13"/>
    </row>
    <row r="75" spans="1:8" x14ac:dyDescent="0.2">
      <c r="A75" s="25" t="s">
        <v>94</v>
      </c>
      <c r="H75" s="26"/>
    </row>
    <row r="76" spans="1:8" x14ac:dyDescent="0.2">
      <c r="A76" s="25" t="s">
        <v>97</v>
      </c>
      <c r="H76" s="26"/>
    </row>
    <row r="77" spans="1:8" ht="17" thickBot="1" x14ac:dyDescent="0.25">
      <c r="A77" s="27" t="s">
        <v>98</v>
      </c>
      <c r="B77" s="15"/>
      <c r="C77" s="15"/>
      <c r="D77" s="15"/>
      <c r="E77" s="15"/>
      <c r="F77" s="15"/>
      <c r="G77" s="15"/>
      <c r="H77" s="16"/>
    </row>
    <row r="79" spans="1:8" x14ac:dyDescent="0.2">
      <c r="A79" s="1" t="s">
        <v>73</v>
      </c>
    </row>
    <row r="80" spans="1:8" x14ac:dyDescent="0.2">
      <c r="C80" s="1" t="s">
        <v>75</v>
      </c>
      <c r="D80" s="1" t="s">
        <v>76</v>
      </c>
      <c r="E80" s="1" t="s">
        <v>77</v>
      </c>
      <c r="F80" s="1" t="s">
        <v>78</v>
      </c>
      <c r="H80" s="1" t="s">
        <v>79</v>
      </c>
    </row>
    <row r="81" spans="1:8" x14ac:dyDescent="0.2">
      <c r="A81" s="1" t="s">
        <v>99</v>
      </c>
      <c r="C81" s="7">
        <v>44927</v>
      </c>
      <c r="H81" s="17">
        <f>30000*4</f>
        <v>120000</v>
      </c>
    </row>
    <row r="82" spans="1:8" x14ac:dyDescent="0.2">
      <c r="C82" s="7">
        <v>45016</v>
      </c>
      <c r="D82" s="17">
        <f>H81*$C$26</f>
        <v>1200</v>
      </c>
      <c r="E82" s="17"/>
      <c r="F82" s="17">
        <f>D82+E82</f>
        <v>1200</v>
      </c>
      <c r="H82" s="17">
        <f>H81-E82</f>
        <v>120000</v>
      </c>
    </row>
    <row r="83" spans="1:8" x14ac:dyDescent="0.2">
      <c r="C83" s="7">
        <v>45107</v>
      </c>
      <c r="D83" s="17">
        <f t="shared" ref="D83:D89" si="6">H82*$C$26</f>
        <v>1200</v>
      </c>
      <c r="E83" s="17"/>
      <c r="F83" s="17">
        <f t="shared" ref="F83:F89" si="7">D83+E83</f>
        <v>1200</v>
      </c>
      <c r="H83" s="17">
        <f t="shared" ref="H83:H89" si="8">H82-E83</f>
        <v>120000</v>
      </c>
    </row>
    <row r="84" spans="1:8" x14ac:dyDescent="0.2">
      <c r="C84" s="7">
        <v>45199</v>
      </c>
      <c r="D84" s="17">
        <f t="shared" si="6"/>
        <v>1200</v>
      </c>
      <c r="E84" s="17"/>
      <c r="F84" s="17">
        <f t="shared" si="7"/>
        <v>1200</v>
      </c>
      <c r="H84" s="17">
        <f t="shared" si="8"/>
        <v>120000</v>
      </c>
    </row>
    <row r="85" spans="1:8" x14ac:dyDescent="0.2">
      <c r="A85" s="1" t="s">
        <v>100</v>
      </c>
      <c r="C85" s="7">
        <v>45291</v>
      </c>
      <c r="D85" s="17">
        <f t="shared" si="6"/>
        <v>1200</v>
      </c>
      <c r="E85" s="17"/>
      <c r="F85" s="17">
        <f t="shared" si="7"/>
        <v>1200</v>
      </c>
      <c r="H85" s="17">
        <f t="shared" si="8"/>
        <v>120000</v>
      </c>
    </row>
    <row r="86" spans="1:8" x14ac:dyDescent="0.2">
      <c r="C86" s="7">
        <v>45382</v>
      </c>
      <c r="D86" s="17">
        <f t="shared" si="6"/>
        <v>1200</v>
      </c>
      <c r="E86" s="17">
        <f>H81/4</f>
        <v>30000</v>
      </c>
      <c r="F86" s="17">
        <f t="shared" si="7"/>
        <v>31200</v>
      </c>
      <c r="H86" s="17">
        <f t="shared" si="8"/>
        <v>90000</v>
      </c>
    </row>
    <row r="87" spans="1:8" x14ac:dyDescent="0.2">
      <c r="C87" s="7">
        <v>45473</v>
      </c>
      <c r="D87" s="17">
        <f t="shared" si="6"/>
        <v>900</v>
      </c>
      <c r="E87" s="17">
        <f>E86</f>
        <v>30000</v>
      </c>
      <c r="F87" s="17">
        <f t="shared" si="7"/>
        <v>30900</v>
      </c>
      <c r="H87" s="17">
        <f t="shared" si="8"/>
        <v>60000</v>
      </c>
    </row>
    <row r="88" spans="1:8" x14ac:dyDescent="0.2">
      <c r="C88" s="7">
        <v>45565</v>
      </c>
      <c r="D88" s="17">
        <f t="shared" si="6"/>
        <v>600</v>
      </c>
      <c r="E88" s="17">
        <f>E87</f>
        <v>30000</v>
      </c>
      <c r="F88" s="17">
        <f t="shared" si="7"/>
        <v>30600</v>
      </c>
      <c r="H88" s="17">
        <f t="shared" si="8"/>
        <v>30000</v>
      </c>
    </row>
    <row r="89" spans="1:8" x14ac:dyDescent="0.2">
      <c r="C89" s="7">
        <v>45657</v>
      </c>
      <c r="D89" s="17">
        <f t="shared" si="6"/>
        <v>300</v>
      </c>
      <c r="E89" s="17">
        <f>E88</f>
        <v>30000</v>
      </c>
      <c r="F89" s="17">
        <f t="shared" si="7"/>
        <v>30300</v>
      </c>
      <c r="H89" s="17">
        <f t="shared" si="8"/>
        <v>0</v>
      </c>
    </row>
    <row r="90" spans="1:8" x14ac:dyDescent="0.2">
      <c r="C90" s="7"/>
    </row>
    <row r="91" spans="1:8" x14ac:dyDescent="0.2">
      <c r="B91" s="7">
        <v>44927</v>
      </c>
      <c r="C91" s="1" t="s">
        <v>87</v>
      </c>
      <c r="F91" s="29">
        <f>(1+3.2386052%)^0.25-1</f>
        <v>7.9999999765669738E-3</v>
      </c>
    </row>
    <row r="92" spans="1:8" x14ac:dyDescent="0.2">
      <c r="B92" s="7">
        <v>45292</v>
      </c>
      <c r="C92" s="1" t="s">
        <v>86</v>
      </c>
      <c r="F92" s="30">
        <f>(1+5.7187014%)^0.25-1</f>
        <v>1.3999999900248472E-2</v>
      </c>
    </row>
    <row r="94" spans="1:8" x14ac:dyDescent="0.2">
      <c r="C94" s="1" t="s">
        <v>101</v>
      </c>
      <c r="F94" s="31">
        <f>NPV(F91,F82:F89)</f>
        <v>121513.11060260846</v>
      </c>
    </row>
    <row r="95" spans="1:8" x14ac:dyDescent="0.2">
      <c r="C95" s="1" t="s">
        <v>102</v>
      </c>
      <c r="F95" s="31">
        <f>NPV(F92,F86:F89)</f>
        <v>118832.79488892459</v>
      </c>
    </row>
    <row r="97" spans="3:6" ht="17" thickBot="1" x14ac:dyDescent="0.25">
      <c r="C97" s="1" t="s">
        <v>103</v>
      </c>
    </row>
    <row r="98" spans="3:6" ht="17" thickBot="1" x14ac:dyDescent="0.25">
      <c r="F98" s="24">
        <f>(F95+SUM(F82:F85))/F94-1</f>
        <v>1.7444078880082703E-2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3"/>
  <sheetViews>
    <sheetView rightToLeft="1" zoomScale="161" zoomScaleNormal="120" workbookViewId="0">
      <selection activeCell="A19" sqref="A19"/>
    </sheetView>
  </sheetViews>
  <sheetFormatPr baseColWidth="10" defaultColWidth="10.83203125" defaultRowHeight="16" x14ac:dyDescent="0.2"/>
  <cols>
    <col min="1" max="7" width="10.83203125" style="1"/>
    <col min="8" max="8" width="11.5" style="1" customWidth="1"/>
    <col min="9" max="16384" width="10.83203125" style="1"/>
  </cols>
  <sheetData>
    <row r="1" spans="1:8" x14ac:dyDescent="0.2">
      <c r="A1" s="5" t="s">
        <v>33</v>
      </c>
      <c r="B1" s="5"/>
      <c r="C1" s="5"/>
      <c r="D1" s="5"/>
      <c r="E1" s="5"/>
      <c r="F1" s="5"/>
      <c r="G1" s="5"/>
      <c r="H1" s="5"/>
    </row>
    <row r="3" spans="1:8" x14ac:dyDescent="0.2">
      <c r="A3" s="1" t="s">
        <v>34</v>
      </c>
    </row>
    <row r="4" spans="1:8" x14ac:dyDescent="0.2">
      <c r="A4" s="1" t="s">
        <v>35</v>
      </c>
    </row>
    <row r="5" spans="1:8" x14ac:dyDescent="0.2">
      <c r="A5" s="1" t="s">
        <v>37</v>
      </c>
    </row>
    <row r="6" spans="1:8" x14ac:dyDescent="0.2">
      <c r="A6" s="1" t="s">
        <v>36</v>
      </c>
    </row>
    <row r="8" spans="1:8" x14ac:dyDescent="0.2">
      <c r="A8" s="1" t="s">
        <v>29</v>
      </c>
    </row>
    <row r="9" spans="1:8" x14ac:dyDescent="0.2">
      <c r="A9" s="1" t="s">
        <v>39</v>
      </c>
    </row>
    <row r="10" spans="1:8" x14ac:dyDescent="0.2">
      <c r="A10" s="1" t="s">
        <v>139</v>
      </c>
    </row>
    <row r="11" spans="1:8" x14ac:dyDescent="0.2">
      <c r="A11" s="1" t="s">
        <v>140</v>
      </c>
    </row>
    <row r="12" spans="1:8" x14ac:dyDescent="0.2">
      <c r="A12" s="1" t="s">
        <v>41</v>
      </c>
    </row>
    <row r="13" spans="1:8" x14ac:dyDescent="0.2">
      <c r="A13" s="1" t="s">
        <v>42</v>
      </c>
    </row>
    <row r="14" spans="1:8" x14ac:dyDescent="0.2">
      <c r="A14" s="1" t="s">
        <v>38</v>
      </c>
    </row>
    <row r="15" spans="1:8" x14ac:dyDescent="0.2">
      <c r="A15" s="43" t="s">
        <v>70</v>
      </c>
    </row>
    <row r="16" spans="1:8" x14ac:dyDescent="0.2">
      <c r="A16" s="43" t="s">
        <v>154</v>
      </c>
    </row>
    <row r="17" spans="1:8" x14ac:dyDescent="0.2">
      <c r="A17" s="43" t="s">
        <v>155</v>
      </c>
    </row>
    <row r="19" spans="1:8" x14ac:dyDescent="0.2">
      <c r="A19" s="3" t="s">
        <v>127</v>
      </c>
    </row>
    <row r="20" spans="1:8" ht="17" thickBot="1" x14ac:dyDescent="0.25"/>
    <row r="21" spans="1:8" ht="17" thickBot="1" x14ac:dyDescent="0.25">
      <c r="A21" s="35" t="s">
        <v>39</v>
      </c>
      <c r="B21" s="36"/>
      <c r="C21" s="36"/>
      <c r="D21" s="36"/>
      <c r="E21" s="36"/>
      <c r="F21" s="36"/>
      <c r="G21" s="36"/>
      <c r="H21" s="37"/>
    </row>
    <row r="23" spans="1:8" x14ac:dyDescent="0.2">
      <c r="A23" s="1" t="s">
        <v>129</v>
      </c>
    </row>
    <row r="24" spans="1:8" x14ac:dyDescent="0.2">
      <c r="A24" s="1" t="s">
        <v>130</v>
      </c>
    </row>
    <row r="26" spans="1:8" x14ac:dyDescent="0.2">
      <c r="A26" s="1" t="s">
        <v>73</v>
      </c>
    </row>
    <row r="27" spans="1:8" x14ac:dyDescent="0.2">
      <c r="C27" s="1" t="s">
        <v>75</v>
      </c>
      <c r="D27" s="1" t="s">
        <v>76</v>
      </c>
      <c r="E27" s="1" t="s">
        <v>77</v>
      </c>
      <c r="F27" s="1" t="s">
        <v>78</v>
      </c>
      <c r="H27" s="1" t="s">
        <v>79</v>
      </c>
    </row>
    <row r="28" spans="1:8" x14ac:dyDescent="0.2">
      <c r="A28" s="1" t="s">
        <v>74</v>
      </c>
      <c r="C28" s="7">
        <v>44562</v>
      </c>
      <c r="F28" s="38">
        <f>-621000</f>
        <v>-621000</v>
      </c>
      <c r="H28" s="17">
        <f>200000*3</f>
        <v>600000</v>
      </c>
    </row>
    <row r="29" spans="1:8" x14ac:dyDescent="0.2">
      <c r="C29" s="7">
        <v>44651</v>
      </c>
      <c r="D29" s="17">
        <f>6%/2*H28</f>
        <v>18000</v>
      </c>
      <c r="E29" s="17"/>
      <c r="F29" s="17">
        <f>D29+E29</f>
        <v>18000</v>
      </c>
      <c r="H29" s="17">
        <f>H28-E29</f>
        <v>600000</v>
      </c>
    </row>
    <row r="30" spans="1:8" x14ac:dyDescent="0.2">
      <c r="C30" s="7">
        <v>44742</v>
      </c>
      <c r="D30" s="17"/>
      <c r="E30" s="17"/>
      <c r="F30" s="17">
        <v>0</v>
      </c>
      <c r="H30" s="17">
        <f t="shared" ref="H30:H51" si="0">H29-E30</f>
        <v>600000</v>
      </c>
    </row>
    <row r="31" spans="1:8" x14ac:dyDescent="0.2">
      <c r="C31" s="7">
        <v>44834</v>
      </c>
      <c r="D31" s="17">
        <f>6%/2*H29</f>
        <v>18000</v>
      </c>
      <c r="E31" s="17"/>
      <c r="F31" s="17">
        <f t="shared" ref="F31:F51" si="1">D31+E31</f>
        <v>18000</v>
      </c>
      <c r="H31" s="17">
        <f t="shared" si="0"/>
        <v>600000</v>
      </c>
    </row>
    <row r="32" spans="1:8" x14ac:dyDescent="0.2">
      <c r="C32" s="7">
        <v>44926</v>
      </c>
      <c r="D32" s="17"/>
      <c r="E32" s="17"/>
      <c r="F32" s="17">
        <v>0</v>
      </c>
      <c r="H32" s="17">
        <f t="shared" si="0"/>
        <v>600000</v>
      </c>
    </row>
    <row r="33" spans="3:8" x14ac:dyDescent="0.2">
      <c r="C33" s="7">
        <v>45016</v>
      </c>
      <c r="D33" s="17">
        <f>6%/2*H31</f>
        <v>18000</v>
      </c>
      <c r="E33" s="17"/>
      <c r="F33" s="17">
        <f t="shared" si="1"/>
        <v>18000</v>
      </c>
      <c r="H33" s="17">
        <f t="shared" si="0"/>
        <v>600000</v>
      </c>
    </row>
    <row r="34" spans="3:8" x14ac:dyDescent="0.2">
      <c r="C34" s="7">
        <v>45107</v>
      </c>
      <c r="D34" s="17"/>
      <c r="E34" s="17"/>
      <c r="F34" s="17">
        <v>0</v>
      </c>
      <c r="H34" s="17">
        <f t="shared" si="0"/>
        <v>600000</v>
      </c>
    </row>
    <row r="35" spans="3:8" x14ac:dyDescent="0.2">
      <c r="C35" s="7">
        <v>45199</v>
      </c>
      <c r="D35" s="17">
        <f>6%/2*H33</f>
        <v>18000</v>
      </c>
      <c r="E35" s="17"/>
      <c r="F35" s="17">
        <f t="shared" si="1"/>
        <v>18000</v>
      </c>
      <c r="H35" s="17">
        <f t="shared" si="0"/>
        <v>600000</v>
      </c>
    </row>
    <row r="36" spans="3:8" x14ac:dyDescent="0.2">
      <c r="C36" s="7">
        <v>45291</v>
      </c>
      <c r="D36" s="17"/>
      <c r="E36" s="17"/>
      <c r="F36" s="17">
        <v>0</v>
      </c>
      <c r="H36" s="17">
        <f t="shared" si="0"/>
        <v>600000</v>
      </c>
    </row>
    <row r="37" spans="3:8" x14ac:dyDescent="0.2">
      <c r="C37" s="7">
        <v>45382</v>
      </c>
      <c r="D37" s="17">
        <f>6%/2*H35</f>
        <v>18000</v>
      </c>
      <c r="E37" s="17"/>
      <c r="F37" s="17">
        <f t="shared" si="1"/>
        <v>18000</v>
      </c>
      <c r="H37" s="17">
        <f t="shared" si="0"/>
        <v>600000</v>
      </c>
    </row>
    <row r="38" spans="3:8" x14ac:dyDescent="0.2">
      <c r="C38" s="7">
        <v>45473</v>
      </c>
      <c r="D38" s="17"/>
      <c r="E38" s="17"/>
      <c r="F38" s="17">
        <v>0</v>
      </c>
      <c r="H38" s="17">
        <f t="shared" si="0"/>
        <v>600000</v>
      </c>
    </row>
    <row r="39" spans="3:8" x14ac:dyDescent="0.2">
      <c r="C39" s="7">
        <v>45565</v>
      </c>
      <c r="D39" s="17">
        <f>6%/2*H37</f>
        <v>18000</v>
      </c>
      <c r="E39" s="17"/>
      <c r="F39" s="17">
        <f t="shared" si="1"/>
        <v>18000</v>
      </c>
      <c r="H39" s="17">
        <f t="shared" si="0"/>
        <v>600000</v>
      </c>
    </row>
    <row r="40" spans="3:8" x14ac:dyDescent="0.2">
      <c r="C40" s="7">
        <v>45657</v>
      </c>
      <c r="D40" s="17"/>
      <c r="E40" s="17"/>
      <c r="F40" s="17">
        <v>0</v>
      </c>
      <c r="H40" s="17">
        <f t="shared" si="0"/>
        <v>600000</v>
      </c>
    </row>
    <row r="41" spans="3:8" x14ac:dyDescent="0.2">
      <c r="C41" s="7">
        <v>45747</v>
      </c>
      <c r="D41" s="17">
        <f>6%/2*H39</f>
        <v>18000</v>
      </c>
      <c r="E41" s="17"/>
      <c r="F41" s="17">
        <f t="shared" si="1"/>
        <v>18000</v>
      </c>
      <c r="H41" s="17">
        <f t="shared" si="0"/>
        <v>600000</v>
      </c>
    </row>
    <row r="42" spans="3:8" x14ac:dyDescent="0.2">
      <c r="C42" s="7">
        <v>45838</v>
      </c>
      <c r="D42" s="17"/>
      <c r="E42" s="17"/>
      <c r="F42" s="17">
        <v>0</v>
      </c>
      <c r="H42" s="17">
        <f t="shared" si="0"/>
        <v>600000</v>
      </c>
    </row>
    <row r="43" spans="3:8" x14ac:dyDescent="0.2">
      <c r="C43" s="7">
        <v>45930</v>
      </c>
      <c r="D43" s="17">
        <f>6%/2*H41</f>
        <v>18000</v>
      </c>
      <c r="E43" s="17"/>
      <c r="F43" s="17">
        <f t="shared" si="1"/>
        <v>18000</v>
      </c>
      <c r="H43" s="17">
        <f t="shared" si="0"/>
        <v>600000</v>
      </c>
    </row>
    <row r="44" spans="3:8" x14ac:dyDescent="0.2">
      <c r="C44" s="7">
        <v>46022</v>
      </c>
      <c r="D44" s="17"/>
      <c r="E44" s="17"/>
      <c r="F44" s="17">
        <v>0</v>
      </c>
      <c r="H44" s="17">
        <f t="shared" si="0"/>
        <v>600000</v>
      </c>
    </row>
    <row r="45" spans="3:8" x14ac:dyDescent="0.2">
      <c r="C45" s="7">
        <v>46112</v>
      </c>
      <c r="D45" s="17">
        <f>6%/2*H43</f>
        <v>18000</v>
      </c>
      <c r="E45" s="17"/>
      <c r="F45" s="17">
        <f t="shared" si="1"/>
        <v>18000</v>
      </c>
      <c r="H45" s="17">
        <f t="shared" si="0"/>
        <v>600000</v>
      </c>
    </row>
    <row r="46" spans="3:8" x14ac:dyDescent="0.2">
      <c r="C46" s="7">
        <v>46203</v>
      </c>
      <c r="D46" s="17"/>
      <c r="E46" s="17"/>
      <c r="F46" s="17">
        <v>0</v>
      </c>
      <c r="H46" s="17">
        <f t="shared" si="0"/>
        <v>600000</v>
      </c>
    </row>
    <row r="47" spans="3:8" x14ac:dyDescent="0.2">
      <c r="C47" s="7">
        <v>46295</v>
      </c>
      <c r="D47" s="17">
        <f>6%/2*H45</f>
        <v>18000</v>
      </c>
      <c r="E47" s="17">
        <f>H45/3</f>
        <v>200000</v>
      </c>
      <c r="F47" s="17">
        <f t="shared" si="1"/>
        <v>218000</v>
      </c>
      <c r="H47" s="17">
        <f t="shared" si="0"/>
        <v>400000</v>
      </c>
    </row>
    <row r="48" spans="3:8" x14ac:dyDescent="0.2">
      <c r="C48" s="7">
        <v>46387</v>
      </c>
      <c r="D48" s="17"/>
      <c r="E48" s="17"/>
      <c r="F48" s="17">
        <v>0</v>
      </c>
      <c r="H48" s="17">
        <f t="shared" si="0"/>
        <v>400000</v>
      </c>
    </row>
    <row r="49" spans="1:8" x14ac:dyDescent="0.2">
      <c r="C49" s="7">
        <v>46477</v>
      </c>
      <c r="D49" s="17">
        <f>6%/2*H47</f>
        <v>12000</v>
      </c>
      <c r="E49" s="17">
        <f>E47</f>
        <v>200000</v>
      </c>
      <c r="F49" s="17">
        <f t="shared" si="1"/>
        <v>212000</v>
      </c>
      <c r="H49" s="17">
        <f t="shared" si="0"/>
        <v>200000</v>
      </c>
    </row>
    <row r="50" spans="1:8" x14ac:dyDescent="0.2">
      <c r="C50" s="7">
        <v>46568</v>
      </c>
      <c r="D50" s="17"/>
      <c r="E50" s="17"/>
      <c r="F50" s="17">
        <v>0</v>
      </c>
      <c r="H50" s="17">
        <f t="shared" si="0"/>
        <v>200000</v>
      </c>
    </row>
    <row r="51" spans="1:8" x14ac:dyDescent="0.2">
      <c r="C51" s="7">
        <v>46660</v>
      </c>
      <c r="D51" s="17">
        <f t="shared" ref="D51" si="2">6%/2*H49</f>
        <v>6000</v>
      </c>
      <c r="E51" s="17">
        <f>E49</f>
        <v>200000</v>
      </c>
      <c r="F51" s="17">
        <f t="shared" si="1"/>
        <v>206000</v>
      </c>
      <c r="H51" s="17">
        <f t="shared" si="0"/>
        <v>0</v>
      </c>
    </row>
    <row r="52" spans="1:8" x14ac:dyDescent="0.2">
      <c r="C52" s="7"/>
      <c r="D52" s="17"/>
      <c r="E52" s="17"/>
      <c r="F52" s="17"/>
      <c r="H52" s="17"/>
    </row>
    <row r="53" spans="1:8" ht="17" thickBot="1" x14ac:dyDescent="0.25">
      <c r="C53" s="7" t="s">
        <v>87</v>
      </c>
      <c r="D53" s="17"/>
      <c r="E53" s="17"/>
      <c r="F53" s="10">
        <f>IRR(F28:F51)</f>
        <v>1.3787399622142482E-2</v>
      </c>
      <c r="H53" s="17"/>
    </row>
    <row r="54" spans="1:8" ht="17" thickBot="1" x14ac:dyDescent="0.25">
      <c r="C54" s="7" t="s">
        <v>131</v>
      </c>
      <c r="D54" s="17"/>
      <c r="E54" s="17"/>
      <c r="F54" s="28">
        <f>(1+F53)^4-1</f>
        <v>5.6300672472622715E-2</v>
      </c>
      <c r="H54" s="17"/>
    </row>
    <row r="55" spans="1:8" ht="17" thickBot="1" x14ac:dyDescent="0.25">
      <c r="C55" s="7"/>
      <c r="D55" s="17"/>
      <c r="E55" s="17"/>
      <c r="F55" s="17"/>
      <c r="H55" s="17"/>
    </row>
    <row r="56" spans="1:8" x14ac:dyDescent="0.2">
      <c r="A56" s="11" t="s">
        <v>40</v>
      </c>
      <c r="B56" s="12"/>
      <c r="C56" s="12"/>
      <c r="D56" s="12"/>
      <c r="E56" s="12"/>
      <c r="F56" s="12"/>
      <c r="G56" s="12"/>
      <c r="H56" s="13"/>
    </row>
    <row r="57" spans="1:8" x14ac:dyDescent="0.2">
      <c r="A57" s="25" t="s">
        <v>140</v>
      </c>
      <c r="H57" s="26"/>
    </row>
    <row r="58" spans="1:8" x14ac:dyDescent="0.2">
      <c r="A58" s="25" t="s">
        <v>41</v>
      </c>
      <c r="H58" s="26"/>
    </row>
    <row r="59" spans="1:8" ht="17" thickBot="1" x14ac:dyDescent="0.25">
      <c r="A59" s="14" t="s">
        <v>42</v>
      </c>
      <c r="B59" s="15"/>
      <c r="C59" s="15"/>
      <c r="D59" s="15"/>
      <c r="E59" s="15"/>
      <c r="F59" s="15"/>
      <c r="G59" s="15"/>
      <c r="H59" s="16"/>
    </row>
    <row r="60" spans="1:8" x14ac:dyDescent="0.2">
      <c r="C60" s="7"/>
      <c r="D60" s="17"/>
      <c r="E60" s="17"/>
      <c r="F60" s="17"/>
      <c r="H60" s="17"/>
    </row>
    <row r="61" spans="1:8" x14ac:dyDescent="0.2">
      <c r="A61" s="1" t="s">
        <v>136</v>
      </c>
      <c r="C61" s="7"/>
      <c r="D61" s="17"/>
      <c r="E61" s="17"/>
      <c r="F61" s="17"/>
      <c r="H61" s="17"/>
    </row>
    <row r="62" spans="1:8" x14ac:dyDescent="0.2">
      <c r="C62" s="1" t="s">
        <v>75</v>
      </c>
      <c r="D62" s="1" t="s">
        <v>76</v>
      </c>
      <c r="E62" s="1" t="s">
        <v>77</v>
      </c>
      <c r="F62" s="1" t="s">
        <v>78</v>
      </c>
      <c r="H62" s="1" t="s">
        <v>79</v>
      </c>
    </row>
    <row r="63" spans="1:8" x14ac:dyDescent="0.2">
      <c r="C63" s="7">
        <v>44927</v>
      </c>
      <c r="D63" s="17"/>
      <c r="E63" s="17"/>
      <c r="F63" s="40" t="s">
        <v>135</v>
      </c>
      <c r="H63" s="17">
        <f>18000*3</f>
        <v>54000</v>
      </c>
    </row>
    <row r="64" spans="1:8" x14ac:dyDescent="0.2">
      <c r="C64" s="7">
        <v>45016</v>
      </c>
      <c r="D64" s="17">
        <f t="shared" ref="D64:D73" si="3">6%/2*H63</f>
        <v>1620</v>
      </c>
      <c r="E64" s="17"/>
      <c r="F64" s="17">
        <f t="shared" ref="F64" si="4">D64+E64</f>
        <v>1620</v>
      </c>
      <c r="H64" s="17">
        <f>H63-E64</f>
        <v>54000</v>
      </c>
    </row>
    <row r="65" spans="1:8" x14ac:dyDescent="0.2">
      <c r="C65" s="7">
        <v>45199</v>
      </c>
      <c r="D65" s="17">
        <f t="shared" si="3"/>
        <v>1620</v>
      </c>
      <c r="E65" s="17"/>
      <c r="F65" s="17">
        <f t="shared" ref="F65" si="5">D65+E65</f>
        <v>1620</v>
      </c>
      <c r="H65" s="17">
        <f t="shared" ref="H65:H73" si="6">H64-E65</f>
        <v>54000</v>
      </c>
    </row>
    <row r="66" spans="1:8" x14ac:dyDescent="0.2">
      <c r="C66" s="7">
        <v>45382</v>
      </c>
      <c r="D66" s="17">
        <f t="shared" si="3"/>
        <v>1620</v>
      </c>
      <c r="E66" s="17"/>
      <c r="F66" s="17">
        <f t="shared" ref="F66" si="7">D66+E66</f>
        <v>1620</v>
      </c>
      <c r="H66" s="17">
        <f t="shared" si="6"/>
        <v>54000</v>
      </c>
    </row>
    <row r="67" spans="1:8" x14ac:dyDescent="0.2">
      <c r="C67" s="7">
        <v>45565</v>
      </c>
      <c r="D67" s="17">
        <f t="shared" si="3"/>
        <v>1620</v>
      </c>
      <c r="E67" s="17"/>
      <c r="F67" s="17">
        <f t="shared" ref="F67" si="8">D67+E67</f>
        <v>1620</v>
      </c>
      <c r="H67" s="17">
        <f t="shared" si="6"/>
        <v>54000</v>
      </c>
    </row>
    <row r="68" spans="1:8" x14ac:dyDescent="0.2">
      <c r="C68" s="7">
        <v>45747</v>
      </c>
      <c r="D68" s="17">
        <f t="shared" si="3"/>
        <v>1620</v>
      </c>
      <c r="E68" s="17"/>
      <c r="F68" s="17">
        <f t="shared" ref="F68" si="9">D68+E68</f>
        <v>1620</v>
      </c>
      <c r="H68" s="17">
        <f t="shared" si="6"/>
        <v>54000</v>
      </c>
    </row>
    <row r="69" spans="1:8" x14ac:dyDescent="0.2">
      <c r="C69" s="7">
        <v>45930</v>
      </c>
      <c r="D69" s="17">
        <f t="shared" si="3"/>
        <v>1620</v>
      </c>
      <c r="E69" s="17"/>
      <c r="F69" s="17">
        <f t="shared" ref="F69" si="10">D69+E69</f>
        <v>1620</v>
      </c>
      <c r="H69" s="17">
        <f t="shared" si="6"/>
        <v>54000</v>
      </c>
    </row>
    <row r="70" spans="1:8" x14ac:dyDescent="0.2">
      <c r="C70" s="7">
        <v>46112</v>
      </c>
      <c r="D70" s="17">
        <f t="shared" si="3"/>
        <v>1620</v>
      </c>
      <c r="E70" s="17"/>
      <c r="F70" s="17">
        <f t="shared" ref="F70" si="11">D70+E70</f>
        <v>1620</v>
      </c>
      <c r="H70" s="17">
        <f t="shared" si="6"/>
        <v>54000</v>
      </c>
    </row>
    <row r="71" spans="1:8" x14ac:dyDescent="0.2">
      <c r="C71" s="7">
        <v>46295</v>
      </c>
      <c r="D71" s="17">
        <f t="shared" si="3"/>
        <v>1620</v>
      </c>
      <c r="E71" s="17">
        <f>H70/3</f>
        <v>18000</v>
      </c>
      <c r="F71" s="17">
        <f t="shared" ref="F71" si="12">D71+E71</f>
        <v>19620</v>
      </c>
      <c r="H71" s="17">
        <f t="shared" si="6"/>
        <v>36000</v>
      </c>
    </row>
    <row r="72" spans="1:8" x14ac:dyDescent="0.2">
      <c r="C72" s="7">
        <v>46477</v>
      </c>
      <c r="D72" s="17">
        <f t="shared" si="3"/>
        <v>1080</v>
      </c>
      <c r="E72" s="17">
        <f>E71</f>
        <v>18000</v>
      </c>
      <c r="F72" s="17">
        <f t="shared" ref="F72" si="13">D72+E72</f>
        <v>19080</v>
      </c>
      <c r="H72" s="17">
        <f t="shared" si="6"/>
        <v>18000</v>
      </c>
    </row>
    <row r="73" spans="1:8" x14ac:dyDescent="0.2">
      <c r="C73" s="7">
        <v>46660</v>
      </c>
      <c r="D73" s="17">
        <f t="shared" si="3"/>
        <v>540</v>
      </c>
      <c r="E73" s="17">
        <f>E72</f>
        <v>18000</v>
      </c>
      <c r="F73" s="17">
        <f t="shared" ref="F73" si="14">D73+E73</f>
        <v>18540</v>
      </c>
      <c r="H73" s="17">
        <f t="shared" si="6"/>
        <v>0</v>
      </c>
    </row>
    <row r="74" spans="1:8" x14ac:dyDescent="0.2">
      <c r="C74" s="7"/>
      <c r="D74" s="17"/>
      <c r="E74" s="17"/>
      <c r="F74" s="17"/>
      <c r="H74" s="17"/>
    </row>
    <row r="75" spans="1:8" x14ac:dyDescent="0.2">
      <c r="C75" s="7" t="s">
        <v>132</v>
      </c>
      <c r="D75" s="17"/>
      <c r="E75" s="17"/>
      <c r="F75" s="10">
        <v>4.0399999999999998E-2</v>
      </c>
      <c r="H75" s="17"/>
    </row>
    <row r="76" spans="1:8" x14ac:dyDescent="0.2">
      <c r="C76" s="7" t="s">
        <v>133</v>
      </c>
      <c r="D76" s="17"/>
      <c r="E76" s="17"/>
      <c r="F76" s="39">
        <f>(1+F75)^0.5-1</f>
        <v>2.0000000000000018E-2</v>
      </c>
      <c r="H76" s="17"/>
    </row>
    <row r="77" spans="1:8" x14ac:dyDescent="0.2">
      <c r="C77" s="7" t="s">
        <v>134</v>
      </c>
      <c r="D77" s="17"/>
      <c r="E77" s="17"/>
      <c r="F77" s="17">
        <f>NPV(F76,F64:F73)</f>
        <v>58404.65456755866</v>
      </c>
      <c r="H77" s="17"/>
    </row>
    <row r="78" spans="1:8" x14ac:dyDescent="0.2">
      <c r="C78" s="7"/>
      <c r="D78" s="17"/>
      <c r="E78" s="17"/>
      <c r="F78" s="17"/>
      <c r="H78" s="17"/>
    </row>
    <row r="79" spans="1:8" x14ac:dyDescent="0.2">
      <c r="A79" s="1" t="s">
        <v>141</v>
      </c>
      <c r="C79" s="7"/>
      <c r="D79" s="17"/>
      <c r="E79" s="17"/>
      <c r="F79" s="17"/>
      <c r="H79" s="17"/>
    </row>
    <row r="80" spans="1:8" x14ac:dyDescent="0.2">
      <c r="C80" s="7" t="s">
        <v>132</v>
      </c>
      <c r="D80" s="17"/>
      <c r="E80" s="17"/>
      <c r="F80" s="39">
        <v>0.03</v>
      </c>
      <c r="H80" s="17"/>
    </row>
    <row r="81" spans="1:8" x14ac:dyDescent="0.2">
      <c r="C81" s="7" t="s">
        <v>133</v>
      </c>
      <c r="D81" s="17"/>
      <c r="E81" s="17"/>
      <c r="F81" s="10">
        <f>(1+F80)^0.5-1</f>
        <v>1.4889156509221957E-2</v>
      </c>
    </row>
    <row r="82" spans="1:8" x14ac:dyDescent="0.2">
      <c r="C82" s="7" t="s">
        <v>137</v>
      </c>
      <c r="D82" s="17"/>
      <c r="E82" s="17"/>
      <c r="F82" s="17">
        <f>NPV(F81,F72:F73)</f>
        <v>36800.082627374715</v>
      </c>
    </row>
    <row r="83" spans="1:8" x14ac:dyDescent="0.2">
      <c r="C83" s="7"/>
      <c r="D83" s="17"/>
      <c r="E83" s="17"/>
      <c r="F83" s="17"/>
    </row>
    <row r="84" spans="1:8" x14ac:dyDescent="0.2">
      <c r="A84" s="1" t="s">
        <v>138</v>
      </c>
      <c r="C84" s="7"/>
      <c r="D84" s="17"/>
      <c r="E84" s="17"/>
      <c r="F84" s="17"/>
    </row>
    <row r="85" spans="1:8" x14ac:dyDescent="0.2">
      <c r="C85" s="1" t="s">
        <v>75</v>
      </c>
      <c r="D85" s="1" t="s">
        <v>76</v>
      </c>
      <c r="E85" s="1" t="s">
        <v>77</v>
      </c>
      <c r="F85" s="1" t="s">
        <v>78</v>
      </c>
      <c r="H85" s="1" t="s">
        <v>79</v>
      </c>
    </row>
    <row r="86" spans="1:8" x14ac:dyDescent="0.2">
      <c r="C86" s="7">
        <v>44927</v>
      </c>
      <c r="D86" s="17"/>
      <c r="E86" s="17"/>
      <c r="F86" s="40">
        <f>-F77</f>
        <v>-58404.65456755866</v>
      </c>
      <c r="H86" s="17">
        <f>18000*3</f>
        <v>54000</v>
      </c>
    </row>
    <row r="87" spans="1:8" x14ac:dyDescent="0.2">
      <c r="C87" s="7">
        <v>45016</v>
      </c>
      <c r="D87" s="17">
        <f t="shared" ref="D87:D94" si="15">6%/2*H86</f>
        <v>1620</v>
      </c>
      <c r="E87" s="17"/>
      <c r="F87" s="17">
        <f t="shared" ref="F87:F93" si="16">D87+E87</f>
        <v>1620</v>
      </c>
      <c r="H87" s="17">
        <f>H86-E87</f>
        <v>54000</v>
      </c>
    </row>
    <row r="88" spans="1:8" x14ac:dyDescent="0.2">
      <c r="C88" s="7">
        <v>45199</v>
      </c>
      <c r="D88" s="17">
        <f t="shared" si="15"/>
        <v>1620</v>
      </c>
      <c r="E88" s="17"/>
      <c r="F88" s="17">
        <f t="shared" si="16"/>
        <v>1620</v>
      </c>
      <c r="H88" s="17">
        <f t="shared" ref="H88:H94" si="17">H87-E88</f>
        <v>54000</v>
      </c>
    </row>
    <row r="89" spans="1:8" x14ac:dyDescent="0.2">
      <c r="C89" s="7">
        <v>45382</v>
      </c>
      <c r="D89" s="17">
        <f t="shared" si="15"/>
        <v>1620</v>
      </c>
      <c r="E89" s="17"/>
      <c r="F89" s="17">
        <f t="shared" si="16"/>
        <v>1620</v>
      </c>
      <c r="H89" s="17">
        <f t="shared" si="17"/>
        <v>54000</v>
      </c>
    </row>
    <row r="90" spans="1:8" x14ac:dyDescent="0.2">
      <c r="C90" s="7">
        <v>45565</v>
      </c>
      <c r="D90" s="17">
        <f t="shared" si="15"/>
        <v>1620</v>
      </c>
      <c r="E90" s="17"/>
      <c r="F90" s="17">
        <f t="shared" si="16"/>
        <v>1620</v>
      </c>
      <c r="H90" s="17">
        <f t="shared" si="17"/>
        <v>54000</v>
      </c>
    </row>
    <row r="91" spans="1:8" x14ac:dyDescent="0.2">
      <c r="C91" s="7">
        <v>45747</v>
      </c>
      <c r="D91" s="17">
        <f t="shared" si="15"/>
        <v>1620</v>
      </c>
      <c r="E91" s="17"/>
      <c r="F91" s="17">
        <f t="shared" si="16"/>
        <v>1620</v>
      </c>
      <c r="H91" s="17">
        <f t="shared" si="17"/>
        <v>54000</v>
      </c>
    </row>
    <row r="92" spans="1:8" x14ac:dyDescent="0.2">
      <c r="C92" s="7">
        <v>45930</v>
      </c>
      <c r="D92" s="17">
        <f t="shared" si="15"/>
        <v>1620</v>
      </c>
      <c r="E92" s="17"/>
      <c r="F92" s="17">
        <f t="shared" si="16"/>
        <v>1620</v>
      </c>
      <c r="H92" s="17">
        <f t="shared" si="17"/>
        <v>54000</v>
      </c>
    </row>
    <row r="93" spans="1:8" x14ac:dyDescent="0.2">
      <c r="C93" s="7">
        <v>46112</v>
      </c>
      <c r="D93" s="17">
        <f t="shared" si="15"/>
        <v>1620</v>
      </c>
      <c r="E93" s="17"/>
      <c r="F93" s="17">
        <f t="shared" si="16"/>
        <v>1620</v>
      </c>
      <c r="H93" s="17">
        <f t="shared" si="17"/>
        <v>54000</v>
      </c>
    </row>
    <row r="94" spans="1:8" x14ac:dyDescent="0.2">
      <c r="C94" s="7">
        <v>46295</v>
      </c>
      <c r="D94" s="17">
        <f t="shared" si="15"/>
        <v>1620</v>
      </c>
      <c r="E94" s="17">
        <f>H93/3</f>
        <v>18000</v>
      </c>
      <c r="F94" s="17">
        <f>D94+E94+F82</f>
        <v>56420.082627374715</v>
      </c>
      <c r="H94" s="17">
        <f t="shared" si="17"/>
        <v>36000</v>
      </c>
    </row>
    <row r="95" spans="1:8" x14ac:dyDescent="0.2">
      <c r="C95" s="7"/>
      <c r="D95" s="17"/>
      <c r="E95" s="17"/>
      <c r="F95" s="17"/>
    </row>
    <row r="96" spans="1:8" x14ac:dyDescent="0.2">
      <c r="A96" s="1" t="s">
        <v>147</v>
      </c>
      <c r="C96" s="7" t="s">
        <v>142</v>
      </c>
      <c r="D96" s="17"/>
      <c r="E96" s="17"/>
      <c r="F96" s="39"/>
    </row>
    <row r="97" spans="1:8" x14ac:dyDescent="0.2">
      <c r="C97" s="7" t="s">
        <v>143</v>
      </c>
      <c r="D97" s="17"/>
      <c r="E97" s="17"/>
      <c r="F97" s="39"/>
    </row>
    <row r="98" spans="1:8" x14ac:dyDescent="0.2">
      <c r="C98" s="7" t="s">
        <v>144</v>
      </c>
      <c r="D98" s="17"/>
      <c r="E98" s="17"/>
      <c r="F98" s="39"/>
    </row>
    <row r="99" spans="1:8" x14ac:dyDescent="0.2">
      <c r="C99" s="7" t="s">
        <v>145</v>
      </c>
      <c r="D99" s="17"/>
      <c r="E99" s="17"/>
      <c r="F99" s="39"/>
    </row>
    <row r="100" spans="1:8" x14ac:dyDescent="0.2">
      <c r="C100" s="7"/>
      <c r="D100" s="17"/>
      <c r="E100" s="17"/>
      <c r="F100" s="39"/>
    </row>
    <row r="101" spans="1:8" ht="17" thickBot="1" x14ac:dyDescent="0.25">
      <c r="C101" s="7" t="s">
        <v>146</v>
      </c>
      <c r="D101" s="17"/>
      <c r="E101" s="17"/>
      <c r="F101" s="10">
        <f>IRR(F86:F94)</f>
        <v>2.0561099537172334E-2</v>
      </c>
    </row>
    <row r="102" spans="1:8" ht="17" thickBot="1" x14ac:dyDescent="0.25">
      <c r="C102" s="7" t="s">
        <v>148</v>
      </c>
      <c r="D102" s="17"/>
      <c r="E102" s="17"/>
      <c r="F102" s="28">
        <f>(1+F101)^2-1</f>
        <v>4.1544957888522083E-2</v>
      </c>
    </row>
    <row r="103" spans="1:8" ht="17" thickBot="1" x14ac:dyDescent="0.25">
      <c r="C103" s="7"/>
      <c r="D103" s="17"/>
      <c r="E103" s="17"/>
      <c r="F103" s="39"/>
    </row>
    <row r="104" spans="1:8" x14ac:dyDescent="0.2">
      <c r="A104" s="11" t="s">
        <v>38</v>
      </c>
      <c r="B104" s="12"/>
      <c r="C104" s="12"/>
      <c r="D104" s="12"/>
      <c r="E104" s="12"/>
      <c r="F104" s="12"/>
      <c r="G104" s="12"/>
      <c r="H104" s="13"/>
    </row>
    <row r="105" spans="1:8" x14ac:dyDescent="0.2">
      <c r="A105" s="41" t="s">
        <v>70</v>
      </c>
      <c r="H105" s="26"/>
    </row>
    <row r="106" spans="1:8" x14ac:dyDescent="0.2">
      <c r="A106" s="41" t="s">
        <v>154</v>
      </c>
      <c r="H106" s="26"/>
    </row>
    <row r="107" spans="1:8" ht="17" thickBot="1" x14ac:dyDescent="0.25">
      <c r="A107" s="42" t="s">
        <v>155</v>
      </c>
      <c r="B107" s="15"/>
      <c r="C107" s="15"/>
      <c r="D107" s="15"/>
      <c r="E107" s="15"/>
      <c r="F107" s="15"/>
      <c r="G107" s="15"/>
      <c r="H107" s="16"/>
    </row>
    <row r="109" spans="1:8" x14ac:dyDescent="0.2">
      <c r="A109" s="1" t="s">
        <v>73</v>
      </c>
    </row>
    <row r="110" spans="1:8" x14ac:dyDescent="0.2">
      <c r="C110" s="1" t="s">
        <v>75</v>
      </c>
      <c r="D110" s="1" t="s">
        <v>76</v>
      </c>
      <c r="E110" s="1" t="s">
        <v>77</v>
      </c>
      <c r="F110" s="1" t="s">
        <v>78</v>
      </c>
      <c r="H110" s="1" t="s">
        <v>79</v>
      </c>
    </row>
    <row r="111" spans="1:8" x14ac:dyDescent="0.2">
      <c r="A111" s="1" t="s">
        <v>74</v>
      </c>
      <c r="C111" s="7">
        <v>44562</v>
      </c>
      <c r="F111" s="38"/>
      <c r="H111" s="17">
        <v>3</v>
      </c>
    </row>
    <row r="112" spans="1:8" x14ac:dyDescent="0.2">
      <c r="C112" s="7">
        <v>44651</v>
      </c>
      <c r="D112" s="22">
        <f>6%/2*H111</f>
        <v>0.09</v>
      </c>
      <c r="E112" s="17"/>
      <c r="F112" s="22">
        <f>D112+E112</f>
        <v>0.09</v>
      </c>
      <c r="H112" s="17">
        <f>H111-E112</f>
        <v>3</v>
      </c>
    </row>
    <row r="113" spans="3:8" x14ac:dyDescent="0.2">
      <c r="C113" s="7">
        <v>44742</v>
      </c>
      <c r="D113" s="22"/>
      <c r="E113" s="17"/>
      <c r="F113" s="17">
        <v>0</v>
      </c>
      <c r="H113" s="17">
        <f t="shared" ref="H113:H134" si="18">H112-E113</f>
        <v>3</v>
      </c>
    </row>
    <row r="114" spans="3:8" x14ac:dyDescent="0.2">
      <c r="C114" s="7">
        <v>44834</v>
      </c>
      <c r="D114" s="22">
        <f>6%/2*H112</f>
        <v>0.09</v>
      </c>
      <c r="E114" s="17"/>
      <c r="F114" s="22">
        <f t="shared" ref="F114" si="19">D114+E114</f>
        <v>0.09</v>
      </c>
      <c r="H114" s="17">
        <f t="shared" si="18"/>
        <v>3</v>
      </c>
    </row>
    <row r="115" spans="3:8" x14ac:dyDescent="0.2">
      <c r="C115" s="7">
        <v>44926</v>
      </c>
      <c r="D115" s="22"/>
      <c r="E115" s="17"/>
      <c r="F115" s="17">
        <v>0</v>
      </c>
      <c r="H115" s="17">
        <f t="shared" si="18"/>
        <v>3</v>
      </c>
    </row>
    <row r="116" spans="3:8" x14ac:dyDescent="0.2">
      <c r="C116" s="7">
        <v>45016</v>
      </c>
      <c r="D116" s="22">
        <f>6%/2*H114</f>
        <v>0.09</v>
      </c>
      <c r="E116" s="17"/>
      <c r="F116" s="22">
        <f t="shared" ref="F116" si="20">D116+E116</f>
        <v>0.09</v>
      </c>
      <c r="H116" s="17">
        <f t="shared" si="18"/>
        <v>3</v>
      </c>
    </row>
    <row r="117" spans="3:8" x14ac:dyDescent="0.2">
      <c r="C117" s="7">
        <v>45107</v>
      </c>
      <c r="D117" s="22"/>
      <c r="E117" s="17"/>
      <c r="F117" s="17">
        <v>0</v>
      </c>
      <c r="H117" s="17">
        <f t="shared" si="18"/>
        <v>3</v>
      </c>
    </row>
    <row r="118" spans="3:8" x14ac:dyDescent="0.2">
      <c r="C118" s="7">
        <v>45199</v>
      </c>
      <c r="D118" s="22">
        <f>6%/2*H116</f>
        <v>0.09</v>
      </c>
      <c r="E118" s="17"/>
      <c r="F118" s="22">
        <f t="shared" ref="F118" si="21">D118+E118</f>
        <v>0.09</v>
      </c>
      <c r="H118" s="17">
        <f t="shared" si="18"/>
        <v>3</v>
      </c>
    </row>
    <row r="119" spans="3:8" x14ac:dyDescent="0.2">
      <c r="C119" s="7">
        <v>45291</v>
      </c>
      <c r="D119" s="22"/>
      <c r="E119" s="17"/>
      <c r="F119" s="17">
        <v>0</v>
      </c>
      <c r="H119" s="17">
        <f t="shared" si="18"/>
        <v>3</v>
      </c>
    </row>
    <row r="120" spans="3:8" x14ac:dyDescent="0.2">
      <c r="C120" s="7">
        <v>45382</v>
      </c>
      <c r="D120" s="22">
        <f>6%/2*H118</f>
        <v>0.09</v>
      </c>
      <c r="E120" s="17"/>
      <c r="F120" s="22">
        <f t="shared" ref="F120" si="22">D120+E120</f>
        <v>0.09</v>
      </c>
      <c r="H120" s="17">
        <f t="shared" si="18"/>
        <v>3</v>
      </c>
    </row>
    <row r="121" spans="3:8" x14ac:dyDescent="0.2">
      <c r="C121" s="7">
        <v>45473</v>
      </c>
      <c r="D121" s="22"/>
      <c r="E121" s="17"/>
      <c r="F121" s="17">
        <v>0</v>
      </c>
      <c r="H121" s="17">
        <f t="shared" si="18"/>
        <v>3</v>
      </c>
    </row>
    <row r="122" spans="3:8" x14ac:dyDescent="0.2">
      <c r="C122" s="7">
        <v>45565</v>
      </c>
      <c r="D122" s="22">
        <f>6%/2*H120</f>
        <v>0.09</v>
      </c>
      <c r="E122" s="17"/>
      <c r="F122" s="22">
        <f t="shared" ref="F122" si="23">D122+E122</f>
        <v>0.09</v>
      </c>
      <c r="H122" s="17">
        <f t="shared" si="18"/>
        <v>3</v>
      </c>
    </row>
    <row r="123" spans="3:8" x14ac:dyDescent="0.2">
      <c r="C123" s="7">
        <v>45657</v>
      </c>
      <c r="D123" s="22"/>
      <c r="E123" s="17"/>
      <c r="F123" s="17">
        <v>0</v>
      </c>
      <c r="H123" s="17">
        <f t="shared" si="18"/>
        <v>3</v>
      </c>
    </row>
    <row r="124" spans="3:8" x14ac:dyDescent="0.2">
      <c r="C124" s="7">
        <v>45747</v>
      </c>
      <c r="D124" s="22">
        <f>6%/2*H122</f>
        <v>0.09</v>
      </c>
      <c r="E124" s="17"/>
      <c r="F124" s="22">
        <f t="shared" ref="F124" si="24">D124+E124</f>
        <v>0.09</v>
      </c>
      <c r="H124" s="17">
        <f t="shared" si="18"/>
        <v>3</v>
      </c>
    </row>
    <row r="125" spans="3:8" x14ac:dyDescent="0.2">
      <c r="C125" s="7">
        <v>45838</v>
      </c>
      <c r="D125" s="22"/>
      <c r="E125" s="17"/>
      <c r="F125" s="17">
        <v>0</v>
      </c>
      <c r="H125" s="17">
        <f t="shared" si="18"/>
        <v>3</v>
      </c>
    </row>
    <row r="126" spans="3:8" x14ac:dyDescent="0.2">
      <c r="C126" s="7">
        <v>45930</v>
      </c>
      <c r="D126" s="22">
        <f>6%/2*H124</f>
        <v>0.09</v>
      </c>
      <c r="E126" s="17"/>
      <c r="F126" s="22">
        <f t="shared" ref="F126" si="25">D126+E126</f>
        <v>0.09</v>
      </c>
      <c r="H126" s="17">
        <f t="shared" si="18"/>
        <v>3</v>
      </c>
    </row>
    <row r="127" spans="3:8" x14ac:dyDescent="0.2">
      <c r="C127" s="7">
        <v>46022</v>
      </c>
      <c r="D127" s="22"/>
      <c r="E127" s="17"/>
      <c r="F127" s="17">
        <v>0</v>
      </c>
      <c r="H127" s="17">
        <f t="shared" si="18"/>
        <v>3</v>
      </c>
    </row>
    <row r="128" spans="3:8" x14ac:dyDescent="0.2">
      <c r="C128" s="7">
        <v>46112</v>
      </c>
      <c r="D128" s="22">
        <f>6%/2*H126</f>
        <v>0.09</v>
      </c>
      <c r="E128" s="17"/>
      <c r="F128" s="22">
        <f t="shared" ref="F128" si="26">D128+E128</f>
        <v>0.09</v>
      </c>
      <c r="H128" s="17">
        <f t="shared" si="18"/>
        <v>3</v>
      </c>
    </row>
    <row r="129" spans="3:8" x14ac:dyDescent="0.2">
      <c r="C129" s="7">
        <v>46203</v>
      </c>
      <c r="D129" s="22"/>
      <c r="E129" s="17"/>
      <c r="F129" s="17">
        <v>0</v>
      </c>
      <c r="H129" s="17">
        <f t="shared" si="18"/>
        <v>3</v>
      </c>
    </row>
    <row r="130" spans="3:8" x14ac:dyDescent="0.2">
      <c r="C130" s="7">
        <v>46295</v>
      </c>
      <c r="D130" s="22">
        <f>6%/2*H128</f>
        <v>0.09</v>
      </c>
      <c r="E130" s="17">
        <f>H128/3</f>
        <v>1</v>
      </c>
      <c r="F130" s="22">
        <f t="shared" ref="F130" si="27">D130+E130</f>
        <v>1.0900000000000001</v>
      </c>
      <c r="H130" s="17">
        <f t="shared" si="18"/>
        <v>2</v>
      </c>
    </row>
    <row r="131" spans="3:8" x14ac:dyDescent="0.2">
      <c r="C131" s="7">
        <v>46387</v>
      </c>
      <c r="D131" s="22"/>
      <c r="E131" s="17"/>
      <c r="F131" s="17">
        <v>0</v>
      </c>
      <c r="H131" s="17">
        <f t="shared" si="18"/>
        <v>2</v>
      </c>
    </row>
    <row r="132" spans="3:8" x14ac:dyDescent="0.2">
      <c r="C132" s="7">
        <v>46477</v>
      </c>
      <c r="D132" s="22">
        <f>6%/2*H130</f>
        <v>0.06</v>
      </c>
      <c r="E132" s="17">
        <f>E130</f>
        <v>1</v>
      </c>
      <c r="F132" s="22">
        <f t="shared" ref="F132" si="28">D132+E132</f>
        <v>1.06</v>
      </c>
      <c r="H132" s="17">
        <f t="shared" si="18"/>
        <v>1</v>
      </c>
    </row>
    <row r="133" spans="3:8" x14ac:dyDescent="0.2">
      <c r="C133" s="7">
        <v>46568</v>
      </c>
      <c r="D133" s="22"/>
      <c r="E133" s="17"/>
      <c r="F133" s="17">
        <v>0</v>
      </c>
      <c r="H133" s="17">
        <f t="shared" si="18"/>
        <v>1</v>
      </c>
    </row>
    <row r="134" spans="3:8" x14ac:dyDescent="0.2">
      <c r="C134" s="7">
        <v>46660</v>
      </c>
      <c r="D134" s="22">
        <f t="shared" ref="D134" si="29">6%/2*H132</f>
        <v>0.03</v>
      </c>
      <c r="E134" s="17">
        <f>E132</f>
        <v>1</v>
      </c>
      <c r="F134" s="22">
        <f t="shared" ref="F134" si="30">D134+E134</f>
        <v>1.03</v>
      </c>
      <c r="H134" s="17">
        <f t="shared" si="18"/>
        <v>0</v>
      </c>
    </row>
    <row r="136" spans="3:8" x14ac:dyDescent="0.2">
      <c r="C136" s="1" t="s">
        <v>86</v>
      </c>
      <c r="F136" s="9">
        <v>8.2500000000000004E-2</v>
      </c>
    </row>
    <row r="137" spans="3:8" x14ac:dyDescent="0.2">
      <c r="C137" s="1" t="s">
        <v>87</v>
      </c>
      <c r="F137" s="8">
        <f>(1+F136)^0.25-1</f>
        <v>2.0015981411193762E-2</v>
      </c>
    </row>
    <row r="139" spans="3:8" x14ac:dyDescent="0.2">
      <c r="C139" s="1" t="s">
        <v>149</v>
      </c>
      <c r="F139" s="22">
        <f>NPV(F137,F112:F134)</f>
        <v>2.7812949606648689</v>
      </c>
    </row>
    <row r="140" spans="3:8" x14ac:dyDescent="0.2">
      <c r="C140" s="1" t="s">
        <v>150</v>
      </c>
      <c r="F140" s="44">
        <f>2.9808</f>
        <v>2.9807999999999999</v>
      </c>
    </row>
    <row r="141" spans="3:8" x14ac:dyDescent="0.2">
      <c r="C141" s="1" t="s">
        <v>151</v>
      </c>
      <c r="F141" s="32">
        <f>F140/F139-1</f>
        <v>7.1730989397629008E-2</v>
      </c>
    </row>
    <row r="142" spans="3:8" ht="17" thickBot="1" x14ac:dyDescent="0.25">
      <c r="C142" s="1" t="s">
        <v>152</v>
      </c>
      <c r="F142" s="1">
        <v>102</v>
      </c>
    </row>
    <row r="143" spans="3:8" ht="17" thickBot="1" x14ac:dyDescent="0.25">
      <c r="C143" s="1" t="s">
        <v>153</v>
      </c>
      <c r="F143" s="46">
        <f>(1+F141)*F142</f>
        <v>109.31656091855815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2"/>
  <sheetViews>
    <sheetView rightToLeft="1" tabSelected="1" zoomScale="217" zoomScaleNormal="120" workbookViewId="0">
      <selection activeCell="D21" sqref="D21"/>
    </sheetView>
  </sheetViews>
  <sheetFormatPr baseColWidth="10" defaultColWidth="10.83203125" defaultRowHeight="16" x14ac:dyDescent="0.2"/>
  <cols>
    <col min="1" max="7" width="10.83203125" style="1"/>
    <col min="8" max="8" width="11.6640625" style="1" customWidth="1"/>
    <col min="9" max="16384" width="10.83203125" style="1"/>
  </cols>
  <sheetData>
    <row r="1" spans="1:8" x14ac:dyDescent="0.2">
      <c r="A1" s="5" t="s">
        <v>43</v>
      </c>
      <c r="B1" s="5"/>
      <c r="C1" s="5"/>
      <c r="D1" s="5"/>
      <c r="E1" s="5"/>
      <c r="F1" s="5"/>
      <c r="G1" s="5"/>
      <c r="H1" s="5"/>
    </row>
    <row r="3" spans="1:8" x14ac:dyDescent="0.2">
      <c r="A3" s="1" t="s">
        <v>128</v>
      </c>
    </row>
    <row r="4" spans="1:8" x14ac:dyDescent="0.2">
      <c r="A4" s="1" t="s">
        <v>44</v>
      </c>
    </row>
    <row r="5" spans="1:8" x14ac:dyDescent="0.2">
      <c r="A5" s="1" t="s">
        <v>45</v>
      </c>
    </row>
    <row r="6" spans="1:8" x14ac:dyDescent="0.2">
      <c r="A6" s="1" t="s">
        <v>161</v>
      </c>
    </row>
    <row r="7" spans="1:8" x14ac:dyDescent="0.2">
      <c r="A7" s="1" t="s">
        <v>162</v>
      </c>
    </row>
    <row r="8" spans="1:8" x14ac:dyDescent="0.2">
      <c r="A8" s="1" t="s">
        <v>46</v>
      </c>
    </row>
    <row r="9" spans="1:8" x14ac:dyDescent="0.2">
      <c r="A9" s="1" t="s">
        <v>179</v>
      </c>
    </row>
    <row r="10" spans="1:8" x14ac:dyDescent="0.2">
      <c r="A10" s="1" t="s">
        <v>47</v>
      </c>
    </row>
    <row r="11" spans="1:8" x14ac:dyDescent="0.2">
      <c r="A11" s="1" t="s">
        <v>48</v>
      </c>
    </row>
    <row r="12" spans="1:8" x14ac:dyDescent="0.2">
      <c r="A12" s="1" t="s">
        <v>49</v>
      </c>
    </row>
    <row r="13" spans="1:8" x14ac:dyDescent="0.2">
      <c r="A13" s="1" t="s">
        <v>50</v>
      </c>
    </row>
    <row r="14" spans="1:8" x14ac:dyDescent="0.2">
      <c r="A14" s="1" t="s">
        <v>51</v>
      </c>
    </row>
    <row r="15" spans="1:8" x14ac:dyDescent="0.2">
      <c r="A15" s="1" t="s">
        <v>52</v>
      </c>
    </row>
    <row r="16" spans="1:8" x14ac:dyDescent="0.2">
      <c r="A16" s="43"/>
    </row>
    <row r="17" spans="1:8" x14ac:dyDescent="0.2">
      <c r="A17" s="43"/>
      <c r="B17" s="1" t="s">
        <v>53</v>
      </c>
      <c r="C17" s="1" t="s">
        <v>54</v>
      </c>
    </row>
    <row r="18" spans="1:8" x14ac:dyDescent="0.2">
      <c r="A18" s="43"/>
      <c r="B18" s="7">
        <v>45657</v>
      </c>
      <c r="C18" s="49">
        <v>80</v>
      </c>
    </row>
    <row r="19" spans="1:8" x14ac:dyDescent="0.2">
      <c r="B19" s="7">
        <v>46022</v>
      </c>
      <c r="C19" s="49">
        <v>83</v>
      </c>
    </row>
    <row r="20" spans="1:8" x14ac:dyDescent="0.2">
      <c r="B20" s="7">
        <v>46387</v>
      </c>
      <c r="C20" s="49">
        <v>87</v>
      </c>
    </row>
    <row r="21" spans="1:8" x14ac:dyDescent="0.2">
      <c r="B21" s="7">
        <v>46752</v>
      </c>
      <c r="C21" s="49">
        <v>92</v>
      </c>
    </row>
    <row r="22" spans="1:8" x14ac:dyDescent="0.2">
      <c r="B22" s="7">
        <v>47118</v>
      </c>
      <c r="C22" s="49">
        <v>97</v>
      </c>
    </row>
    <row r="23" spans="1:8" x14ac:dyDescent="0.2">
      <c r="C23" s="6"/>
    </row>
    <row r="24" spans="1:8" x14ac:dyDescent="0.2">
      <c r="A24" s="1" t="s">
        <v>55</v>
      </c>
    </row>
    <row r="25" spans="1:8" x14ac:dyDescent="0.2">
      <c r="A25" s="1" t="s">
        <v>56</v>
      </c>
    </row>
    <row r="26" spans="1:8" x14ac:dyDescent="0.2">
      <c r="A26" s="1" t="s">
        <v>57</v>
      </c>
    </row>
    <row r="27" spans="1:8" x14ac:dyDescent="0.2">
      <c r="A27" s="1" t="s">
        <v>184</v>
      </c>
    </row>
    <row r="29" spans="1:8" x14ac:dyDescent="0.2">
      <c r="A29" s="3" t="s">
        <v>156</v>
      </c>
    </row>
    <row r="30" spans="1:8" ht="17" thickBot="1" x14ac:dyDescent="0.25"/>
    <row r="31" spans="1:8" x14ac:dyDescent="0.2">
      <c r="A31" s="11" t="s">
        <v>45</v>
      </c>
      <c r="B31" s="12"/>
      <c r="C31" s="12"/>
      <c r="D31" s="12"/>
      <c r="E31" s="12"/>
      <c r="F31" s="12"/>
      <c r="G31" s="12"/>
      <c r="H31" s="13"/>
    </row>
    <row r="32" spans="1:8" x14ac:dyDescent="0.2">
      <c r="A32" s="25" t="s">
        <v>161</v>
      </c>
      <c r="H32" s="26"/>
    </row>
    <row r="33" spans="1:8" x14ac:dyDescent="0.2">
      <c r="A33" s="25" t="s">
        <v>162</v>
      </c>
      <c r="H33" s="26"/>
    </row>
    <row r="34" spans="1:8" ht="17" thickBot="1" x14ac:dyDescent="0.25">
      <c r="A34" s="14" t="s">
        <v>46</v>
      </c>
      <c r="B34" s="15"/>
      <c r="C34" s="15"/>
      <c r="D34" s="15"/>
      <c r="E34" s="15"/>
      <c r="F34" s="15"/>
      <c r="G34" s="15"/>
      <c r="H34" s="16"/>
    </row>
    <row r="36" spans="1:8" x14ac:dyDescent="0.2">
      <c r="A36" s="1" t="s">
        <v>157</v>
      </c>
      <c r="C36" s="1">
        <v>842.11</v>
      </c>
      <c r="E36" s="1" t="s">
        <v>158</v>
      </c>
    </row>
    <row r="37" spans="1:8" x14ac:dyDescent="0.2">
      <c r="A37" s="1" t="s">
        <v>159</v>
      </c>
      <c r="C37" s="8">
        <v>0.1</v>
      </c>
      <c r="E37" s="1" t="s">
        <v>160</v>
      </c>
    </row>
    <row r="38" spans="1:8" x14ac:dyDescent="0.2">
      <c r="A38" s="1" t="s">
        <v>164</v>
      </c>
      <c r="C38" s="1">
        <v>80</v>
      </c>
      <c r="E38" s="1" t="s">
        <v>163</v>
      </c>
    </row>
    <row r="39" spans="1:8" x14ac:dyDescent="0.2">
      <c r="A39" s="1" t="s">
        <v>165</v>
      </c>
      <c r="C39" s="8">
        <v>0.8</v>
      </c>
    </row>
    <row r="40" spans="1:8" x14ac:dyDescent="0.2">
      <c r="A40" s="1" t="s">
        <v>166</v>
      </c>
      <c r="C40" s="1">
        <f>C38*C39</f>
        <v>64</v>
      </c>
      <c r="E40" s="1" t="s">
        <v>167</v>
      </c>
    </row>
    <row r="41" spans="1:8" ht="17" thickBot="1" x14ac:dyDescent="0.25"/>
    <row r="42" spans="1:8" ht="17" thickBot="1" x14ac:dyDescent="0.25">
      <c r="A42" s="1" t="s">
        <v>168</v>
      </c>
      <c r="C42" s="47">
        <v>2.4E-2</v>
      </c>
      <c r="D42" s="1" t="s">
        <v>170</v>
      </c>
    </row>
    <row r="44" spans="1:8" x14ac:dyDescent="0.2">
      <c r="A44" s="1" t="s">
        <v>169</v>
      </c>
      <c r="C44" s="45">
        <f>C40/(C37-C42)</f>
        <v>842.10526315789457</v>
      </c>
      <c r="E44" s="1" t="s">
        <v>158</v>
      </c>
    </row>
    <row r="45" spans="1:8" ht="17" thickBot="1" x14ac:dyDescent="0.25"/>
    <row r="46" spans="1:8" x14ac:dyDescent="0.2">
      <c r="A46" s="11" t="s">
        <v>179</v>
      </c>
      <c r="B46" s="12"/>
      <c r="C46" s="12"/>
      <c r="D46" s="12"/>
      <c r="E46" s="12"/>
      <c r="F46" s="12"/>
      <c r="G46" s="12"/>
      <c r="H46" s="13"/>
    </row>
    <row r="47" spans="1:8" x14ac:dyDescent="0.2">
      <c r="A47" s="25" t="s">
        <v>47</v>
      </c>
      <c r="H47" s="26"/>
    </row>
    <row r="48" spans="1:8" x14ac:dyDescent="0.2">
      <c r="A48" s="25" t="s">
        <v>48</v>
      </c>
      <c r="H48" s="26"/>
    </row>
    <row r="49" spans="1:8" x14ac:dyDescent="0.2">
      <c r="A49" s="25" t="s">
        <v>49</v>
      </c>
      <c r="H49" s="26"/>
    </row>
    <row r="50" spans="1:8" x14ac:dyDescent="0.2">
      <c r="A50" s="25" t="s">
        <v>50</v>
      </c>
      <c r="H50" s="26"/>
    </row>
    <row r="51" spans="1:8" ht="17" thickBot="1" x14ac:dyDescent="0.25">
      <c r="A51" s="14" t="s">
        <v>51</v>
      </c>
      <c r="B51" s="15"/>
      <c r="C51" s="15"/>
      <c r="D51" s="15"/>
      <c r="E51" s="15"/>
      <c r="F51" s="15"/>
      <c r="G51" s="15"/>
      <c r="H51" s="16"/>
    </row>
    <row r="53" spans="1:8" x14ac:dyDescent="0.2">
      <c r="A53" s="1" t="s">
        <v>171</v>
      </c>
      <c r="C53" s="1">
        <v>1680</v>
      </c>
      <c r="E53" s="1" t="s">
        <v>158</v>
      </c>
    </row>
    <row r="54" spans="1:8" x14ac:dyDescent="0.2">
      <c r="A54" s="1" t="s">
        <v>172</v>
      </c>
      <c r="C54" s="8">
        <v>0.2</v>
      </c>
      <c r="E54" s="1" t="s">
        <v>160</v>
      </c>
    </row>
    <row r="55" spans="1:8" x14ac:dyDescent="0.2">
      <c r="A55" s="1" t="s">
        <v>173</v>
      </c>
      <c r="C55" s="1">
        <v>280</v>
      </c>
      <c r="E55" s="1" t="s">
        <v>163</v>
      </c>
      <c r="F55" s="9"/>
    </row>
    <row r="56" spans="1:8" x14ac:dyDescent="0.2">
      <c r="A56" s="1" t="s">
        <v>174</v>
      </c>
      <c r="C56" s="8">
        <v>0.75</v>
      </c>
    </row>
    <row r="57" spans="1:8" x14ac:dyDescent="0.2">
      <c r="A57" s="1" t="s">
        <v>175</v>
      </c>
      <c r="C57" s="1">
        <f>C55*C56</f>
        <v>210</v>
      </c>
      <c r="E57" s="1" t="s">
        <v>176</v>
      </c>
      <c r="F57" s="6"/>
    </row>
    <row r="58" spans="1:8" ht="17" thickBot="1" x14ac:dyDescent="0.25"/>
    <row r="59" spans="1:8" ht="17" thickBot="1" x14ac:dyDescent="0.25">
      <c r="A59" s="1" t="s">
        <v>168</v>
      </c>
      <c r="C59" s="47">
        <v>7.4999999999999997E-2</v>
      </c>
      <c r="D59" s="1" t="s">
        <v>170</v>
      </c>
    </row>
    <row r="61" spans="1:8" x14ac:dyDescent="0.2">
      <c r="A61" s="1" t="s">
        <v>169</v>
      </c>
      <c r="C61" s="1">
        <f>C57/(C54-C59)</f>
        <v>1680</v>
      </c>
      <c r="E61" s="1" t="s">
        <v>180</v>
      </c>
    </row>
    <row r="63" spans="1:8" x14ac:dyDescent="0.2">
      <c r="A63" s="1" t="s">
        <v>177</v>
      </c>
      <c r="C63" s="1">
        <f>C55/C54</f>
        <v>1400</v>
      </c>
      <c r="E63" s="1" t="s">
        <v>178</v>
      </c>
    </row>
    <row r="64" spans="1:8" ht="17" thickBot="1" x14ac:dyDescent="0.25"/>
    <row r="65" spans="1:8" ht="17" thickBot="1" x14ac:dyDescent="0.25">
      <c r="A65" s="1" t="s">
        <v>181</v>
      </c>
      <c r="C65" s="48">
        <f>C61-C63</f>
        <v>280</v>
      </c>
    </row>
    <row r="66" spans="1:8" ht="17" thickBot="1" x14ac:dyDescent="0.25"/>
    <row r="67" spans="1:8" x14ac:dyDescent="0.2">
      <c r="A67" s="11" t="s">
        <v>52</v>
      </c>
      <c r="B67" s="12"/>
      <c r="C67" s="12"/>
      <c r="D67" s="12"/>
      <c r="E67" s="12"/>
      <c r="F67" s="12"/>
      <c r="G67" s="12"/>
      <c r="H67" s="13"/>
    </row>
    <row r="68" spans="1:8" x14ac:dyDescent="0.2">
      <c r="A68" s="41"/>
      <c r="H68" s="26"/>
    </row>
    <row r="69" spans="1:8" x14ac:dyDescent="0.2">
      <c r="A69" s="41"/>
      <c r="B69" s="1" t="s">
        <v>53</v>
      </c>
      <c r="C69" s="1" t="s">
        <v>54</v>
      </c>
      <c r="H69" s="26"/>
    </row>
    <row r="70" spans="1:8" x14ac:dyDescent="0.2">
      <c r="A70" s="41"/>
      <c r="B70" s="7">
        <v>45657</v>
      </c>
      <c r="C70" s="49">
        <v>80</v>
      </c>
      <c r="H70" s="26"/>
    </row>
    <row r="71" spans="1:8" x14ac:dyDescent="0.2">
      <c r="A71" s="25"/>
      <c r="B71" s="7">
        <v>46022</v>
      </c>
      <c r="C71" s="49">
        <v>83</v>
      </c>
      <c r="H71" s="26"/>
    </row>
    <row r="72" spans="1:8" x14ac:dyDescent="0.2">
      <c r="A72" s="25"/>
      <c r="B72" s="7">
        <v>46387</v>
      </c>
      <c r="C72" s="49">
        <v>87</v>
      </c>
      <c r="H72" s="26"/>
    </row>
    <row r="73" spans="1:8" x14ac:dyDescent="0.2">
      <c r="A73" s="25"/>
      <c r="B73" s="7">
        <v>46752</v>
      </c>
      <c r="C73" s="49">
        <v>92</v>
      </c>
      <c r="H73" s="26"/>
    </row>
    <row r="74" spans="1:8" x14ac:dyDescent="0.2">
      <c r="A74" s="25"/>
      <c r="B74" s="7">
        <v>47118</v>
      </c>
      <c r="C74" s="49">
        <v>97</v>
      </c>
      <c r="H74" s="26"/>
    </row>
    <row r="75" spans="1:8" x14ac:dyDescent="0.2">
      <c r="A75" s="25"/>
      <c r="C75" s="6"/>
      <c r="H75" s="26"/>
    </row>
    <row r="76" spans="1:8" x14ac:dyDescent="0.2">
      <c r="A76" s="25" t="s">
        <v>55</v>
      </c>
      <c r="H76" s="26"/>
    </row>
    <row r="77" spans="1:8" x14ac:dyDescent="0.2">
      <c r="A77" s="25" t="s">
        <v>56</v>
      </c>
      <c r="H77" s="26"/>
    </row>
    <row r="78" spans="1:8" x14ac:dyDescent="0.2">
      <c r="A78" s="25" t="s">
        <v>57</v>
      </c>
      <c r="H78" s="26"/>
    </row>
    <row r="79" spans="1:8" ht="17" thickBot="1" x14ac:dyDescent="0.25">
      <c r="A79" s="14" t="s">
        <v>184</v>
      </c>
      <c r="B79" s="15"/>
      <c r="C79" s="15"/>
      <c r="D79" s="15"/>
      <c r="E79" s="15"/>
      <c r="F79" s="15"/>
      <c r="G79" s="15"/>
      <c r="H79" s="16"/>
    </row>
    <row r="81" spans="2:6" x14ac:dyDescent="0.2">
      <c r="B81" s="1" t="s">
        <v>191</v>
      </c>
      <c r="E81" s="20">
        <f>5%+(12%-5%)*1.4</f>
        <v>0.14799999999999999</v>
      </c>
    </row>
    <row r="83" spans="2:6" x14ac:dyDescent="0.2">
      <c r="B83" s="1" t="s">
        <v>53</v>
      </c>
      <c r="C83" s="49" t="s">
        <v>182</v>
      </c>
      <c r="D83" s="49" t="s">
        <v>183</v>
      </c>
      <c r="E83" s="1" t="s">
        <v>188</v>
      </c>
      <c r="F83" s="1" t="s">
        <v>189</v>
      </c>
    </row>
    <row r="84" spans="2:6" x14ac:dyDescent="0.2">
      <c r="B84" s="7">
        <v>45657</v>
      </c>
      <c r="C84" s="49">
        <v>80</v>
      </c>
      <c r="D84" s="49">
        <f>C84*70%</f>
        <v>56</v>
      </c>
      <c r="F84" s="1">
        <f>D84</f>
        <v>56</v>
      </c>
    </row>
    <row r="85" spans="2:6" x14ac:dyDescent="0.2">
      <c r="B85" s="7">
        <v>46022</v>
      </c>
      <c r="C85" s="49">
        <v>83</v>
      </c>
      <c r="D85" s="49">
        <f t="shared" ref="D85:D88" si="0">C85*70%</f>
        <v>58.099999999999994</v>
      </c>
      <c r="F85" s="1">
        <f>D85</f>
        <v>58.099999999999994</v>
      </c>
    </row>
    <row r="86" spans="2:6" x14ac:dyDescent="0.2">
      <c r="B86" s="7">
        <v>46387</v>
      </c>
      <c r="C86" s="49">
        <v>87</v>
      </c>
      <c r="D86" s="49">
        <f t="shared" si="0"/>
        <v>60.9</v>
      </c>
      <c r="F86" s="1">
        <f>D86</f>
        <v>60.9</v>
      </c>
    </row>
    <row r="87" spans="2:6" x14ac:dyDescent="0.2">
      <c r="B87" s="7">
        <v>46752</v>
      </c>
      <c r="C87" s="49">
        <v>92</v>
      </c>
      <c r="D87" s="49">
        <f t="shared" si="0"/>
        <v>64.399999999999991</v>
      </c>
      <c r="F87" s="1">
        <f>D87</f>
        <v>64.399999999999991</v>
      </c>
    </row>
    <row r="88" spans="2:6" x14ac:dyDescent="0.2">
      <c r="B88" s="7">
        <v>47118</v>
      </c>
      <c r="C88" s="49">
        <v>97</v>
      </c>
      <c r="D88" s="49">
        <f t="shared" si="0"/>
        <v>67.899999999999991</v>
      </c>
      <c r="E88" s="45">
        <f>E100/(E81-E98)</f>
        <v>722.26050252022594</v>
      </c>
      <c r="F88" s="45">
        <f>D88+E88</f>
        <v>790.16050252022592</v>
      </c>
    </row>
    <row r="89" spans="2:6" x14ac:dyDescent="0.2">
      <c r="B89" s="7">
        <v>47483</v>
      </c>
      <c r="C89" s="49" t="s">
        <v>185</v>
      </c>
    </row>
    <row r="91" spans="2:6" ht="17" thickBot="1" x14ac:dyDescent="0.25">
      <c r="B91" s="1" t="s">
        <v>193</v>
      </c>
      <c r="F91" s="45">
        <f>NPV(E81,F84:F88)</f>
        <v>566.47959573071319</v>
      </c>
    </row>
    <row r="92" spans="2:6" ht="17" thickBot="1" x14ac:dyDescent="0.25">
      <c r="B92" s="1" t="s">
        <v>194</v>
      </c>
      <c r="F92" s="46">
        <f>F91*(1+E81)^0.5</f>
        <v>606.95321398882015</v>
      </c>
    </row>
    <row r="94" spans="2:6" x14ac:dyDescent="0.2">
      <c r="B94" s="1" t="s">
        <v>195</v>
      </c>
    </row>
    <row r="96" spans="2:6" x14ac:dyDescent="0.2">
      <c r="B96" s="1" t="s">
        <v>186</v>
      </c>
      <c r="E96" s="10">
        <f>D88/D84-1</f>
        <v>0.21249999999999991</v>
      </c>
    </row>
    <row r="97" spans="2:5" x14ac:dyDescent="0.2">
      <c r="E97" s="10"/>
    </row>
    <row r="98" spans="2:5" x14ac:dyDescent="0.2">
      <c r="B98" s="1" t="s">
        <v>187</v>
      </c>
      <c r="E98" s="10">
        <f>(1+E96)^0.25-1</f>
        <v>4.9350169046187276E-2</v>
      </c>
    </row>
    <row r="100" spans="2:5" x14ac:dyDescent="0.2">
      <c r="B100" s="1" t="s">
        <v>190</v>
      </c>
      <c r="E100" s="45">
        <f>D88*(1+E98)</f>
        <v>71.250876478236108</v>
      </c>
    </row>
    <row r="102" spans="2:5" x14ac:dyDescent="0.2">
      <c r="B102" s="1" t="s">
        <v>192</v>
      </c>
      <c r="E102" s="45">
        <f>E100/(E81-E98)</f>
        <v>722.26050252022594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rightToLeft="1" zoomScale="234" workbookViewId="0">
      <selection activeCell="E15" sqref="E15"/>
    </sheetView>
  </sheetViews>
  <sheetFormatPr baseColWidth="10" defaultColWidth="10.83203125" defaultRowHeight="16" x14ac:dyDescent="0.2"/>
  <cols>
    <col min="1" max="16384" width="10.83203125" style="1"/>
  </cols>
  <sheetData>
    <row r="1" spans="1:8" x14ac:dyDescent="0.2">
      <c r="A1" s="5" t="s">
        <v>58</v>
      </c>
      <c r="B1" s="5"/>
      <c r="C1" s="5"/>
      <c r="D1" s="5"/>
      <c r="E1" s="5"/>
      <c r="F1" s="5"/>
      <c r="G1" s="5"/>
      <c r="H1" s="5"/>
    </row>
    <row r="3" spans="1:8" x14ac:dyDescent="0.2">
      <c r="A3" s="1" t="s">
        <v>59</v>
      </c>
    </row>
    <row r="4" spans="1:8" x14ac:dyDescent="0.2">
      <c r="A4" s="1" t="s">
        <v>60</v>
      </c>
    </row>
    <row r="5" spans="1:8" x14ac:dyDescent="0.2">
      <c r="A5" s="1" t="s">
        <v>61</v>
      </c>
    </row>
    <row r="6" spans="1:8" x14ac:dyDescent="0.2">
      <c r="A6" s="1" t="s">
        <v>62</v>
      </c>
    </row>
    <row r="7" spans="1:8" x14ac:dyDescent="0.2">
      <c r="A7" s="1" t="s">
        <v>63</v>
      </c>
    </row>
    <row r="8" spans="1:8" x14ac:dyDescent="0.2">
      <c r="A8" s="1" t="s">
        <v>66</v>
      </c>
    </row>
    <row r="9" spans="1:8" x14ac:dyDescent="0.2">
      <c r="A9" s="1" t="s">
        <v>123</v>
      </c>
    </row>
    <row r="10" spans="1:8" x14ac:dyDescent="0.2">
      <c r="A10" s="1" t="s">
        <v>64</v>
      </c>
    </row>
    <row r="12" spans="1:8" x14ac:dyDescent="0.2">
      <c r="A12" s="3" t="s">
        <v>117</v>
      </c>
    </row>
    <row r="13" spans="1:8" ht="17" thickBot="1" x14ac:dyDescent="0.25"/>
    <row r="14" spans="1:8" ht="17" thickBot="1" x14ac:dyDescent="0.25">
      <c r="A14" s="33" t="s">
        <v>114</v>
      </c>
      <c r="B14" s="34" t="s">
        <v>126</v>
      </c>
    </row>
    <row r="15" spans="1:8" x14ac:dyDescent="0.2">
      <c r="A15" s="3"/>
      <c r="B15" s="3"/>
    </row>
    <row r="16" spans="1:8" x14ac:dyDescent="0.2">
      <c r="A16" s="3" t="s">
        <v>116</v>
      </c>
      <c r="B16" s="3"/>
    </row>
    <row r="17" spans="1:2" x14ac:dyDescent="0.2">
      <c r="A17" s="1" t="s">
        <v>105</v>
      </c>
      <c r="B17" s="1" t="s">
        <v>118</v>
      </c>
    </row>
    <row r="18" spans="1:2" x14ac:dyDescent="0.2">
      <c r="A18" s="1" t="s">
        <v>108</v>
      </c>
      <c r="B18" s="1" t="s">
        <v>119</v>
      </c>
    </row>
    <row r="19" spans="1:2" x14ac:dyDescent="0.2">
      <c r="B19" s="1" t="s">
        <v>120</v>
      </c>
    </row>
    <row r="20" spans="1:2" x14ac:dyDescent="0.2">
      <c r="A20" s="1" t="s">
        <v>110</v>
      </c>
      <c r="B20" s="1" t="s">
        <v>121</v>
      </c>
    </row>
    <row r="21" spans="1:2" x14ac:dyDescent="0.2">
      <c r="B21" s="1" t="s">
        <v>122</v>
      </c>
    </row>
    <row r="22" spans="1:2" x14ac:dyDescent="0.2">
      <c r="A22" s="1" t="s">
        <v>112</v>
      </c>
      <c r="B22" s="1" t="s">
        <v>124</v>
      </c>
    </row>
    <row r="23" spans="1:2" x14ac:dyDescent="0.2">
      <c r="B23" s="1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rightToLeft="1" zoomScale="252" zoomScaleNormal="150" workbookViewId="0">
      <selection activeCell="A12" sqref="A12:H18"/>
    </sheetView>
  </sheetViews>
  <sheetFormatPr baseColWidth="10" defaultColWidth="10.83203125" defaultRowHeight="16" x14ac:dyDescent="0.2"/>
  <cols>
    <col min="1" max="16384" width="10.83203125" style="1"/>
  </cols>
  <sheetData>
    <row r="1" spans="1:8" x14ac:dyDescent="0.2">
      <c r="A1" s="5" t="s">
        <v>65</v>
      </c>
      <c r="B1" s="5"/>
      <c r="C1" s="5"/>
      <c r="D1" s="5"/>
      <c r="E1" s="5"/>
      <c r="F1" s="5"/>
      <c r="G1" s="5"/>
      <c r="H1" s="5"/>
    </row>
    <row r="3" spans="1:8" x14ac:dyDescent="0.2">
      <c r="A3" s="1" t="s">
        <v>59</v>
      </c>
    </row>
    <row r="4" spans="1:8" x14ac:dyDescent="0.2">
      <c r="A4" s="1" t="s">
        <v>107</v>
      </c>
    </row>
    <row r="5" spans="1:8" x14ac:dyDescent="0.2">
      <c r="A5" s="1" t="s">
        <v>69</v>
      </c>
    </row>
    <row r="6" spans="1:8" x14ac:dyDescent="0.2">
      <c r="A6" s="1" t="s">
        <v>67</v>
      </c>
    </row>
    <row r="7" spans="1:8" x14ac:dyDescent="0.2">
      <c r="A7" s="1" t="s">
        <v>68</v>
      </c>
    </row>
    <row r="8" spans="1:8" x14ac:dyDescent="0.2">
      <c r="A8" s="1" t="s">
        <v>64</v>
      </c>
    </row>
    <row r="10" spans="1:8" x14ac:dyDescent="0.2">
      <c r="A10" s="3" t="s">
        <v>104</v>
      </c>
    </row>
    <row r="11" spans="1:8" ht="17" thickBot="1" x14ac:dyDescent="0.25">
      <c r="A11" s="3"/>
    </row>
    <row r="12" spans="1:8" ht="17" thickBot="1" x14ac:dyDescent="0.25">
      <c r="A12" s="33" t="s">
        <v>114</v>
      </c>
      <c r="B12" s="34" t="s">
        <v>115</v>
      </c>
    </row>
    <row r="13" spans="1:8" x14ac:dyDescent="0.2">
      <c r="A13" s="3"/>
      <c r="B13" s="3"/>
    </row>
    <row r="14" spans="1:8" x14ac:dyDescent="0.2">
      <c r="A14" s="3" t="s">
        <v>116</v>
      </c>
      <c r="B14" s="3"/>
    </row>
    <row r="15" spans="1:8" x14ac:dyDescent="0.2">
      <c r="A15" s="1" t="s">
        <v>105</v>
      </c>
      <c r="B15" s="1" t="s">
        <v>106</v>
      </c>
    </row>
    <row r="16" spans="1:8" x14ac:dyDescent="0.2">
      <c r="A16" s="1" t="s">
        <v>108</v>
      </c>
      <c r="B16" s="1" t="s">
        <v>109</v>
      </c>
    </row>
    <row r="17" spans="1:2" x14ac:dyDescent="0.2">
      <c r="A17" s="1" t="s">
        <v>110</v>
      </c>
      <c r="B17" s="1" t="s">
        <v>111</v>
      </c>
    </row>
    <row r="18" spans="1:2" x14ac:dyDescent="0.2">
      <c r="A18" s="1" t="s">
        <v>112</v>
      </c>
      <c r="B18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הנחיות</vt:lpstr>
      <vt:lpstr>שאלה 1</vt:lpstr>
      <vt:lpstr>שאלה 2</vt:lpstr>
      <vt:lpstr>שאלה 3</vt:lpstr>
      <vt:lpstr>שאלה 4</vt:lpstr>
      <vt:lpstr>שאלה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Tsaban</dc:creator>
  <cp:lastModifiedBy>Shay Tsaban</cp:lastModifiedBy>
  <dcterms:created xsi:type="dcterms:W3CDTF">2024-02-03T20:54:18Z</dcterms:created>
  <dcterms:modified xsi:type="dcterms:W3CDTF">2025-01-27T06:29:41Z</dcterms:modified>
</cp:coreProperties>
</file>