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haytsaban/Documents/Colman AFM/2025 A/"/>
    </mc:Choice>
  </mc:AlternateContent>
  <xr:revisionPtr revIDLastSave="0" documentId="13_ncr:1_{C6545B2B-A798-FB4B-9FC6-7572322EBAFB}" xr6:coauthVersionLast="47" xr6:coauthVersionMax="47" xr10:uidLastSave="{00000000-0000-0000-0000-000000000000}"/>
  <bookViews>
    <workbookView xWindow="0" yWindow="500" windowWidth="51200" windowHeight="29580" activeTab="5" xr2:uid="{00000000-000D-0000-FFFF-FFFF00000000}"/>
  </bookViews>
  <sheets>
    <sheet name="הנחיות" sheetId="1" r:id="rId1"/>
    <sheet name="שאלה 1" sheetId="2" r:id="rId2"/>
    <sheet name="שאלה 2" sheetId="3" r:id="rId3"/>
    <sheet name="שאלה 3" sheetId="4" r:id="rId4"/>
    <sheet name="שאלה 4" sheetId="5" r:id="rId5"/>
    <sheet name="שאלה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5" i="4" l="1"/>
  <c r="G140" i="4"/>
  <c r="G136" i="4"/>
  <c r="E138" i="4"/>
  <c r="E139" i="4"/>
  <c r="E140" i="4"/>
  <c r="E137" i="4"/>
  <c r="E136" i="4"/>
  <c r="C126" i="4"/>
  <c r="D81" i="4"/>
  <c r="D47" i="4"/>
  <c r="F151" i="4" l="1"/>
  <c r="E128" i="4"/>
  <c r="G137" i="4"/>
  <c r="G138" i="4"/>
  <c r="G139" i="4"/>
  <c r="C74" i="4"/>
  <c r="C85" i="4" s="1"/>
  <c r="C94" i="4"/>
  <c r="C40" i="4"/>
  <c r="C51" i="4" s="1"/>
  <c r="F141" i="3"/>
  <c r="F140" i="3"/>
  <c r="F139" i="3"/>
  <c r="F143" i="3" s="1"/>
  <c r="F137" i="3"/>
  <c r="H113" i="3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12" i="3"/>
  <c r="D114" i="3" s="1"/>
  <c r="F114" i="3" s="1"/>
  <c r="D112" i="3"/>
  <c r="F112" i="3" s="1"/>
  <c r="H86" i="3"/>
  <c r="D87" i="3" s="1"/>
  <c r="F87" i="3" s="1"/>
  <c r="F81" i="3"/>
  <c r="F76" i="3"/>
  <c r="H63" i="3"/>
  <c r="D64" i="3" s="1"/>
  <c r="F28" i="3"/>
  <c r="E43" i="2"/>
  <c r="H28" i="3"/>
  <c r="D29" i="3" s="1"/>
  <c r="F98" i="2"/>
  <c r="F95" i="2"/>
  <c r="F94" i="2"/>
  <c r="F92" i="2"/>
  <c r="F91" i="2"/>
  <c r="F82" i="2"/>
  <c r="H82" i="2"/>
  <c r="D83" i="2"/>
  <c r="D82" i="2"/>
  <c r="H81" i="2"/>
  <c r="E86" i="2" s="1"/>
  <c r="E87" i="2" s="1"/>
  <c r="E88" i="2" s="1"/>
  <c r="E89" i="2" s="1"/>
  <c r="F57" i="2"/>
  <c r="E66" i="2"/>
  <c r="E67" i="2" s="1"/>
  <c r="E68" i="2" s="1"/>
  <c r="E69" i="2" s="1"/>
  <c r="H58" i="2"/>
  <c r="D59" i="2" s="1"/>
  <c r="H25" i="2"/>
  <c r="C26" i="2"/>
  <c r="D58" i="2" s="1"/>
  <c r="F58" i="2" s="1"/>
  <c r="C24" i="2"/>
  <c r="E44" i="2" s="1"/>
  <c r="E45" i="2" s="1"/>
  <c r="E46" i="2" s="1"/>
  <c r="C96" i="4" l="1"/>
  <c r="F155" i="4"/>
  <c r="F159" i="4" s="1"/>
  <c r="E141" i="4" s="1"/>
  <c r="H87" i="3"/>
  <c r="H88" i="3" s="1"/>
  <c r="H89" i="3" s="1"/>
  <c r="D89" i="3"/>
  <c r="F89" i="3" s="1"/>
  <c r="D88" i="3"/>
  <c r="F88" i="3" s="1"/>
  <c r="H64" i="3"/>
  <c r="H65" i="3" s="1"/>
  <c r="H66" i="3" s="1"/>
  <c r="H67" i="3" s="1"/>
  <c r="H68" i="3" s="1"/>
  <c r="H69" i="3" s="1"/>
  <c r="H70" i="3" s="1"/>
  <c r="F64" i="3"/>
  <c r="D65" i="3"/>
  <c r="H29" i="3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F29" i="3"/>
  <c r="H59" i="2"/>
  <c r="H60" i="2" s="1"/>
  <c r="H61" i="2" s="1"/>
  <c r="H62" i="2" s="1"/>
  <c r="H63" i="2" s="1"/>
  <c r="H64" i="2" s="1"/>
  <c r="H65" i="2" s="1"/>
  <c r="H66" i="2"/>
  <c r="H67" i="2" s="1"/>
  <c r="H68" i="2" s="1"/>
  <c r="H69" i="2" s="1"/>
  <c r="H30" i="2"/>
  <c r="H31" i="2" s="1"/>
  <c r="D32" i="2" s="1"/>
  <c r="F32" i="2" s="1"/>
  <c r="H32" i="2"/>
  <c r="F140" i="4" l="1"/>
  <c r="G146" i="4" s="1"/>
  <c r="F163" i="4"/>
  <c r="D116" i="3"/>
  <c r="F116" i="3" s="1"/>
  <c r="H90" i="3"/>
  <c r="D90" i="3"/>
  <c r="F90" i="3" s="1"/>
  <c r="F65" i="3"/>
  <c r="D31" i="3"/>
  <c r="F83" i="2"/>
  <c r="H83" i="2"/>
  <c r="D84" i="2" s="1"/>
  <c r="D31" i="2"/>
  <c r="F31" i="2" s="1"/>
  <c r="D33" i="2"/>
  <c r="F33" i="2" s="1"/>
  <c r="H33" i="2"/>
  <c r="D118" i="3" l="1"/>
  <c r="F118" i="3" s="1"/>
  <c r="H91" i="3"/>
  <c r="D91" i="3"/>
  <c r="F91" i="3" s="1"/>
  <c r="D66" i="3"/>
  <c r="F66" i="3" s="1"/>
  <c r="D33" i="3"/>
  <c r="F31" i="3"/>
  <c r="H84" i="2"/>
  <c r="D85" i="2" s="1"/>
  <c r="F84" i="2"/>
  <c r="D34" i="2"/>
  <c r="F34" i="2" s="1"/>
  <c r="H34" i="2"/>
  <c r="D120" i="3" l="1"/>
  <c r="F120" i="3" s="1"/>
  <c r="D92" i="3"/>
  <c r="F92" i="3" s="1"/>
  <c r="H92" i="3"/>
  <c r="D67" i="3"/>
  <c r="F67" i="3" s="1"/>
  <c r="D35" i="3"/>
  <c r="H85" i="2"/>
  <c r="D86" i="2" s="1"/>
  <c r="F85" i="2"/>
  <c r="D35" i="2"/>
  <c r="F35" i="2" s="1"/>
  <c r="H35" i="2"/>
  <c r="D122" i="3" l="1"/>
  <c r="F122" i="3" s="1"/>
  <c r="H93" i="3"/>
  <c r="D93" i="3"/>
  <c r="F93" i="3" s="1"/>
  <c r="D68" i="3"/>
  <c r="F68" i="3" s="1"/>
  <c r="D37" i="3"/>
  <c r="F37" i="3" s="1"/>
  <c r="F33" i="3"/>
  <c r="H86" i="2"/>
  <c r="D87" i="2" s="1"/>
  <c r="F86" i="2"/>
  <c r="D36" i="2"/>
  <c r="F36" i="2" s="1"/>
  <c r="H36" i="2"/>
  <c r="D124" i="3" l="1"/>
  <c r="F124" i="3" s="1"/>
  <c r="E94" i="3"/>
  <c r="D94" i="3"/>
  <c r="D69" i="3"/>
  <c r="F69" i="3" s="1"/>
  <c r="D39" i="3"/>
  <c r="F39" i="3" s="1"/>
  <c r="H87" i="2"/>
  <c r="D88" i="2" s="1"/>
  <c r="F87" i="2"/>
  <c r="D60" i="2"/>
  <c r="F59" i="2"/>
  <c r="D37" i="2"/>
  <c r="F37" i="2" s="1"/>
  <c r="H37" i="2"/>
  <c r="D126" i="3" l="1"/>
  <c r="F126" i="3" s="1"/>
  <c r="H94" i="3"/>
  <c r="D70" i="3"/>
  <c r="F70" i="3" s="1"/>
  <c r="D41" i="3"/>
  <c r="F41" i="3" s="1"/>
  <c r="F35" i="3"/>
  <c r="H88" i="2"/>
  <c r="D89" i="2" s="1"/>
  <c r="F88" i="2"/>
  <c r="D61" i="2"/>
  <c r="F60" i="2"/>
  <c r="D38" i="2"/>
  <c r="F38" i="2" s="1"/>
  <c r="H38" i="2"/>
  <c r="D128" i="3" l="1"/>
  <c r="F128" i="3" s="1"/>
  <c r="D71" i="3"/>
  <c r="E71" i="3"/>
  <c r="D43" i="3"/>
  <c r="F43" i="3" s="1"/>
  <c r="H89" i="2"/>
  <c r="F89" i="2"/>
  <c r="D62" i="2"/>
  <c r="F61" i="2"/>
  <c r="D39" i="2"/>
  <c r="F39" i="2" s="1"/>
  <c r="H39" i="2"/>
  <c r="E130" i="3" l="1"/>
  <c r="D130" i="3"/>
  <c r="E72" i="3"/>
  <c r="E73" i="3" s="1"/>
  <c r="H71" i="3"/>
  <c r="F71" i="3"/>
  <c r="D45" i="3"/>
  <c r="F45" i="3" s="1"/>
  <c r="F62" i="2"/>
  <c r="D63" i="2"/>
  <c r="H40" i="2"/>
  <c r="D40" i="2"/>
  <c r="F40" i="2" s="1"/>
  <c r="E132" i="3" l="1"/>
  <c r="E134" i="3" s="1"/>
  <c r="H130" i="3"/>
  <c r="H131" i="3" s="1"/>
  <c r="H132" i="3" s="1"/>
  <c r="H133" i="3" s="1"/>
  <c r="H134" i="3" s="1"/>
  <c r="F130" i="3"/>
  <c r="D132" i="3"/>
  <c r="F132" i="3" s="1"/>
  <c r="H72" i="3"/>
  <c r="H73" i="3" s="1"/>
  <c r="D72" i="3"/>
  <c r="F72" i="3" s="1"/>
  <c r="E47" i="3"/>
  <c r="D47" i="3"/>
  <c r="F47" i="3" s="1"/>
  <c r="D64" i="2"/>
  <c r="F63" i="2"/>
  <c r="D41" i="2"/>
  <c r="F41" i="2" s="1"/>
  <c r="H41" i="2"/>
  <c r="D134" i="3" l="1"/>
  <c r="F134" i="3" s="1"/>
  <c r="D73" i="3"/>
  <c r="F73" i="3" s="1"/>
  <c r="F77" i="3" s="1"/>
  <c r="F86" i="3" s="1"/>
  <c r="E49" i="3"/>
  <c r="E51" i="3" s="1"/>
  <c r="H47" i="3"/>
  <c r="H48" i="3" s="1"/>
  <c r="H49" i="3" s="1"/>
  <c r="H50" i="3" s="1"/>
  <c r="H51" i="3" s="1"/>
  <c r="F64" i="2"/>
  <c r="D65" i="2"/>
  <c r="D42" i="2"/>
  <c r="F42" i="2" s="1"/>
  <c r="H42" i="2"/>
  <c r="F82" i="3" l="1"/>
  <c r="F94" i="3" s="1"/>
  <c r="F101" i="3" s="1"/>
  <c r="F102" i="3" s="1"/>
  <c r="D49" i="3"/>
  <c r="F49" i="3" s="1"/>
  <c r="D51" i="3"/>
  <c r="F51" i="3" s="1"/>
  <c r="D66" i="2"/>
  <c r="F65" i="2"/>
  <c r="D43" i="2"/>
  <c r="F43" i="2" s="1"/>
  <c r="H43" i="2"/>
  <c r="F53" i="3" l="1"/>
  <c r="F54" i="3" s="1"/>
  <c r="F66" i="2"/>
  <c r="D67" i="2"/>
  <c r="D44" i="2"/>
  <c r="F44" i="2" s="1"/>
  <c r="H44" i="2"/>
  <c r="F67" i="2" l="1"/>
  <c r="D68" i="2"/>
  <c r="H45" i="2"/>
  <c r="D45" i="2"/>
  <c r="F45" i="2" s="1"/>
  <c r="F68" i="2" l="1"/>
  <c r="D69" i="2"/>
  <c r="H46" i="2"/>
  <c r="D46" i="2"/>
  <c r="F46" i="2" s="1"/>
  <c r="F48" i="2" s="1"/>
  <c r="F69" i="2" l="1"/>
  <c r="F71" i="2" s="1"/>
  <c r="F72" i="2" s="1"/>
</calcChain>
</file>

<file path=xl/sharedStrings.xml><?xml version="1.0" encoding="utf-8"?>
<sst xmlns="http://schemas.openxmlformats.org/spreadsheetml/2006/main" count="405" uniqueCount="305">
  <si>
    <t>מר תמיר זוילי, MA</t>
  </si>
  <si>
    <t>גב׳ מורן חלמיש עידן, MA</t>
  </si>
  <si>
    <t>רו״ח שי צבאן, MBA</t>
  </si>
  <si>
    <t>בחינת הגמר בקורס: מימון מתקדם</t>
  </si>
  <si>
    <t>סמסטר 2024א, מועד א</t>
  </si>
  <si>
    <t>מועד הבחינה: יום ב׳,  26/2/2024, 9:00-11:30</t>
  </si>
  <si>
    <t>סגל הקורס:</t>
  </si>
  <si>
    <t>אינג׳ יואב זיו, M.SC</t>
  </si>
  <si>
    <t>בבחינה זו שני חלקים:</t>
  </si>
  <si>
    <t xml:space="preserve">משקל כל שאלה בחלק זה זהה, והוא 30 נק׳. </t>
  </si>
  <si>
    <t>במידה והנכם חשים כי חסרים לכם / לכן נתונים, הניחו הנחה פרשנית רלוונטית</t>
  </si>
  <si>
    <t>להתייחסות הבודק.</t>
  </si>
  <si>
    <t xml:space="preserve">בחלק זה 3 שאלות פתוחות. יש להשיב על כולן. </t>
  </si>
  <si>
    <t>חלק ב - שאלות רב-ברירה, במשקל 10 נק׳</t>
  </si>
  <si>
    <t>חלק א - שאלות פתוחות, במשקל 90 נק׳</t>
  </si>
  <si>
    <t>בחלק זה 2 שאלות רב-ברירה - אמריקאיות.</t>
  </si>
  <si>
    <t>יש לציין באופן בולט את התשובה הנכונה.</t>
  </si>
  <si>
    <t>בחלק זה לא ייבדק הנימוק.</t>
  </si>
  <si>
    <t>מבנה הבחינה:</t>
  </si>
  <si>
    <t>הנחיות נוספות:</t>
  </si>
  <si>
    <t xml:space="preserve">משך הבחינה הוא שעתיים וחצי (150 דקות). </t>
  </si>
  <si>
    <t>חומר עזר מותר: כל חומר עזר כתוב (ידנית / מודפס) מותר בשימוש.</t>
  </si>
  <si>
    <t xml:space="preserve">כמו כן, מותר בשימוש מחשבון מדעי ו/או פיננסי (אם כי חובה לפרט את כלל הדרך החישובית באקסל). </t>
  </si>
  <si>
    <t xml:space="preserve">במהלך הבחינה, יש לשאול שאלות הקשורות להבנת הנקרא בלבד. </t>
  </si>
  <si>
    <t>ב ה צ ל ח ה ! ! !</t>
  </si>
  <si>
    <t>שאלה 1 - 30 נק׳</t>
  </si>
  <si>
    <t>חברת ״מורן, חלמיש ועידן״ בע״מ הנפיקה ב-1.1.2020 אגרות חוב.</t>
  </si>
  <si>
    <t xml:space="preserve">בסך הכל הונפקו בעסקה, לפי התשקיף, 200,000 אגרות חוב אשר הערך הנקוב של כל אחת מהן הוא 4 ש״ח. </t>
  </si>
  <si>
    <t xml:space="preserve">האג״ח איננה צמודה למדד (שקלית). </t>
  </si>
  <si>
    <t>נדרש:</t>
  </si>
  <si>
    <t xml:space="preserve">א. חשבו את השווי הכולל של כלל האג״ח ליום 1.1.2021 בהנחה שידוע שלמועד זה שיעור התשואה לפדיון באג״ח </t>
  </si>
  <si>
    <t xml:space="preserve">     במונחים שנתיים הוא  6.1363551%.</t>
  </si>
  <si>
    <t xml:space="preserve">    שנתיים, בהנחות אלו?</t>
  </si>
  <si>
    <t>שאלה 2 - 30 נק׳</t>
  </si>
  <si>
    <t>חברת ״הדיילת התאילנדית״ הנפיקה 200,000 יח׳ אג״ח שהערך הנקוב של כל אחת מהן 3 ש״ח. השווי הכולל של כל</t>
  </si>
  <si>
    <t xml:space="preserve">אגרות החוב הנ״ל ל-1.1.2022 הנו 621,000 ש״ח. </t>
  </si>
  <si>
    <t>שקרן האג״ח צפויה להפרע ב-3 תשלומים חצי שנתיים שווים, שיבוצעו ב-30.9.2026, 31.3.2027 ו-30.9.2027 בהתאמה.</t>
  </si>
  <si>
    <t xml:space="preserve">האג״ח איננה צמודה, ומשלמת ריבית נקובה בשיעור שנתי של 6% פעמיים בשנה, ב-31.3 וב-30.9 של כל שנה, כאשר ידוע </t>
  </si>
  <si>
    <t>ג. הניחו לטובת המענה על נדרש זה כי אגרת החוב צמודה למדד.</t>
  </si>
  <si>
    <t>א. מהו שיעור התשואה השנתי לפדיון באג״ח, נכון ל-1.1.2022?</t>
  </si>
  <si>
    <t xml:space="preserve">ב. משקיע רכש את האג״ח ב-1.3.2023 ובאותו מועד שיעור התשואה השנתי לפדיון באג״ח היה 4.04%. </t>
  </si>
  <si>
    <t xml:space="preserve">     מהי התשואה השנתית האפקטיבית של המשקיע (ה-IRR של תזרימי המשקיע) אם ידוע שהוא רכש 18,000 יחידות </t>
  </si>
  <si>
    <t xml:space="preserve">    של אגרות חוב ושיעור התשואה לפדיון במועד המכירה היה 3% לשנה?</t>
  </si>
  <si>
    <t>שאלה 3 - 30 נק׳</t>
  </si>
  <si>
    <t>להלן מספר שאלות הקשורות למניותיה של חברה זו:</t>
  </si>
  <si>
    <t xml:space="preserve">א. הניחו שמחיר מניית החברה ליום 1.1.2022 הוא 842.11 ש״ח, וכי שיעור התשואה הנדרש על ידי בעלי המניות </t>
  </si>
  <si>
    <t xml:space="preserve">    היא לחלק 80% מרווחיה כדיבידנד?</t>
  </si>
  <si>
    <t xml:space="preserve">    השתנה ל-20%. החברה צופה כי בתום השנה הקרובה הרווח למניה יעמוד על 280 ש״ח.</t>
  </si>
  <si>
    <t xml:space="preserve">     החברה מחלקת 75% מרווחיה כדיבידנד, ותשלום הדיבידנד הקרוב הוא ב-31.12.2023. </t>
  </si>
  <si>
    <t xml:space="preserve">    בנתונים אלו, חשבו את שיעור הצמיחה המגולם במחיר המניה ואת הערך הנוכחי של הזדמנויות </t>
  </si>
  <si>
    <t xml:space="preserve">     הצמיחה בחברה (PVGO) למועד זה. לצורך חישוב ה - PVGO יש להניח שבהיעדר צמיחה הרווח למניה יישאר </t>
  </si>
  <si>
    <t xml:space="preserve">      בסך של 280 ש״ח למניה, לנצח. </t>
  </si>
  <si>
    <t>ג.  הניחו כעת כי נכון ל-1.7.2024 צופה החברה כי הרווח למניה הצפוי בתום כל אחת מהשנים הקרובות הוא כדלקמן:</t>
  </si>
  <si>
    <t>מועד</t>
  </si>
  <si>
    <t>רווח למניה לשנת הדיווח שהסתיימה במועד זה</t>
  </si>
  <si>
    <t xml:space="preserve">    ידוע כי החברה צופה כי תחלק 70% מרווחיה כדיבידנד. </t>
  </si>
  <si>
    <t xml:space="preserve">     כמו כן, הריבית חסרת הסיכון 5%, תוחלת תשואת תיק השוק 12% והביטא של מניית החברה 1.4.</t>
  </si>
  <si>
    <t xml:space="preserve">     חשבו את מחיר המניה ל-1.7.2024, בהנחה ששיעור הצמיחה השנתי מסוף 2024 לסוף 2028 הוא מייצג לטובת </t>
  </si>
  <si>
    <t>שאלה 4 - 5 נק׳</t>
  </si>
  <si>
    <t>סמנו את הטענה הנכונה:</t>
  </si>
  <si>
    <t xml:space="preserve">א. כדי לקבוע כדאיות פרויקט, תמיד נהוון (נחשב NPV) את תזרימי הפרויקט כאשר ה - rate הוא מחיר ההון העצמי. </t>
  </si>
  <si>
    <t>ב. ככל שמחיר ההון העצמי בחברה גבוה יותר, המשמעות היא שהיא רווחית יותר.</t>
  </si>
  <si>
    <t>ג. גם מחיר ההון העצמי בחברה וגם מחיר ההון הזר / הריבית על החוב, מזכים את החברה במגן מס / זיכוי מס, שכן</t>
  </si>
  <si>
    <t xml:space="preserve">    בשני ההקשרים מדובר בעלויות מימון של החברה.</t>
  </si>
  <si>
    <t>ה. כל יתר הטענות שגויות.</t>
  </si>
  <si>
    <t>שאלה 5 - 5 נק׳</t>
  </si>
  <si>
    <t>ד. אם חברה שוקלת ביצוע פרויקט שהוא בתחום פעילות שונה לחלוטין מזה שבו היא עוסקת, עליה להעריך את כדאיות</t>
  </si>
  <si>
    <t>ג. עלייה משמעותית בריבית חסרת הסיכון צפויה להגדיל את מחיר ההון העצמי בחברה אך לא את מחיר ההון הכולל.</t>
  </si>
  <si>
    <t>ד. מחיר ההון של החברה WACC הוא מחיר ההון שבו נהוון את תזרימי הדיבידנד הצפויים ממניה כדי לקבוע את מחירה.</t>
  </si>
  <si>
    <t>ב. עלייה מהותית ברמת הסיכון של החברה צפויה להתבטא בעלייה במחיר ההון הכולל שלה (WACC).</t>
  </si>
  <si>
    <t xml:space="preserve">      ידוע שערך המדד הידוע במועד הנפקת האג״ח היה 102 נקודות.</t>
  </si>
  <si>
    <t>ג.  משקיע רכש 30,000 יחידות של אגרות חוב ב-1.1.2023. שיעור התשואה השנתי לפדיון של האג״ח למועד זה הנו 3.2386052%.</t>
  </si>
  <si>
    <t>פתרון שאלה 1</t>
  </si>
  <si>
    <t>תזרימי האג״ח:</t>
  </si>
  <si>
    <t>תאריך התמחיר</t>
  </si>
  <si>
    <t>תאריך</t>
  </si>
  <si>
    <t>קופון</t>
  </si>
  <si>
    <t>ע״ח ע״נ</t>
  </si>
  <si>
    <t>סך התשלום</t>
  </si>
  <si>
    <t>יתרה (עזר)</t>
  </si>
  <si>
    <t>סך הערך הנקוב:</t>
  </si>
  <si>
    <t>ריבית נקובה שנתית:</t>
  </si>
  <si>
    <t>ריבית רבעונית לתשלום:</t>
  </si>
  <si>
    <t>האג״ח משלמת ריבית שנתית נקובה בשיעור 4% בתדירות רבעונית.</t>
  </si>
  <si>
    <t>קרן האג״ח תפרע ב-4 תשלומים רבעוניים שווים בשנת האג״ח האחרונה שהיא 2024,</t>
  </si>
  <si>
    <t>כך שתשלום הקרן האחרון הוא ב-31.12.2024.</t>
  </si>
  <si>
    <t>שיעור תשואה לפדיון במונחים שנתיים:</t>
  </si>
  <si>
    <t>שיעור תשואה לפדיון במונחים רבעוניים:</t>
  </si>
  <si>
    <t>שווי האג״ח - תשובה סופית לנדרש א:</t>
  </si>
  <si>
    <t xml:space="preserve">NPV = </t>
  </si>
  <si>
    <t>נבנה לוח תזרימים ליחידת אג״ח אחת - שכזכור ערכה הנקוב 4 ש״ח.</t>
  </si>
  <si>
    <t xml:space="preserve">IRR = </t>
  </si>
  <si>
    <t>ב. הניחו כעת כי ידוע שליום 1.1.2022 מחיר יחידת אג״ח בודדת הוא 3.68 ש״ח. מהו שיעור התשואה לפדיון במונחים</t>
  </si>
  <si>
    <t xml:space="preserve">ג.  משקיע רכש 30,000 יחידות של אגרות חוב ב-1.1.2023. שיעור התשואה השנתי לפדיון של האג״ח למועד </t>
  </si>
  <si>
    <t xml:space="preserve">    זה הנו 3.2386052%. המשקיע החזיק באג״ח במשך שנה אחת, ומכר אותה ב-1.1.2024. באותו המועד, </t>
  </si>
  <si>
    <t xml:space="preserve">    המשקיע החזיק באג״ח במשך שנה אחת, ומכר אותה ב-1.1.2024. באותו המועד, שיעור התשואה השנתי לפדיון של האג״ח</t>
  </si>
  <si>
    <t xml:space="preserve">    הנו 5.7187014%. בנתונים אלו, מהי התשואה לתקופת ההחזקה (HPR) של המשקיע, במונחים שנתיים.</t>
  </si>
  <si>
    <t xml:space="preserve">    שיעור התשואה השנתי לפדיון של האג״ח הנו 5.7187014%. </t>
  </si>
  <si>
    <t xml:space="preserve">    בנתונים אלו, מהי התשואה לתקופת ההחזקה (HPR) במונחים שנתיים, עבור המשקיע?</t>
  </si>
  <si>
    <t>תאריך התמחיר ה-1</t>
  </si>
  <si>
    <t>תאריך התמחיר ה-2</t>
  </si>
  <si>
    <t>בהתאם, שווי אג״ח ל-1/1/2023:</t>
  </si>
  <si>
    <t>שווי אג״ח ל-1/1/2024:</t>
  </si>
  <si>
    <t>חישוב HPR (הואיל ותקופת ההחזקה שנה, אין צורך לתאם את התוצאה לשנה):</t>
  </si>
  <si>
    <t>פתרון שאלה 5:</t>
  </si>
  <si>
    <t>טענה א</t>
  </si>
  <si>
    <t>שגויה. כדאיות תתקיים כאשר IRR גבוה ממחיר ההון הכולל.</t>
  </si>
  <si>
    <t xml:space="preserve">א. כדי שפרויקט בתחום פעילות החברה יהיה כדאי על פי כלל השת״פ (IRR), נדרוש שהשת״פ יהיה גבוה ממחיר ההון העצמי. </t>
  </si>
  <si>
    <t>טענה ב</t>
  </si>
  <si>
    <t>נכונה. עלייה ברמת הסיכון תוביל לעלייה בביטא, במחיר ההון העצמי ובהתאם במחיר ההון הכולל.</t>
  </si>
  <si>
    <t>טענה ג</t>
  </si>
  <si>
    <t>שגויה. לאור העלייה במחיר ההון העצמי גם מחיר ההון הכולל יגדל (מחיר ההון העצמי הוא חלק ממנו).</t>
  </si>
  <si>
    <t>טענה ד</t>
  </si>
  <si>
    <t>שגויה. את תזרימי הדיבידנד נהוון במחיר ההון העצמי ולא במחיר ההון הכולל.</t>
  </si>
  <si>
    <t>התשובה:</t>
  </si>
  <si>
    <t>ב.</t>
  </si>
  <si>
    <t>הסברים:</t>
  </si>
  <si>
    <t>פתרון שאלה 4:</t>
  </si>
  <si>
    <t>שגויה. רק רכיב המימון בהון זר (התחייבויות נושאות ריבית) מוביל ליצירת הוצאות מימון המזכות</t>
  </si>
  <si>
    <t>במגן מס.</t>
  </si>
  <si>
    <t xml:space="preserve">     הפרויקט על בסיס שימוש במחיר הון (rate) המתואם לסיכון בפרויקט ולא על בסיס מחיר ההון הכללי שלה כחברה. </t>
  </si>
  <si>
    <t>נכונה. צריכה להתקיים התאמה בין מחיר ההון המשמש להיוון הפרויקט לרמת הסיכון המגולמת בו,</t>
  </si>
  <si>
    <t xml:space="preserve">ואם רמת הסיכון שונה לחלוטין - מחיר ההון להיוון צריך להשתנות בהתאם. </t>
  </si>
  <si>
    <t>ד</t>
  </si>
  <si>
    <t>פתרון שאלה 2</t>
  </si>
  <si>
    <t>חברת ״מבורגלים״ בע״מ מממנת את עצמה בהון עצמי בלבד, על ידי הנפקת מניות.</t>
  </si>
  <si>
    <t>שימו לב! מרחק הזמן בין התזרים הראשון ליתר התזרימים שונה ממרחק הזמן בין כל 2 תזרימים עוקבים, ומשום כך,</t>
  </si>
  <si>
    <t xml:space="preserve">חייבים להתגבר על כך באמצעות ״שורות פיקטיביות״ שיובילו למרווחים של רבעון בין שורות. </t>
  </si>
  <si>
    <t>המרה למונחים שנתיים - תשובה סופית:</t>
  </si>
  <si>
    <t>שיעור תשואה לפדיון במונחים שנתיים</t>
  </si>
  <si>
    <t>שיעור תשואה לפדיון במונחים חצי שנתיים</t>
  </si>
  <si>
    <t>היוון התזרימים ב - NPV</t>
  </si>
  <si>
    <t>?</t>
  </si>
  <si>
    <t>תחילה, חישוב המחיר ברכישה:</t>
  </si>
  <si>
    <t>שווי עדכני למועד זה - תמורת מכירה</t>
  </si>
  <si>
    <t>וכעת נציב את התזרימים ונחשב IRR:</t>
  </si>
  <si>
    <t xml:space="preserve">ב. משקיע רכש את האג״ח ב-1.1.2023 ובאותו מועד שיעור התשואה השנתי לפדיון באג״ח היה 4.04%. </t>
  </si>
  <si>
    <t xml:space="preserve">    הוא מכר את האג״ח ב-1.10.2026.</t>
  </si>
  <si>
    <t>כעת, חישוב תמורת המכירה ב-1/10/2026:</t>
  </si>
  <si>
    <t xml:space="preserve">שימו לב: הערך הכספי ב-30/9/2026 כולל גם את התזרים מטבלת התזרימים וגם את </t>
  </si>
  <si>
    <t>התקבול במכירה, שאמנם מתבצע ב-1/10/2026, אך אין משמעות בהיוונים כהנחתנו</t>
  </si>
  <si>
    <t>להפרש של יום אחד (ובכל מקרה, הצגת התזרים בשורה נפרדת משמעה מרווח</t>
  </si>
  <si>
    <t xml:space="preserve">של חצי שנה קרי טעות חמורה הרבה יותר). </t>
  </si>
  <si>
    <t>נחשב IRR ונקבל תשואה חצי שנתית:</t>
  </si>
  <si>
    <t>מנין 56,420??? ובכן&gt;&gt;&gt;&gt;&gt;&gt;</t>
  </si>
  <si>
    <t>נמיר למונחים שנתיים ונקבל תשובה סופית:</t>
  </si>
  <si>
    <t>שווי אג״ח ריאלי:</t>
  </si>
  <si>
    <t>שווי אג״ח נומינלי נתון:</t>
  </si>
  <si>
    <t>היסק בדבר עליית מדד:</t>
  </si>
  <si>
    <t>מדד מקורי</t>
  </si>
  <si>
    <t>מדד עדכני</t>
  </si>
  <si>
    <t xml:space="preserve">       כמו כן ידוע כי שיעור התשואה השנתי לפדיון ל-1.1.2022 במונחים ריאליים הנו 8.25% ומחירה הנומינלי (כולל הצמדה) </t>
  </si>
  <si>
    <t xml:space="preserve">      של יחידת אג"ח בת 3 ש״ח ערך נקוב, הוא 2.9808  ש״ח במועד זה. בנתונים אלו, מהו ערך המדד בתאריך 1.1.2022?</t>
  </si>
  <si>
    <t>פתרון שאלה 3</t>
  </si>
  <si>
    <t xml:space="preserve">Ps = </t>
  </si>
  <si>
    <t>שיעור תשואה נדרש:</t>
  </si>
  <si>
    <t xml:space="preserve">r = </t>
  </si>
  <si>
    <t xml:space="preserve">    הוא 10% לשנה. כמו כן, הרווח למניה צפוי להיות בשנה הבאה בסכום של 80 ש״ח. החברה מחלקת דיבידנד שנתי</t>
  </si>
  <si>
    <t xml:space="preserve">    בסוף כל שנה. מהו שיעור הצמיחה השנתי המגולם בציפיות המשקיעים ליום 1.1.2022, אם מדיניות החברה</t>
  </si>
  <si>
    <t xml:space="preserve">EPS = </t>
  </si>
  <si>
    <t>רווח למניה בשנה הבאה:</t>
  </si>
  <si>
    <t>שיעור החלוקה בשנה הבאה:</t>
  </si>
  <si>
    <t>דיבידנד בשנה הבאה:</t>
  </si>
  <si>
    <t>שיעור צמיחה מגולם במחיר:</t>
  </si>
  <si>
    <t>בקרה:</t>
  </si>
  <si>
    <t>מחולץ מפתרון משוואה בדבר תמחור המניה ללא התאמות.</t>
  </si>
  <si>
    <t>תשואה נדרשת ע״י הבעלים</t>
  </si>
  <si>
    <t>רווח למניה בעוד שנה</t>
  </si>
  <si>
    <t>שיעור החלוקה בשנה הבאה</t>
  </si>
  <si>
    <t>דיבידנד צפוי בשנה הבאה</t>
  </si>
  <si>
    <t>שווי מניה ללא צמיחה:</t>
  </si>
  <si>
    <t xml:space="preserve">Ps (No Growth) = </t>
  </si>
  <si>
    <t xml:space="preserve">ב. הניחו כעת כי ב-1.1.2023 מחיר המניה הוא 1,680 ש״ח, ושיעור התשואה הנדרש על ידי בעלי המניות </t>
  </si>
  <si>
    <t xml:space="preserve">Ps (Growth) = </t>
  </si>
  <si>
    <t>ערך ה - PVGO:</t>
  </si>
  <si>
    <t>EPS</t>
  </si>
  <si>
    <t>DIV</t>
  </si>
  <si>
    <t xml:space="preserve">     שיעור הצמיחה העתידי לאחר 2028 (החברה תמשיך ותחלק דיבידנדים לנצח בסוף כל שנה, גם לאחר 2028).</t>
  </si>
  <si>
    <t>ואילך...</t>
  </si>
  <si>
    <t>שיעור צמיחה במונחים שנתיים:</t>
  </si>
  <si>
    <t>ערך נצחי</t>
  </si>
  <si>
    <t>סה״כ להיוון</t>
  </si>
  <si>
    <t>דיבידנד לשנת 2029:</t>
  </si>
  <si>
    <t>מחיר ההון על בסיס CAPM להיוון:</t>
  </si>
  <si>
    <t>ערך נצחי מ-2029 ואילך מתואם לסוף 2028:</t>
  </si>
  <si>
    <t>שווי המניה ליום 1.1.2024:</t>
  </si>
  <si>
    <t>תיאום ל-1.7.2024 - תשובה סופית:</t>
  </si>
  <si>
    <t>מחיר המניה - נתון:</t>
  </si>
  <si>
    <t>כשעוסקים רק במניות, לעתים סימנו זאת כ-r. בשאלות על מחיר ההון המשוקלל, סימנו זאת כ-kE.</t>
  </si>
  <si>
    <t xml:space="preserve">Div = 80% * 80 = </t>
  </si>
  <si>
    <t>הואיל וידוע:</t>
  </si>
  <si>
    <t>Ps = Div / (r - g)</t>
  </si>
  <si>
    <t>842.11 = 64 / (10% - g)</t>
  </si>
  <si>
    <t>842.11 * (10% - g) = 64</t>
  </si>
  <si>
    <t>10% - g = 64/842.11</t>
  </si>
  <si>
    <t>g = 10% - 64/842.11</t>
  </si>
  <si>
    <t xml:space="preserve">g = </t>
  </si>
  <si>
    <t>נציב את כל הנתונים במשוואת הפתרון:</t>
  </si>
  <si>
    <t>ונקבל את התוצאה:</t>
  </si>
  <si>
    <t>נפתח - כופלים ב-:</t>
  </si>
  <si>
    <t>(10%-g)</t>
  </si>
  <si>
    <t>נחלק את שני האגפים ב-842.11:</t>
  </si>
  <si>
    <t>נעביר אגף את ה-g ואת ה-842.11:</t>
  </si>
  <si>
    <t>הואיל והדיבידנד העתידי הקרוב ביותר הוא בדיוק בעוד שנה, יישום נוסחת התמחיר מוביל בדיוק לזמן 0 ללא צורך בהתאמה.</t>
  </si>
  <si>
    <t>תזכורת: ה-PVGO, ראשי תיבות של Present Value Growth Opportunities, או: הערך הנוכחי של הזדמנויות הצמיחה,</t>
  </si>
  <si>
    <t>הוא ההפרש הפשוט בין שני ערכים:</t>
  </si>
  <si>
    <t>PVGO = Ps(Growth) - Ps(NoGrowth)</t>
  </si>
  <si>
    <t>כאשר:</t>
  </si>
  <si>
    <t>Ps(Grwoth)</t>
  </si>
  <si>
    <t xml:space="preserve">מחיר המניה ה״נתון״ שמגלם את הצמיחה הצפויה. קיים להנחתנו בכל מקרה שבו שיעור הדיבידנד איננו 100%. </t>
  </si>
  <si>
    <t>רציונל: כל רווח שלא מחלקים, משקיעים. הדבר תורם לצמיחה (Growth) ולמחיר המניה.</t>
  </si>
  <si>
    <t>Ps(NoGrowth)</t>
  </si>
  <si>
    <t xml:space="preserve">מחיר המניה ה״תיאורטי״ שהיה מתקיים אם החברה היתה חדלה מלהשקיע (לא מבצעת השקעות). </t>
  </si>
  <si>
    <t xml:space="preserve">כדי לחשב מחיר זה, עלינו להתייחס לדיבידנד בגובה כל הרווח למניה, ולשיעור צמיחה 0. </t>
  </si>
  <si>
    <t>Ps(Growth) = Div/(r - g)</t>
  </si>
  <si>
    <t>Ps(No Growth) = [Div = EPS]/r</t>
  </si>
  <si>
    <t>מחיר המניה עם צמיחה</t>
  </si>
  <si>
    <t>Ps(Growth)</t>
  </si>
  <si>
    <t>קיימת צמיחה, גם כי דרשו לחלץ שיעור צמיחה וגם כי שיעור הדיבידנד קטן מ-100% (75%).</t>
  </si>
  <si>
    <t>לעתים מסומן kE, אבל בחישובי תמחור מניות, לעתים פשוט נסמנו כ-r</t>
  </si>
  <si>
    <t>נתון</t>
  </si>
  <si>
    <t xml:space="preserve">Div = 280 * 75% = </t>
  </si>
  <si>
    <t>1,680 = 210/(20% - g)</t>
  </si>
  <si>
    <t>הדיבידנד הקרוב ביותר בזמן 1, אין צורך בהתאמות לנוסחה.</t>
  </si>
  <si>
    <t>20% - g = 210/1,680</t>
  </si>
  <si>
    <r>
      <rPr>
        <u/>
        <sz val="12"/>
        <color theme="1"/>
        <rFont val="David"/>
      </rPr>
      <t>החלק הראשון של הנדרש בשאלה / בסעיף</t>
    </r>
    <r>
      <rPr>
        <sz val="12"/>
        <color theme="1"/>
        <rFont val="David"/>
      </rPr>
      <t xml:space="preserve"> דורש לחלץ את g (את שיעור הצמיחה), מתוך המניה הקיים כרגע ומגלם ציפיות צמיחה.</t>
    </r>
  </si>
  <si>
    <r>
      <rPr>
        <u/>
        <sz val="12"/>
        <color theme="1"/>
        <rFont val="David"/>
      </rPr>
      <t>החלק השני של הנדרש בשאלה / בסעיף</t>
    </r>
    <r>
      <rPr>
        <sz val="12"/>
        <color theme="1"/>
        <rFont val="David"/>
      </rPr>
      <t xml:space="preserve"> דורש לחשב את ה-PVGO:</t>
    </r>
  </si>
  <si>
    <t>כזכור לנו, ה-PVGO הוא ההפרש בין מחיר המניה הנתון עם צמיחה לבין מחיר המניה התיאורטי במצב בלי צמיחה.</t>
  </si>
  <si>
    <t>כיצד נחשב את שווי המניה ללא צמיחה?</t>
  </si>
  <si>
    <t>הדיבידנד שבמקרה שבו אין צמיחה שווה ל-EPS, ובמכנה אין צמיחה</t>
  </si>
  <si>
    <t>כנתון, הרווח למניה EPS הצפוי הוא 280, והואיל ואין צמיחה, יישאר קבוע</t>
  </si>
  <si>
    <t>Ps(No Growth) = 280/20%</t>
  </si>
  <si>
    <t xml:space="preserve">Ps(Grwoth) - Ps(NoGrowth) = 1,680 - 1,400 = </t>
  </si>
  <si>
    <t>רווח למניה EPS לשנת הדיווח שהסתיימה במועד זה</t>
  </si>
  <si>
    <t>רציונל לפתרון:</t>
  </si>
  <si>
    <t>נתון בסעיפי השאלה הקודמים, אך כאן - לא. מה שאנחנו בהחלט יודעים זה את הריבית חסרת הסיכון, תשואת השוק</t>
  </si>
  <si>
    <t xml:space="preserve">והביטא. נתונים אלו מאפשרים לנו להשתמש במודל ה-CAPM כדי לחשב את שיעור התשואה הנדרש. </t>
  </si>
  <si>
    <t>kE = r = Rf + [E(M) - Rf] * beta</t>
  </si>
  <si>
    <t>מקרא:</t>
  </si>
  <si>
    <t>kE = r</t>
  </si>
  <si>
    <t>שיעור התשואה הנדרש על ידי בעלי המניות</t>
  </si>
  <si>
    <t>Rf</t>
  </si>
  <si>
    <t>הריבית חסרת הסיכון</t>
  </si>
  <si>
    <t>E(M)</t>
  </si>
  <si>
    <t>תוחלת תשואת תיק השוק</t>
  </si>
  <si>
    <t>beta</t>
  </si>
  <si>
    <t>ביטא = מדד הסיכון</t>
  </si>
  <si>
    <t>בהצבה:</t>
  </si>
  <si>
    <t xml:space="preserve">r = 5% + [12% - 5%] * 1.4 = </t>
  </si>
  <si>
    <r>
      <rPr>
        <b/>
        <sz val="12"/>
        <color theme="1"/>
        <rFont val="David"/>
      </rPr>
      <t>מחיר ההון:</t>
    </r>
    <r>
      <rPr>
        <sz val="12"/>
        <color theme="1"/>
        <rFont val="David"/>
      </rPr>
      <t xml:space="preserve"> בתור התחלה, אנו רוצים לדעת מהי הריבית להיוון תזרימי המזומנים של הדיבידנדים (r או kE). שיעור תשואה זה היה</t>
    </r>
  </si>
  <si>
    <t xml:space="preserve">בשלב השני: נמיר את טבלת ה-EPS (טבלת נתוני הרווח למניה אשר נתונה) לטבלת תזרימי דיבידנד - Div. </t>
  </si>
  <si>
    <t xml:space="preserve">איך נעשה זאת? נתון שהחברה צופה כי תחלק 70% מרווחיה כדיבידנד. </t>
  </si>
  <si>
    <t>שיעור חלוקה</t>
  </si>
  <si>
    <t xml:space="preserve">סכומי הדיבידנד יחושבו בהתאם כמכפלת ה-EPS הצפוי על פי הנתונים ב-70%. </t>
  </si>
  <si>
    <t>מחושב (מכפלה)</t>
  </si>
  <si>
    <t>כיצד מחשבים את שיעור הצמיחה לאחר 2028, שחיוני לשם התייחסות לדיבידנדים משנת 2029 ואילך?</t>
  </si>
  <si>
    <t xml:space="preserve">על פי הנתון בשאלה, שיעור הצמיחה השנתי שמתבטא בנתונים מ-2024 עד 2028 הוא מייצג לטובת שיעור הצמיחה בעתיד (לאחר 2028). </t>
  </si>
  <si>
    <t>חישוב שיעור צמיחה כולל מסוף 2024 לסוף 2028:</t>
  </si>
  <si>
    <t xml:space="preserve">67.9/56 - 1 = </t>
  </si>
  <si>
    <t>חישוב זה מבטא את סך הצמיחה לכל 4 השנים מתום 2024 עד תום 2028, על בסיס היחס בין הדיבידנד בשנה המאוחרת לדיבידנד בשנת הבסיס.</t>
  </si>
  <si>
    <t xml:space="preserve">(1 + 21.25%)^(1/4) - 1 = </t>
  </si>
  <si>
    <t xml:space="preserve">חישוב זה מתקנן את שיעור הצמיחה ה-4 שנתי לערך שנתי ממוצע של g. </t>
  </si>
  <si>
    <t xml:space="preserve">67.9 * (1 + 4.94%) = </t>
  </si>
  <si>
    <t xml:space="preserve">חישוב זה מחשב את הדיבידנד לשנת 2029, על פי הדיבידנד לשנת 2028 בתוספת שיעור הצמיחה המתקבע מפה ואילך 4.94%. </t>
  </si>
  <si>
    <t xml:space="preserve">Div/(r - g) = 71.25 / (14.8% - 4.94%) = </t>
  </si>
  <si>
    <t xml:space="preserve">חישוב זה לוקח את הדיבידנד לשנת 2029, והואיל ואחריו הצמיחה קבועה, ניתן ליישם לגביו את נוסחת גורדון (נוסחת היוון תזרים צומח). </t>
  </si>
  <si>
    <t xml:space="preserve">הואיל ודיבידנד זה הוא ב-2029, התוצאה המתקבלת היא הערך הנוכחי של כל הדיבידנדים מ-2029 ואילך, במונחי שנת 2028. </t>
  </si>
  <si>
    <t xml:space="preserve">לכן את תוצאת ההיוון הצבתי בשנת 2028 בטבלה לעיל. </t>
  </si>
  <si>
    <t xml:space="preserve">566.48 * (1 + 14.8%)^(6/12) = </t>
  </si>
  <si>
    <t>היוון פשוט של דיבידנדים ב-NPV מוביל אחת אחורה ביחס לדיב׳ הראשון, כלומר שנה שלמה לפני 31/12/2024, ל-1.1.2024 וזה לא מה שביקשו</t>
  </si>
  <si>
    <t>תיאום התוצאה מ-1.1.2024 ל-1.7.2024 כנדרש.</t>
  </si>
  <si>
    <t>עברנו בכיתה - בשיעור של 27.1.2025</t>
  </si>
  <si>
    <t>שגויה. כדאיות פרויקט מחושבת על בסיס היוון תזרימיו במחיר ההון הכולל הרלוונטי, ובשים לב לסיכון הפרויקט.</t>
  </si>
  <si>
    <t>שגויה. מחיר הון עצמי (תשואה נדרשת ע״י משקיעים, ולא תשואה בפועל ע״י חברה!) גבוה יותר משקף סיכון גבוה יותר / ריבית חסרת סיכון גבוהה יותר / תשואת</t>
  </si>
  <si>
    <t>שוק גבוהה יותר. נתונים אלו אינם בהכרח קשורים לרווחיות של החברה עצמה ובטח שלא לערכה (מחיר ההון הוא בכלל באחוזים!).</t>
  </si>
  <si>
    <t>תזכורת קטנה - זה מחיר ההון המשוקלל:</t>
  </si>
  <si>
    <t>כבר מהנוסחה אפשר לראות, שרכיב המימון בהון זר בלבד (המחובר השני) הוא ורק הוא המזכה במגן מס ולאור זאת</t>
  </si>
  <si>
    <t xml:space="preserve">המכפלה ב-1 בניכוי t. </t>
  </si>
  <si>
    <t xml:space="preserve">מחיר ההון הכולל נקרא גם WACC. הוא משקף את התשואה הכוללת הנדרשת על ידי מכלול </t>
  </si>
  <si>
    <t xml:space="preserve">המשקיעים בחברה - הן המשקיעים בהון זר (חוב) והן המשקיעים בהון עצמי (מניות). </t>
  </si>
  <si>
    <t xml:space="preserve">דרישות התשואה מפרויקט נשענות על שיקלול דרישות התשואה של מקורות המימון הללו. </t>
  </si>
  <si>
    <t>בהתאם, רק במצב שבו החברה ממומנת בהון עצמי בלבד נוכל לומר שפרויקט יהיה כדאי</t>
  </si>
  <si>
    <t>רק אם השת״פ (IRR) המשקף את התשואה בפרויקט עצמו, גבוה ממחיר ההון העצמי.  זו לא הנחה</t>
  </si>
  <si>
    <t>שהיא ברירת מחדל; ובכל מקרה שבו יש גם רכיבי מימון נוספים (הון זר) הדרישה היא IRR&gt;WACC.</t>
  </si>
  <si>
    <t>כאשר הביטא עולה, מחיר ההון העצמי (התשואה הנדרשת על ידי בעלי המניות, באחוזים) עולה:</t>
  </si>
  <si>
    <t>בנוסף ידוע, שהעלייה במחיר ההון העצמי משפיעה גם על מחיר ההון הכולל, דרך הנוסחה:</t>
  </si>
  <si>
    <t>מדוע? כי מצד אחד Rf גדל בפני עצמו, ומצד שני, הערך השלילי של Rf בסוף הביטוי מוכפל בביטא.</t>
  </si>
  <si>
    <t xml:space="preserve">ואם היא (הביטא) קטנה מ-1, בסך הכל תחול עלייה במחיר ההון העצמי. </t>
  </si>
  <si>
    <t xml:space="preserve">אם הביטא קטנה מ-1, בסך הכל מחיר ההון העצמי יגדל. </t>
  </si>
  <si>
    <t xml:space="preserve">אם הביטא שווה ל-1, מחיר ההון העצמי לא ישתנה. </t>
  </si>
  <si>
    <t xml:space="preserve">מדוע? כי מצד אחד Rf גדל בפני עצמו, ומצד שני, הערך השלילי של Rf בסוף הביטוי מוכפל ב-1. </t>
  </si>
  <si>
    <t>ואז אין השפעה כלל על מחיר ההון העצמי.</t>
  </si>
  <si>
    <t xml:space="preserve">אם הביטא גדולה מ-1, בסך הכל, מחיר ההון העצמי יקטן. </t>
  </si>
  <si>
    <t xml:space="preserve">מדוע? כי מצד אחד Rf גדל בפני עצמו והוא חיובי, ומצד שני, הערך השלילי של Rf בסוף הביטוי מוכפל בערך גדול מ-1. </t>
  </si>
  <si>
    <t xml:space="preserve">במצב כזה, מחיר ההון העצמי דווקא יקטן. </t>
  </si>
  <si>
    <t>המשמעות העולה מכך: סך ההשפעה על מחיר ההון העצמי ובהתאם על מחיר ההון הכולל כתוצאה</t>
  </si>
  <si>
    <t>מעליית ריבית חסרת סיכון תלויה במידה רבה בביטא, ולא נוכל להכריע בדבר השפעתה ללא מידע</t>
  </si>
  <si>
    <t>נוסף.</t>
  </si>
  <si>
    <t>באופן כללי: כאשר דנים בכדאיות פרויקטים מנקודת ראות כלל החברה, אנו בוחנים זאת בהתאם למחיר</t>
  </si>
  <si>
    <t xml:space="preserve">ההון הכולל של החברה (להוציא מקרים שבהם מדובר בפרויקטים חדשים ברמת סיכון שונה). </t>
  </si>
  <si>
    <t>לעומת זאת, תמחור מניה הוא סוגיה הנשפטת לא מנקודת ראות כלל החברה, אלא מנקודת ראות בעלי</t>
  </si>
  <si>
    <t>המניות בלבד. בהתאם, גם תזרימי המזומנים (דיבידנדים) וגם מחיר ההון (kE, מחיר ההון העצמי)</t>
  </si>
  <si>
    <t xml:space="preserve">מוערכים מנקודת ראותם של בעלי המניות בלבד. </t>
  </si>
  <si>
    <t>בקצרה: תזרימים כוללים לפרויקט = היוון במחיר ההון הכולל (WACC).</t>
  </si>
  <si>
    <t xml:space="preserve">תזרימים לבעלי מניות = היוון במחיר ההון ״של בעלי המניות״ = מחיר ההון העצמי (kE).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</si>
</sst>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000%"/>
    <numFmt numFmtId="166" formatCode="0.0%"/>
    <numFmt numFmtId="167" formatCode="#,##0.0000_);\(#,##0.0000\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b/>
      <u/>
      <sz val="12"/>
      <color theme="1"/>
      <name val="David"/>
    </font>
    <font>
      <sz val="12"/>
      <color theme="1"/>
      <name val="Calibri"/>
      <family val="2"/>
      <scheme val="minor"/>
    </font>
    <font>
      <sz val="11"/>
      <color theme="1"/>
      <name val="David"/>
    </font>
    <font>
      <u/>
      <sz val="12"/>
      <color theme="1"/>
      <name val="David"/>
    </font>
    <font>
      <sz val="10"/>
      <color theme="1"/>
      <name val="David"/>
    </font>
    <font>
      <sz val="12"/>
      <color theme="0"/>
      <name val="David"/>
    </font>
    <font>
      <sz val="12"/>
      <name val="David"/>
    </font>
    <font>
      <b/>
      <sz val="12"/>
      <color theme="0"/>
      <name val="David"/>
    </font>
    <font>
      <b/>
      <sz val="12"/>
      <name val="David"/>
    </font>
    <font>
      <b/>
      <sz val="16"/>
      <name val="David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164" fontId="1" fillId="0" borderId="0" xfId="0" applyNumberFormat="1" applyFont="1"/>
    <xf numFmtId="14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10" fontId="1" fillId="0" borderId="0" xfId="1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37" fontId="1" fillId="0" borderId="0" xfId="0" applyNumberFormat="1" applyFont="1"/>
    <xf numFmtId="0" fontId="1" fillId="0" borderId="0" xfId="0" applyFont="1" applyAlignment="1">
      <alignment horizontal="right" readingOrder="2"/>
    </xf>
    <xf numFmtId="165" fontId="1" fillId="0" borderId="0" xfId="0" applyNumberFormat="1" applyFont="1"/>
    <xf numFmtId="166" fontId="1" fillId="0" borderId="0" xfId="0" applyNumberFormat="1" applyFont="1"/>
    <xf numFmtId="37" fontId="1" fillId="2" borderId="0" xfId="0" applyNumberFormat="1" applyFont="1" applyFill="1"/>
    <xf numFmtId="39" fontId="1" fillId="0" borderId="0" xfId="0" applyNumberFormat="1" applyFont="1"/>
    <xf numFmtId="164" fontId="1" fillId="0" borderId="0" xfId="1" applyNumberFormat="1" applyFont="1" applyFill="1"/>
    <xf numFmtId="164" fontId="1" fillId="2" borderId="1" xfId="1" applyNumberFormat="1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5" xfId="0" applyFont="1" applyBorder="1" applyAlignment="1">
      <alignment horizontal="right" readingOrder="2"/>
    </xf>
    <xf numFmtId="10" fontId="1" fillId="2" borderId="1" xfId="1" applyNumberFormat="1" applyFont="1" applyFill="1" applyBorder="1"/>
    <xf numFmtId="166" fontId="1" fillId="0" borderId="0" xfId="1" applyNumberFormat="1" applyFont="1" applyFill="1"/>
    <xf numFmtId="166" fontId="1" fillId="0" borderId="0" xfId="1" applyNumberFormat="1" applyFont="1" applyFill="1" applyBorder="1"/>
    <xf numFmtId="38" fontId="1" fillId="0" borderId="0" xfId="0" applyNumberFormat="1" applyFont="1"/>
    <xf numFmtId="164" fontId="1" fillId="0" borderId="0" xfId="1" applyNumberFormat="1" applyFont="1"/>
    <xf numFmtId="0" fontId="1" fillId="0" borderId="10" xfId="0" applyFont="1" applyBorder="1"/>
    <xf numFmtId="0" fontId="1" fillId="0" borderId="12" xfId="0" applyFont="1" applyBorder="1"/>
    <xf numFmtId="0" fontId="1" fillId="0" borderId="11" xfId="0" applyFont="1" applyBorder="1"/>
    <xf numFmtId="3" fontId="1" fillId="0" borderId="0" xfId="0" applyNumberFormat="1" applyFont="1"/>
    <xf numFmtId="9" fontId="1" fillId="0" borderId="0" xfId="1" applyFont="1"/>
    <xf numFmtId="37" fontId="1" fillId="0" borderId="0" xfId="0" applyNumberFormat="1" applyFont="1" applyAlignment="1">
      <alignment horizontal="right"/>
    </xf>
    <xf numFmtId="0" fontId="1" fillId="0" borderId="8" xfId="0" applyFont="1" applyBorder="1" applyAlignment="1">
      <alignment readingOrder="2"/>
    </xf>
    <xf numFmtId="0" fontId="1" fillId="0" borderId="5" xfId="0" applyFont="1" applyBorder="1" applyAlignment="1">
      <alignment readingOrder="2"/>
    </xf>
    <xf numFmtId="0" fontId="1" fillId="0" borderId="0" xfId="0" applyFont="1" applyAlignment="1">
      <alignment readingOrder="2"/>
    </xf>
    <xf numFmtId="167" fontId="1" fillId="0" borderId="0" xfId="0" applyNumberFormat="1" applyFont="1"/>
    <xf numFmtId="2" fontId="1" fillId="0" borderId="0" xfId="0" applyNumberFormat="1" applyFont="1"/>
    <xf numFmtId="2" fontId="1" fillId="2" borderId="1" xfId="0" applyNumberFormat="1" applyFont="1" applyFill="1" applyBorder="1"/>
    <xf numFmtId="10" fontId="1" fillId="2" borderId="1" xfId="0" applyNumberFormat="1" applyFont="1" applyFill="1" applyBorder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0" fontId="1" fillId="2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/>
    <xf numFmtId="16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1" fillId="2" borderId="0" xfId="0" applyNumberFormat="1" applyFont="1" applyFill="1"/>
    <xf numFmtId="0" fontId="7" fillId="0" borderId="0" xfId="0" applyFont="1" applyAlignment="1">
      <alignment horizontal="center"/>
    </xf>
    <xf numFmtId="0" fontId="8" fillId="0" borderId="0" xfId="0" applyFont="1"/>
    <xf numFmtId="9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2" fontId="1" fillId="4" borderId="0" xfId="0" applyNumberFormat="1" applyFont="1" applyFill="1"/>
    <xf numFmtId="2" fontId="9" fillId="4" borderId="0" xfId="0" applyNumberFormat="1" applyFont="1" applyFill="1" applyAlignment="1">
      <alignment horizontal="center"/>
    </xf>
    <xf numFmtId="0" fontId="1" fillId="0" borderId="13" xfId="0" applyFont="1" applyBorder="1"/>
    <xf numFmtId="0" fontId="9" fillId="0" borderId="14" xfId="0" applyFont="1" applyBorder="1" applyAlignment="1">
      <alignment horizontal="center"/>
    </xf>
    <xf numFmtId="2" fontId="9" fillId="0" borderId="15" xfId="0" applyNumberFormat="1" applyFont="1" applyBorder="1" applyAlignment="1">
      <alignment horizontal="center"/>
    </xf>
    <xf numFmtId="0" fontId="10" fillId="0" borderId="0" xfId="0" applyFont="1"/>
    <xf numFmtId="2" fontId="12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11" fillId="2" borderId="10" xfId="0" applyFont="1" applyFill="1" applyBorder="1"/>
    <xf numFmtId="0" fontId="11" fillId="2" borderId="11" xfId="0" applyFont="1" applyFill="1" applyBorder="1"/>
    <xf numFmtId="0" fontId="9" fillId="5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673509</xdr:colOff>
      <xdr:row>37</xdr:row>
      <xdr:rowOff>180257</xdr:rowOff>
    </xdr:from>
    <xdr:to>
      <xdr:col>6</xdr:col>
      <xdr:colOff>413774</xdr:colOff>
      <xdr:row>40</xdr:row>
      <xdr:rowOff>196644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1E3704-4622-8ECB-2047-EEFB9E807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53235161" y="7783870"/>
          <a:ext cx="567813" cy="630903"/>
        </a:xfrm>
        <a:prstGeom prst="rect">
          <a:avLst/>
        </a:prstGeom>
      </xdr:spPr>
    </xdr:pic>
    <xdr:clientData/>
  </xdr:twoCellAnchor>
  <xdr:twoCellAnchor>
    <xdr:from>
      <xdr:col>6</xdr:col>
      <xdr:colOff>483419</xdr:colOff>
      <xdr:row>37</xdr:row>
      <xdr:rowOff>94225</xdr:rowOff>
    </xdr:from>
    <xdr:to>
      <xdr:col>12</xdr:col>
      <xdr:colOff>12290</xdr:colOff>
      <xdr:row>41</xdr:row>
      <xdr:rowOff>110613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2978A6C3-2BAC-C70A-462C-A2F9450C6E9F}"/>
            </a:ext>
          </a:extLst>
        </xdr:cNvPr>
        <xdr:cNvSpPr/>
      </xdr:nvSpPr>
      <xdr:spPr>
        <a:xfrm>
          <a:off x="13548609903" y="7697838"/>
          <a:ext cx="4555613" cy="835743"/>
        </a:xfrm>
        <a:prstGeom prst="wedgeRoundRectCallout">
          <a:avLst>
            <a:gd name="adj1" fmla="val 53129"/>
            <a:gd name="adj2" fmla="val 4355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 kern="1200"/>
            <a:t>טיפ מהדוקטור: לעולם אל תניחו שמשוואת תמחור המניות מובילה לזמן 0 כנדרש! עליכם לבדוק מתי צפוי הדיבידנד הקרוב ביותר שאחריו הצמיחה קבועה, ותמיד תגיעו לנקודה אחת קודם. </a:t>
          </a:r>
        </a:p>
        <a:p>
          <a:pPr algn="r" rtl="1"/>
          <a:r>
            <a:rPr lang="he-IL" sz="1100" kern="1200"/>
            <a:t>כאן, הדיבידנד העתידי הקרוב ביותר הוא בזמן 1, לכן אין בעיה</a:t>
          </a:r>
          <a:endParaRPr lang="en-US" sz="1100" kern="1200"/>
        </a:p>
      </xdr:txBody>
    </xdr:sp>
    <xdr:clientData/>
  </xdr:twoCellAnchor>
  <xdr:twoCellAnchor>
    <xdr:from>
      <xdr:col>4</xdr:col>
      <xdr:colOff>139290</xdr:colOff>
      <xdr:row>140</xdr:row>
      <xdr:rowOff>131097</xdr:rowOff>
    </xdr:from>
    <xdr:to>
      <xdr:col>4</xdr:col>
      <xdr:colOff>143387</xdr:colOff>
      <xdr:row>142</xdr:row>
      <xdr:rowOff>106516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42E634F-B161-7920-0022-1A02DA18FBDB}"/>
            </a:ext>
          </a:extLst>
        </xdr:cNvPr>
        <xdr:cNvCxnSpPr/>
      </xdr:nvCxnSpPr>
      <xdr:spPr>
        <a:xfrm>
          <a:off x="13555160645" y="28956000"/>
          <a:ext cx="4097" cy="3850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659580</xdr:colOff>
      <xdr:row>140</xdr:row>
      <xdr:rowOff>114710</xdr:rowOff>
    </xdr:from>
    <xdr:to>
      <xdr:col>2</xdr:col>
      <xdr:colOff>663677</xdr:colOff>
      <xdr:row>142</xdr:row>
      <xdr:rowOff>90129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F1EF94F-6FDC-DAB5-3431-D1FD3F1ECCA3}"/>
            </a:ext>
          </a:extLst>
        </xdr:cNvPr>
        <xdr:cNvCxnSpPr/>
      </xdr:nvCxnSpPr>
      <xdr:spPr>
        <a:xfrm>
          <a:off x="13556356903" y="28939613"/>
          <a:ext cx="4097" cy="3850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97945</xdr:colOff>
      <xdr:row>20</xdr:row>
      <xdr:rowOff>150049</xdr:rowOff>
    </xdr:from>
    <xdr:ext cx="2937393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B41A8A4-A93E-B61A-F649-FC7F31BEFB95}"/>
                </a:ext>
              </a:extLst>
            </xdr:cNvPr>
            <xdr:cNvSpPr txBox="1"/>
          </xdr:nvSpPr>
          <xdr:spPr>
            <a:xfrm>
              <a:off x="13526676230" y="4224496"/>
              <a:ext cx="293739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𝑊𝐴𝐶𝐶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B41A8A4-A93E-B61A-F649-FC7F31BEFB95}"/>
                </a:ext>
              </a:extLst>
            </xdr:cNvPr>
            <xdr:cNvSpPr txBox="1"/>
          </xdr:nvSpPr>
          <xdr:spPr>
            <a:xfrm>
              <a:off x="13526676230" y="4224496"/>
              <a:ext cx="293739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en-US" sz="1100" b="0" i="0" kern="1200">
                  <a:latin typeface="Cambria Math" panose="02040503050406030204" pitchFamily="18" charset="0"/>
                </a:rPr>
                <a:t>𝑊𝐴𝐶𝐶=𝑘_𝐸∗𝐸/𝑉+𝑘_𝐷∗(1−𝑡)∗𝐷/𝑉</a:t>
              </a:r>
              <a:endParaRPr lang="en-US" sz="1100" kern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483622</xdr:colOff>
      <xdr:row>25</xdr:row>
      <xdr:rowOff>176935</xdr:rowOff>
    </xdr:from>
    <xdr:to>
      <xdr:col>3</xdr:col>
      <xdr:colOff>483622</xdr:colOff>
      <xdr:row>26</xdr:row>
      <xdr:rowOff>173002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B6325B7-C1D9-0A91-1B3B-74E11E103AA8}"/>
            </a:ext>
          </a:extLst>
        </xdr:cNvPr>
        <xdr:cNvCxnSpPr/>
      </xdr:nvCxnSpPr>
      <xdr:spPr>
        <a:xfrm flipV="1">
          <a:off x="13525252291" y="5311981"/>
          <a:ext cx="0" cy="20052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39319</xdr:colOff>
      <xdr:row>25</xdr:row>
      <xdr:rowOff>188731</xdr:rowOff>
    </xdr:from>
    <xdr:to>
      <xdr:col>6</xdr:col>
      <xdr:colOff>39319</xdr:colOff>
      <xdr:row>26</xdr:row>
      <xdr:rowOff>184798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D912AC6-D78D-2EE0-B6F0-811FB4177DF8}"/>
            </a:ext>
          </a:extLst>
        </xdr:cNvPr>
        <xdr:cNvCxnSpPr/>
      </xdr:nvCxnSpPr>
      <xdr:spPr>
        <a:xfrm flipV="1">
          <a:off x="13523219504" y="5323777"/>
          <a:ext cx="0" cy="20052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157276</xdr:colOff>
      <xdr:row>28</xdr:row>
      <xdr:rowOff>78638</xdr:rowOff>
    </xdr:from>
    <xdr:ext cx="2937393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E3BF40-7C37-8D4D-9BC5-C4357CD41082}"/>
                </a:ext>
              </a:extLst>
            </xdr:cNvPr>
            <xdr:cNvSpPr txBox="1"/>
          </xdr:nvSpPr>
          <xdr:spPr>
            <a:xfrm>
              <a:off x="13522641244" y="5827059"/>
              <a:ext cx="293739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𝑊𝐴𝐶𝐶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E3BF40-7C37-8D4D-9BC5-C4357CD41082}"/>
                </a:ext>
              </a:extLst>
            </xdr:cNvPr>
            <xdr:cNvSpPr txBox="1"/>
          </xdr:nvSpPr>
          <xdr:spPr>
            <a:xfrm>
              <a:off x="13522641244" y="5827059"/>
              <a:ext cx="293739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en-US" sz="1100" b="0" i="0" kern="1200">
                  <a:latin typeface="Cambria Math" panose="02040503050406030204" pitchFamily="18" charset="0"/>
                </a:rPr>
                <a:t>𝑊𝐴𝐶𝐶=𝑘_𝐸∗𝐸/𝑉+𝑘_𝐷∗(1−𝑡)∗𝐷/𝑉</a:t>
              </a:r>
              <a:endParaRPr lang="en-US" sz="1100" kern="1200"/>
            </a:p>
          </xdr:txBody>
        </xdr:sp>
      </mc:Fallback>
    </mc:AlternateContent>
    <xdr:clientData/>
  </xdr:oneCellAnchor>
  <xdr:twoCellAnchor>
    <xdr:from>
      <xdr:col>5</xdr:col>
      <xdr:colOff>448236</xdr:colOff>
      <xdr:row>28</xdr:row>
      <xdr:rowOff>82569</xdr:rowOff>
    </xdr:from>
    <xdr:to>
      <xdr:col>5</xdr:col>
      <xdr:colOff>448236</xdr:colOff>
      <xdr:row>29</xdr:row>
      <xdr:rowOff>78637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FAD8E58-348E-5C28-2ED0-98CB7A4E11DC}"/>
            </a:ext>
          </a:extLst>
        </xdr:cNvPr>
        <xdr:cNvCxnSpPr/>
      </xdr:nvCxnSpPr>
      <xdr:spPr>
        <a:xfrm flipV="1">
          <a:off x="13523636284" y="5830990"/>
          <a:ext cx="0" cy="20052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235914</xdr:colOff>
      <xdr:row>28</xdr:row>
      <xdr:rowOff>94365</xdr:rowOff>
    </xdr:from>
    <xdr:to>
      <xdr:col>6</xdr:col>
      <xdr:colOff>235914</xdr:colOff>
      <xdr:row>29</xdr:row>
      <xdr:rowOff>90433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13A792C-A1F1-E8A1-7CC7-9209C41850EF}"/>
            </a:ext>
          </a:extLst>
        </xdr:cNvPr>
        <xdr:cNvCxnSpPr/>
      </xdr:nvCxnSpPr>
      <xdr:spPr>
        <a:xfrm flipV="1">
          <a:off x="13523022909" y="5842786"/>
          <a:ext cx="0" cy="20052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259504</xdr:colOff>
      <xdr:row>31</xdr:row>
      <xdr:rowOff>157276</xdr:rowOff>
    </xdr:from>
    <xdr:to>
      <xdr:col>6</xdr:col>
      <xdr:colOff>259504</xdr:colOff>
      <xdr:row>32</xdr:row>
      <xdr:rowOff>153343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486B4B5-9D89-6948-8E82-FCCE09349D1F}"/>
            </a:ext>
          </a:extLst>
        </xdr:cNvPr>
        <xdr:cNvCxnSpPr/>
      </xdr:nvCxnSpPr>
      <xdr:spPr>
        <a:xfrm flipV="1">
          <a:off x="13522999319" y="6519072"/>
          <a:ext cx="0" cy="2005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39319</xdr:colOff>
      <xdr:row>31</xdr:row>
      <xdr:rowOff>188731</xdr:rowOff>
    </xdr:from>
    <xdr:to>
      <xdr:col>7</xdr:col>
      <xdr:colOff>39319</xdr:colOff>
      <xdr:row>32</xdr:row>
      <xdr:rowOff>184798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C73494F-B091-9647-929A-3FBF7F466D34}"/>
            </a:ext>
          </a:extLst>
        </xdr:cNvPr>
        <xdr:cNvCxnSpPr/>
      </xdr:nvCxnSpPr>
      <xdr:spPr>
        <a:xfrm flipV="1">
          <a:off x="13523219504" y="5323777"/>
          <a:ext cx="0" cy="20052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62910</xdr:colOff>
      <xdr:row>31</xdr:row>
      <xdr:rowOff>165139</xdr:rowOff>
    </xdr:from>
    <xdr:to>
      <xdr:col>5</xdr:col>
      <xdr:colOff>62910</xdr:colOff>
      <xdr:row>32</xdr:row>
      <xdr:rowOff>161206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3B3D45C-1AD5-FBF9-007C-31C20B28D132}"/>
            </a:ext>
          </a:extLst>
        </xdr:cNvPr>
        <xdr:cNvCxnSpPr/>
      </xdr:nvCxnSpPr>
      <xdr:spPr>
        <a:xfrm flipV="1">
          <a:off x="13524021610" y="6526935"/>
          <a:ext cx="0" cy="2005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rightToLeft="1" zoomScale="137" workbookViewId="0">
      <selection activeCell="B26" sqref="B26"/>
    </sheetView>
  </sheetViews>
  <sheetFormatPr baseColWidth="10" defaultColWidth="10.83203125" defaultRowHeight="16" x14ac:dyDescent="0.2"/>
  <cols>
    <col min="1" max="16384" width="10.83203125" style="1"/>
  </cols>
  <sheetData>
    <row r="1" spans="1:8" x14ac:dyDescent="0.2">
      <c r="A1" s="50" t="s">
        <v>3</v>
      </c>
      <c r="B1" s="50"/>
      <c r="C1" s="50"/>
      <c r="D1" s="50"/>
      <c r="E1" s="50"/>
      <c r="F1" s="50"/>
      <c r="G1" s="50"/>
      <c r="H1" s="50"/>
    </row>
    <row r="2" spans="1:8" x14ac:dyDescent="0.2">
      <c r="A2" s="50" t="s">
        <v>4</v>
      </c>
      <c r="B2" s="50"/>
      <c r="C2" s="50"/>
      <c r="D2" s="50"/>
      <c r="E2" s="50"/>
      <c r="F2" s="50"/>
      <c r="G2" s="50"/>
      <c r="H2" s="50"/>
    </row>
    <row r="3" spans="1:8" x14ac:dyDescent="0.2">
      <c r="A3" s="50" t="s">
        <v>5</v>
      </c>
      <c r="B3" s="50"/>
      <c r="C3" s="50"/>
      <c r="D3" s="50"/>
      <c r="E3" s="50"/>
      <c r="F3" s="50"/>
      <c r="G3" s="50"/>
      <c r="H3" s="50"/>
    </row>
    <row r="4" spans="1:8" x14ac:dyDescent="0.2">
      <c r="A4" s="2"/>
      <c r="B4" s="2"/>
      <c r="C4" s="2"/>
      <c r="D4" s="2"/>
      <c r="E4" s="2"/>
      <c r="F4" s="2"/>
      <c r="G4" s="2"/>
      <c r="H4" s="2"/>
    </row>
    <row r="5" spans="1:8" x14ac:dyDescent="0.2">
      <c r="A5" s="2" t="s">
        <v>6</v>
      </c>
      <c r="B5" s="2"/>
      <c r="C5" s="2"/>
      <c r="D5" s="2"/>
      <c r="E5" s="2"/>
      <c r="F5" s="2"/>
      <c r="G5" s="2"/>
      <c r="H5" s="2"/>
    </row>
    <row r="6" spans="1:8" x14ac:dyDescent="0.2">
      <c r="A6" s="2"/>
      <c r="B6" s="1" t="s">
        <v>0</v>
      </c>
      <c r="C6" s="2"/>
      <c r="D6" s="2"/>
      <c r="E6" s="2"/>
      <c r="F6" s="2"/>
      <c r="G6" s="2"/>
      <c r="H6" s="2"/>
    </row>
    <row r="7" spans="1:8" x14ac:dyDescent="0.2">
      <c r="A7" s="2"/>
      <c r="B7" s="1" t="s">
        <v>1</v>
      </c>
      <c r="C7" s="2"/>
      <c r="D7" s="2"/>
      <c r="E7" s="2"/>
      <c r="F7" s="2"/>
      <c r="G7" s="2"/>
      <c r="H7" s="2"/>
    </row>
    <row r="8" spans="1:8" x14ac:dyDescent="0.2">
      <c r="A8" s="2"/>
      <c r="B8" s="1" t="s">
        <v>7</v>
      </c>
      <c r="C8" s="2"/>
      <c r="D8" s="2"/>
      <c r="E8" s="2"/>
      <c r="F8" s="2"/>
      <c r="G8" s="2"/>
      <c r="H8" s="2"/>
    </row>
    <row r="9" spans="1:8" x14ac:dyDescent="0.2">
      <c r="B9" s="1" t="s">
        <v>2</v>
      </c>
    </row>
    <row r="11" spans="1:8" x14ac:dyDescent="0.2">
      <c r="A11" s="3" t="s">
        <v>18</v>
      </c>
    </row>
    <row r="12" spans="1:8" x14ac:dyDescent="0.2">
      <c r="B12" s="3" t="s">
        <v>8</v>
      </c>
    </row>
    <row r="14" spans="1:8" x14ac:dyDescent="0.2">
      <c r="C14" s="4" t="s">
        <v>14</v>
      </c>
    </row>
    <row r="15" spans="1:8" x14ac:dyDescent="0.2">
      <c r="C15" s="1" t="s">
        <v>12</v>
      </c>
    </row>
    <row r="16" spans="1:8" x14ac:dyDescent="0.2">
      <c r="C16" s="1" t="s">
        <v>9</v>
      </c>
    </row>
    <row r="17" spans="1:3" x14ac:dyDescent="0.2">
      <c r="C17" s="1" t="s">
        <v>10</v>
      </c>
    </row>
    <row r="18" spans="1:3" x14ac:dyDescent="0.2">
      <c r="C18" s="1" t="s">
        <v>11</v>
      </c>
    </row>
    <row r="20" spans="1:3" x14ac:dyDescent="0.2">
      <c r="C20" s="4" t="s">
        <v>13</v>
      </c>
    </row>
    <row r="21" spans="1:3" x14ac:dyDescent="0.2">
      <c r="C21" s="1" t="s">
        <v>15</v>
      </c>
    </row>
    <row r="22" spans="1:3" x14ac:dyDescent="0.2">
      <c r="C22" s="1" t="s">
        <v>16</v>
      </c>
    </row>
    <row r="23" spans="1:3" x14ac:dyDescent="0.2">
      <c r="C23" s="1" t="s">
        <v>17</v>
      </c>
    </row>
    <row r="25" spans="1:3" x14ac:dyDescent="0.2">
      <c r="A25" s="3" t="s">
        <v>19</v>
      </c>
    </row>
    <row r="26" spans="1:3" x14ac:dyDescent="0.2">
      <c r="B26" s="1" t="s">
        <v>20</v>
      </c>
    </row>
    <row r="27" spans="1:3" x14ac:dyDescent="0.2">
      <c r="B27" s="1" t="s">
        <v>21</v>
      </c>
    </row>
    <row r="28" spans="1:3" x14ac:dyDescent="0.2">
      <c r="B28" s="1" t="s">
        <v>22</v>
      </c>
    </row>
    <row r="29" spans="1:3" x14ac:dyDescent="0.2">
      <c r="B29" s="1" t="s">
        <v>23</v>
      </c>
    </row>
    <row r="31" spans="1:3" x14ac:dyDescent="0.2">
      <c r="B31" s="3" t="s">
        <v>24</v>
      </c>
    </row>
  </sheetData>
  <mergeCells count="3">
    <mergeCell ref="A1:H1"/>
    <mergeCell ref="A2:H2"/>
    <mergeCell ref="A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"/>
  <sheetViews>
    <sheetView rightToLeft="1" topLeftCell="A16" zoomScale="254" zoomScaleNormal="130" workbookViewId="0">
      <selection activeCell="E44" sqref="E44"/>
    </sheetView>
  </sheetViews>
  <sheetFormatPr baseColWidth="10" defaultColWidth="10.83203125" defaultRowHeight="16" x14ac:dyDescent="0.2"/>
  <cols>
    <col min="1" max="5" width="10.83203125" style="1"/>
    <col min="6" max="6" width="10.83203125" style="1" customWidth="1"/>
    <col min="7" max="16384" width="10.83203125" style="1"/>
  </cols>
  <sheetData>
    <row r="1" spans="1:8" x14ac:dyDescent="0.2">
      <c r="A1" s="5" t="s">
        <v>25</v>
      </c>
      <c r="B1" s="5"/>
      <c r="C1" s="5"/>
      <c r="D1" s="5"/>
      <c r="E1" s="5"/>
      <c r="F1" s="5"/>
      <c r="G1" s="5"/>
      <c r="H1" s="5"/>
    </row>
    <row r="3" spans="1:8" x14ac:dyDescent="0.2">
      <c r="A3" s="1" t="s">
        <v>26</v>
      </c>
    </row>
    <row r="4" spans="1:8" x14ac:dyDescent="0.2">
      <c r="A4" s="1" t="s">
        <v>27</v>
      </c>
    </row>
    <row r="5" spans="1:8" x14ac:dyDescent="0.2">
      <c r="A5" s="1" t="s">
        <v>83</v>
      </c>
    </row>
    <row r="6" spans="1:8" x14ac:dyDescent="0.2">
      <c r="A6" s="1" t="s">
        <v>84</v>
      </c>
    </row>
    <row r="7" spans="1:8" x14ac:dyDescent="0.2">
      <c r="A7" s="18" t="s">
        <v>85</v>
      </c>
    </row>
    <row r="8" spans="1:8" x14ac:dyDescent="0.2">
      <c r="A8" s="1" t="s">
        <v>28</v>
      </c>
    </row>
    <row r="10" spans="1:8" x14ac:dyDescent="0.2">
      <c r="A10" s="1" t="s">
        <v>29</v>
      </c>
    </row>
    <row r="11" spans="1:8" x14ac:dyDescent="0.2">
      <c r="A11" s="1" t="s">
        <v>30</v>
      </c>
    </row>
    <row r="12" spans="1:8" x14ac:dyDescent="0.2">
      <c r="A12" s="1" t="s">
        <v>31</v>
      </c>
    </row>
    <row r="13" spans="1:8" x14ac:dyDescent="0.2">
      <c r="A13" s="1" t="s">
        <v>92</v>
      </c>
    </row>
    <row r="14" spans="1:8" x14ac:dyDescent="0.2">
      <c r="A14" s="1" t="s">
        <v>32</v>
      </c>
    </row>
    <row r="15" spans="1:8" x14ac:dyDescent="0.2">
      <c r="A15" s="1" t="s">
        <v>71</v>
      </c>
    </row>
    <row r="16" spans="1:8" x14ac:dyDescent="0.2">
      <c r="A16" s="1" t="s">
        <v>95</v>
      </c>
    </row>
    <row r="17" spans="1:8" x14ac:dyDescent="0.2">
      <c r="A17" s="1" t="s">
        <v>96</v>
      </c>
    </row>
    <row r="19" spans="1:8" x14ac:dyDescent="0.2">
      <c r="A19" s="3" t="s">
        <v>72</v>
      </c>
    </row>
    <row r="20" spans="1:8" ht="17" thickBot="1" x14ac:dyDescent="0.25"/>
    <row r="21" spans="1:8" x14ac:dyDescent="0.2">
      <c r="A21" s="11" t="s">
        <v>30</v>
      </c>
      <c r="B21" s="12"/>
      <c r="C21" s="12"/>
      <c r="D21" s="12"/>
      <c r="E21" s="12"/>
      <c r="F21" s="12"/>
      <c r="G21" s="12"/>
      <c r="H21" s="13"/>
    </row>
    <row r="22" spans="1:8" ht="17" thickBot="1" x14ac:dyDescent="0.25">
      <c r="A22" s="14" t="s">
        <v>31</v>
      </c>
      <c r="B22" s="15"/>
      <c r="C22" s="15"/>
      <c r="D22" s="15"/>
      <c r="E22" s="15"/>
      <c r="F22" s="15"/>
      <c r="G22" s="15"/>
      <c r="H22" s="16"/>
    </row>
    <row r="24" spans="1:8" x14ac:dyDescent="0.2">
      <c r="A24" s="1" t="s">
        <v>80</v>
      </c>
      <c r="C24" s="17">
        <f>200000*4</f>
        <v>800000</v>
      </c>
      <c r="E24" s="1" t="s">
        <v>86</v>
      </c>
      <c r="H24" s="19">
        <v>6.1363551000000002E-2</v>
      </c>
    </row>
    <row r="25" spans="1:8" x14ac:dyDescent="0.2">
      <c r="A25" s="1" t="s">
        <v>81</v>
      </c>
      <c r="C25" s="8">
        <v>0.04</v>
      </c>
      <c r="E25" s="1" t="s">
        <v>87</v>
      </c>
      <c r="H25" s="20">
        <f>(1+H24)^0.25-1</f>
        <v>1.500000008965463E-2</v>
      </c>
    </row>
    <row r="26" spans="1:8" x14ac:dyDescent="0.2">
      <c r="A26" s="1" t="s">
        <v>82</v>
      </c>
      <c r="C26" s="8">
        <f>C25/4</f>
        <v>0.01</v>
      </c>
    </row>
    <row r="28" spans="1:8" x14ac:dyDescent="0.2">
      <c r="A28" s="1" t="s">
        <v>73</v>
      </c>
    </row>
    <row r="29" spans="1:8" x14ac:dyDescent="0.2">
      <c r="C29" s="1" t="s">
        <v>75</v>
      </c>
      <c r="D29" s="1" t="s">
        <v>76</v>
      </c>
      <c r="E29" s="1" t="s">
        <v>77</v>
      </c>
      <c r="F29" s="1" t="s">
        <v>78</v>
      </c>
      <c r="H29" s="1" t="s">
        <v>79</v>
      </c>
    </row>
    <row r="30" spans="1:8" x14ac:dyDescent="0.2">
      <c r="A30" s="1" t="s">
        <v>74</v>
      </c>
      <c r="C30" s="7">
        <v>44197</v>
      </c>
      <c r="H30" s="17">
        <f>C24</f>
        <v>800000</v>
      </c>
    </row>
    <row r="31" spans="1:8" x14ac:dyDescent="0.2">
      <c r="C31" s="7">
        <v>44286</v>
      </c>
      <c r="D31" s="17">
        <f>$C$26*H30</f>
        <v>8000</v>
      </c>
      <c r="E31" s="17"/>
      <c r="F31" s="17">
        <f>D31+E31</f>
        <v>8000</v>
      </c>
      <c r="H31" s="17">
        <f>H30-E31</f>
        <v>800000</v>
      </c>
    </row>
    <row r="32" spans="1:8" x14ac:dyDescent="0.2">
      <c r="C32" s="7">
        <v>44377</v>
      </c>
      <c r="D32" s="17">
        <f t="shared" ref="D32:D46" si="0">$C$26*H31</f>
        <v>8000</v>
      </c>
      <c r="E32" s="17"/>
      <c r="F32" s="17">
        <f t="shared" ref="F32:F46" si="1">D32+E32</f>
        <v>8000</v>
      </c>
      <c r="H32" s="17">
        <f t="shared" ref="H32:H46" si="2">H31-E32</f>
        <v>800000</v>
      </c>
    </row>
    <row r="33" spans="3:8" x14ac:dyDescent="0.2">
      <c r="C33" s="7">
        <v>44469</v>
      </c>
      <c r="D33" s="17">
        <f t="shared" si="0"/>
        <v>8000</v>
      </c>
      <c r="E33" s="17"/>
      <c r="F33" s="17">
        <f t="shared" si="1"/>
        <v>8000</v>
      </c>
      <c r="H33" s="17">
        <f t="shared" si="2"/>
        <v>800000</v>
      </c>
    </row>
    <row r="34" spans="3:8" x14ac:dyDescent="0.2">
      <c r="C34" s="7">
        <v>44561</v>
      </c>
      <c r="D34" s="17">
        <f t="shared" si="0"/>
        <v>8000</v>
      </c>
      <c r="E34" s="17"/>
      <c r="F34" s="17">
        <f t="shared" si="1"/>
        <v>8000</v>
      </c>
      <c r="H34" s="17">
        <f t="shared" si="2"/>
        <v>800000</v>
      </c>
    </row>
    <row r="35" spans="3:8" x14ac:dyDescent="0.2">
      <c r="C35" s="7">
        <v>44651</v>
      </c>
      <c r="D35" s="17">
        <f t="shared" si="0"/>
        <v>8000</v>
      </c>
      <c r="E35" s="17"/>
      <c r="F35" s="17">
        <f t="shared" si="1"/>
        <v>8000</v>
      </c>
      <c r="H35" s="17">
        <f t="shared" si="2"/>
        <v>800000</v>
      </c>
    </row>
    <row r="36" spans="3:8" x14ac:dyDescent="0.2">
      <c r="C36" s="7">
        <v>44742</v>
      </c>
      <c r="D36" s="17">
        <f t="shared" si="0"/>
        <v>8000</v>
      </c>
      <c r="E36" s="17"/>
      <c r="F36" s="17">
        <f t="shared" si="1"/>
        <v>8000</v>
      </c>
      <c r="H36" s="17">
        <f t="shared" si="2"/>
        <v>800000</v>
      </c>
    </row>
    <row r="37" spans="3:8" x14ac:dyDescent="0.2">
      <c r="C37" s="7">
        <v>44834</v>
      </c>
      <c r="D37" s="17">
        <f t="shared" si="0"/>
        <v>8000</v>
      </c>
      <c r="E37" s="17"/>
      <c r="F37" s="17">
        <f t="shared" si="1"/>
        <v>8000</v>
      </c>
      <c r="H37" s="17">
        <f t="shared" si="2"/>
        <v>800000</v>
      </c>
    </row>
    <row r="38" spans="3:8" x14ac:dyDescent="0.2">
      <c r="C38" s="7">
        <v>44926</v>
      </c>
      <c r="D38" s="17">
        <f t="shared" si="0"/>
        <v>8000</v>
      </c>
      <c r="E38" s="17"/>
      <c r="F38" s="17">
        <f t="shared" si="1"/>
        <v>8000</v>
      </c>
      <c r="H38" s="17">
        <f t="shared" si="2"/>
        <v>800000</v>
      </c>
    </row>
    <row r="39" spans="3:8" x14ac:dyDescent="0.2">
      <c r="C39" s="7">
        <v>45016</v>
      </c>
      <c r="D39" s="17">
        <f t="shared" si="0"/>
        <v>8000</v>
      </c>
      <c r="E39" s="17"/>
      <c r="F39" s="17">
        <f t="shared" si="1"/>
        <v>8000</v>
      </c>
      <c r="H39" s="17">
        <f t="shared" si="2"/>
        <v>800000</v>
      </c>
    </row>
    <row r="40" spans="3:8" x14ac:dyDescent="0.2">
      <c r="C40" s="7">
        <v>45107</v>
      </c>
      <c r="D40" s="17">
        <f t="shared" si="0"/>
        <v>8000</v>
      </c>
      <c r="E40" s="17"/>
      <c r="F40" s="17">
        <f t="shared" si="1"/>
        <v>8000</v>
      </c>
      <c r="H40" s="17">
        <f t="shared" si="2"/>
        <v>800000</v>
      </c>
    </row>
    <row r="41" spans="3:8" x14ac:dyDescent="0.2">
      <c r="C41" s="7">
        <v>45199</v>
      </c>
      <c r="D41" s="17">
        <f t="shared" si="0"/>
        <v>8000</v>
      </c>
      <c r="E41" s="17"/>
      <c r="F41" s="17">
        <f t="shared" si="1"/>
        <v>8000</v>
      </c>
      <c r="H41" s="17">
        <f t="shared" si="2"/>
        <v>800000</v>
      </c>
    </row>
    <row r="42" spans="3:8" x14ac:dyDescent="0.2">
      <c r="C42" s="7">
        <v>45291</v>
      </c>
      <c r="D42" s="17">
        <f t="shared" si="0"/>
        <v>8000</v>
      </c>
      <c r="E42" s="17"/>
      <c r="F42" s="17">
        <f t="shared" si="1"/>
        <v>8000</v>
      </c>
      <c r="H42" s="17">
        <f t="shared" si="2"/>
        <v>800000</v>
      </c>
    </row>
    <row r="43" spans="3:8" x14ac:dyDescent="0.2">
      <c r="C43" s="7">
        <v>45382</v>
      </c>
      <c r="D43" s="17">
        <f t="shared" si="0"/>
        <v>8000</v>
      </c>
      <c r="E43" s="17">
        <f>C24/4</f>
        <v>200000</v>
      </c>
      <c r="F43" s="17">
        <f t="shared" si="1"/>
        <v>208000</v>
      </c>
      <c r="H43" s="17">
        <f t="shared" si="2"/>
        <v>600000</v>
      </c>
    </row>
    <row r="44" spans="3:8" x14ac:dyDescent="0.2">
      <c r="C44" s="7">
        <v>45473</v>
      </c>
      <c r="D44" s="17">
        <f t="shared" si="0"/>
        <v>6000</v>
      </c>
      <c r="E44" s="17">
        <f>E43</f>
        <v>200000</v>
      </c>
      <c r="F44" s="17">
        <f t="shared" si="1"/>
        <v>206000</v>
      </c>
      <c r="H44" s="17">
        <f t="shared" si="2"/>
        <v>400000</v>
      </c>
    </row>
    <row r="45" spans="3:8" x14ac:dyDescent="0.2">
      <c r="C45" s="7">
        <v>45565</v>
      </c>
      <c r="D45" s="17">
        <f t="shared" si="0"/>
        <v>4000</v>
      </c>
      <c r="E45" s="17">
        <f>E44</f>
        <v>200000</v>
      </c>
      <c r="F45" s="17">
        <f t="shared" si="1"/>
        <v>204000</v>
      </c>
      <c r="H45" s="17">
        <f t="shared" si="2"/>
        <v>200000</v>
      </c>
    </row>
    <row r="46" spans="3:8" x14ac:dyDescent="0.2">
      <c r="C46" s="7">
        <v>45657</v>
      </c>
      <c r="D46" s="17">
        <f t="shared" si="0"/>
        <v>2000</v>
      </c>
      <c r="E46" s="17">
        <f>E45</f>
        <v>200000</v>
      </c>
      <c r="F46" s="17">
        <f t="shared" si="1"/>
        <v>202000</v>
      </c>
      <c r="H46" s="17">
        <f t="shared" si="2"/>
        <v>0</v>
      </c>
    </row>
    <row r="47" spans="3:8" x14ac:dyDescent="0.2">
      <c r="C47" s="7"/>
    </row>
    <row r="48" spans="3:8" x14ac:dyDescent="0.2">
      <c r="C48" s="1" t="s">
        <v>88</v>
      </c>
      <c r="F48" s="21">
        <f>NPV(H25,F31:F46)</f>
        <v>748250.58833041426</v>
      </c>
      <c r="G48" s="1" t="s">
        <v>89</v>
      </c>
    </row>
    <row r="49" spans="1:8" ht="17" thickBot="1" x14ac:dyDescent="0.25"/>
    <row r="50" spans="1:8" x14ac:dyDescent="0.2">
      <c r="A50" s="11" t="s">
        <v>92</v>
      </c>
      <c r="B50" s="12"/>
      <c r="C50" s="12"/>
      <c r="D50" s="12"/>
      <c r="E50" s="12"/>
      <c r="F50" s="12"/>
      <c r="G50" s="12"/>
      <c r="H50" s="13"/>
    </row>
    <row r="51" spans="1:8" ht="17" thickBot="1" x14ac:dyDescent="0.25">
      <c r="A51" s="14" t="s">
        <v>32</v>
      </c>
      <c r="B51" s="15"/>
      <c r="C51" s="15"/>
      <c r="D51" s="15"/>
      <c r="E51" s="15"/>
      <c r="F51" s="15"/>
      <c r="G51" s="15"/>
      <c r="H51" s="16"/>
    </row>
    <row r="53" spans="1:8" x14ac:dyDescent="0.2">
      <c r="A53" s="1" t="s">
        <v>90</v>
      </c>
    </row>
    <row r="55" spans="1:8" x14ac:dyDescent="0.2">
      <c r="A55" s="1" t="s">
        <v>73</v>
      </c>
    </row>
    <row r="56" spans="1:8" x14ac:dyDescent="0.2">
      <c r="C56" s="1" t="s">
        <v>75</v>
      </c>
      <c r="D56" s="1" t="s">
        <v>76</v>
      </c>
      <c r="E56" s="1" t="s">
        <v>77</v>
      </c>
      <c r="F56" s="1" t="s">
        <v>78</v>
      </c>
      <c r="H56" s="1" t="s">
        <v>79</v>
      </c>
    </row>
    <row r="57" spans="1:8" x14ac:dyDescent="0.2">
      <c r="A57" s="1" t="s">
        <v>74</v>
      </c>
      <c r="C57" s="7">
        <v>44562</v>
      </c>
      <c r="F57" s="1">
        <f>-3.68</f>
        <v>-3.68</v>
      </c>
      <c r="H57" s="17">
        <v>4</v>
      </c>
    </row>
    <row r="58" spans="1:8" x14ac:dyDescent="0.2">
      <c r="C58" s="7">
        <v>44651</v>
      </c>
      <c r="D58" s="22">
        <f>H57*$C$26</f>
        <v>0.04</v>
      </c>
      <c r="E58" s="17"/>
      <c r="F58" s="22">
        <f>D58+E58</f>
        <v>0.04</v>
      </c>
      <c r="H58" s="17">
        <f>H57-E58</f>
        <v>4</v>
      </c>
    </row>
    <row r="59" spans="1:8" x14ac:dyDescent="0.2">
      <c r="C59" s="7">
        <v>44742</v>
      </c>
      <c r="D59" s="22">
        <f t="shared" ref="D59:D69" si="3">H58*$C$26</f>
        <v>0.04</v>
      </c>
      <c r="E59" s="17"/>
      <c r="F59" s="22">
        <f t="shared" ref="F59:F69" si="4">D59+E59</f>
        <v>0.04</v>
      </c>
      <c r="H59" s="17">
        <f t="shared" ref="H59:H69" si="5">H58-E59</f>
        <v>4</v>
      </c>
    </row>
    <row r="60" spans="1:8" x14ac:dyDescent="0.2">
      <c r="C60" s="7">
        <v>44834</v>
      </c>
      <c r="D60" s="22">
        <f t="shared" si="3"/>
        <v>0.04</v>
      </c>
      <c r="E60" s="17"/>
      <c r="F60" s="22">
        <f t="shared" si="4"/>
        <v>0.04</v>
      </c>
      <c r="H60" s="17">
        <f t="shared" si="5"/>
        <v>4</v>
      </c>
    </row>
    <row r="61" spans="1:8" x14ac:dyDescent="0.2">
      <c r="C61" s="7">
        <v>44926</v>
      </c>
      <c r="D61" s="22">
        <f t="shared" si="3"/>
        <v>0.04</v>
      </c>
      <c r="E61" s="17"/>
      <c r="F61" s="22">
        <f t="shared" si="4"/>
        <v>0.04</v>
      </c>
      <c r="H61" s="17">
        <f t="shared" si="5"/>
        <v>4</v>
      </c>
    </row>
    <row r="62" spans="1:8" x14ac:dyDescent="0.2">
      <c r="C62" s="7">
        <v>45016</v>
      </c>
      <c r="D62" s="22">
        <f t="shared" si="3"/>
        <v>0.04</v>
      </c>
      <c r="E62" s="17"/>
      <c r="F62" s="22">
        <f t="shared" si="4"/>
        <v>0.04</v>
      </c>
      <c r="H62" s="17">
        <f t="shared" si="5"/>
        <v>4</v>
      </c>
    </row>
    <row r="63" spans="1:8" x14ac:dyDescent="0.2">
      <c r="C63" s="7">
        <v>45107</v>
      </c>
      <c r="D63" s="22">
        <f t="shared" si="3"/>
        <v>0.04</v>
      </c>
      <c r="E63" s="17"/>
      <c r="F63" s="22">
        <f t="shared" si="4"/>
        <v>0.04</v>
      </c>
      <c r="H63" s="17">
        <f t="shared" si="5"/>
        <v>4</v>
      </c>
    </row>
    <row r="64" spans="1:8" x14ac:dyDescent="0.2">
      <c r="C64" s="7">
        <v>45199</v>
      </c>
      <c r="D64" s="22">
        <f t="shared" si="3"/>
        <v>0.04</v>
      </c>
      <c r="E64" s="17"/>
      <c r="F64" s="22">
        <f t="shared" si="4"/>
        <v>0.04</v>
      </c>
      <c r="H64" s="17">
        <f t="shared" si="5"/>
        <v>4</v>
      </c>
    </row>
    <row r="65" spans="1:8" x14ac:dyDescent="0.2">
      <c r="C65" s="7">
        <v>45291</v>
      </c>
      <c r="D65" s="22">
        <f t="shared" si="3"/>
        <v>0.04</v>
      </c>
      <c r="E65" s="17"/>
      <c r="F65" s="22">
        <f t="shared" si="4"/>
        <v>0.04</v>
      </c>
      <c r="H65" s="17">
        <f t="shared" si="5"/>
        <v>4</v>
      </c>
    </row>
    <row r="66" spans="1:8" x14ac:dyDescent="0.2">
      <c r="C66" s="7">
        <v>45382</v>
      </c>
      <c r="D66" s="22">
        <f t="shared" si="3"/>
        <v>0.04</v>
      </c>
      <c r="E66" s="17">
        <f>H57/4</f>
        <v>1</v>
      </c>
      <c r="F66" s="22">
        <f t="shared" si="4"/>
        <v>1.04</v>
      </c>
      <c r="H66" s="17">
        <f t="shared" si="5"/>
        <v>3</v>
      </c>
    </row>
    <row r="67" spans="1:8" x14ac:dyDescent="0.2">
      <c r="C67" s="7">
        <v>45473</v>
      </c>
      <c r="D67" s="22">
        <f t="shared" si="3"/>
        <v>0.03</v>
      </c>
      <c r="E67" s="17">
        <f>E66</f>
        <v>1</v>
      </c>
      <c r="F67" s="22">
        <f t="shared" si="4"/>
        <v>1.03</v>
      </c>
      <c r="H67" s="17">
        <f t="shared" si="5"/>
        <v>2</v>
      </c>
    </row>
    <row r="68" spans="1:8" x14ac:dyDescent="0.2">
      <c r="C68" s="7">
        <v>45565</v>
      </c>
      <c r="D68" s="22">
        <f t="shared" si="3"/>
        <v>0.02</v>
      </c>
      <c r="E68" s="17">
        <f>E67</f>
        <v>1</v>
      </c>
      <c r="F68" s="22">
        <f t="shared" si="4"/>
        <v>1.02</v>
      </c>
      <c r="H68" s="17">
        <f t="shared" si="5"/>
        <v>1</v>
      </c>
    </row>
    <row r="69" spans="1:8" x14ac:dyDescent="0.2">
      <c r="C69" s="7">
        <v>45657</v>
      </c>
      <c r="D69" s="22">
        <f t="shared" si="3"/>
        <v>0.01</v>
      </c>
      <c r="E69" s="17">
        <f>E68</f>
        <v>1</v>
      </c>
      <c r="F69" s="22">
        <f t="shared" si="4"/>
        <v>1.01</v>
      </c>
      <c r="H69" s="17">
        <f t="shared" si="5"/>
        <v>0</v>
      </c>
    </row>
    <row r="70" spans="1:8" x14ac:dyDescent="0.2">
      <c r="C70" s="7"/>
    </row>
    <row r="71" spans="1:8" ht="17" thickBot="1" x14ac:dyDescent="0.25">
      <c r="C71" s="1" t="s">
        <v>87</v>
      </c>
      <c r="F71" s="23">
        <f>IRR(F57:F69)</f>
        <v>1.8459511082775881E-2</v>
      </c>
      <c r="G71" s="1" t="s">
        <v>91</v>
      </c>
    </row>
    <row r="72" spans="1:8" ht="17" thickBot="1" x14ac:dyDescent="0.25">
      <c r="C72" s="1" t="s">
        <v>86</v>
      </c>
      <c r="F72" s="24">
        <f>(1+F71)^4-1</f>
        <v>7.5907842316263352E-2</v>
      </c>
    </row>
    <row r="73" spans="1:8" ht="17" thickBot="1" x14ac:dyDescent="0.25"/>
    <row r="74" spans="1:8" x14ac:dyDescent="0.2">
      <c r="A74" s="11" t="s">
        <v>93</v>
      </c>
      <c r="B74" s="12"/>
      <c r="C74" s="12"/>
      <c r="D74" s="12"/>
      <c r="E74" s="12"/>
      <c r="F74" s="12"/>
      <c r="G74" s="12"/>
      <c r="H74" s="13"/>
    </row>
    <row r="75" spans="1:8" x14ac:dyDescent="0.2">
      <c r="A75" s="25" t="s">
        <v>94</v>
      </c>
      <c r="H75" s="26"/>
    </row>
    <row r="76" spans="1:8" x14ac:dyDescent="0.2">
      <c r="A76" s="25" t="s">
        <v>97</v>
      </c>
      <c r="H76" s="26"/>
    </row>
    <row r="77" spans="1:8" ht="17" thickBot="1" x14ac:dyDescent="0.25">
      <c r="A77" s="27" t="s">
        <v>98</v>
      </c>
      <c r="B77" s="15"/>
      <c r="C77" s="15"/>
      <c r="D77" s="15"/>
      <c r="E77" s="15"/>
      <c r="F77" s="15"/>
      <c r="G77" s="15"/>
      <c r="H77" s="16"/>
    </row>
    <row r="79" spans="1:8" x14ac:dyDescent="0.2">
      <c r="A79" s="1" t="s">
        <v>73</v>
      </c>
    </row>
    <row r="80" spans="1:8" x14ac:dyDescent="0.2">
      <c r="C80" s="1" t="s">
        <v>75</v>
      </c>
      <c r="D80" s="1" t="s">
        <v>76</v>
      </c>
      <c r="E80" s="1" t="s">
        <v>77</v>
      </c>
      <c r="F80" s="1" t="s">
        <v>78</v>
      </c>
      <c r="H80" s="1" t="s">
        <v>79</v>
      </c>
    </row>
    <row r="81" spans="1:8" x14ac:dyDescent="0.2">
      <c r="A81" s="1" t="s">
        <v>99</v>
      </c>
      <c r="C81" s="7">
        <v>44927</v>
      </c>
      <c r="H81" s="17">
        <f>30000*4</f>
        <v>120000</v>
      </c>
    </row>
    <row r="82" spans="1:8" x14ac:dyDescent="0.2">
      <c r="C82" s="7">
        <v>45016</v>
      </c>
      <c r="D82" s="17">
        <f>H81*$C$26</f>
        <v>1200</v>
      </c>
      <c r="E82" s="17"/>
      <c r="F82" s="17">
        <f>D82+E82</f>
        <v>1200</v>
      </c>
      <c r="H82" s="17">
        <f>H81-E82</f>
        <v>120000</v>
      </c>
    </row>
    <row r="83" spans="1:8" x14ac:dyDescent="0.2">
      <c r="C83" s="7">
        <v>45107</v>
      </c>
      <c r="D83" s="17">
        <f t="shared" ref="D83:D89" si="6">H82*$C$26</f>
        <v>1200</v>
      </c>
      <c r="E83" s="17"/>
      <c r="F83" s="17">
        <f t="shared" ref="F83:F89" si="7">D83+E83</f>
        <v>1200</v>
      </c>
      <c r="H83" s="17">
        <f t="shared" ref="H83:H89" si="8">H82-E83</f>
        <v>120000</v>
      </c>
    </row>
    <row r="84" spans="1:8" x14ac:dyDescent="0.2">
      <c r="C84" s="7">
        <v>45199</v>
      </c>
      <c r="D84" s="17">
        <f t="shared" si="6"/>
        <v>1200</v>
      </c>
      <c r="E84" s="17"/>
      <c r="F84" s="17">
        <f t="shared" si="7"/>
        <v>1200</v>
      </c>
      <c r="H84" s="17">
        <f t="shared" si="8"/>
        <v>120000</v>
      </c>
    </row>
    <row r="85" spans="1:8" x14ac:dyDescent="0.2">
      <c r="A85" s="1" t="s">
        <v>100</v>
      </c>
      <c r="C85" s="7">
        <v>45291</v>
      </c>
      <c r="D85" s="17">
        <f t="shared" si="6"/>
        <v>1200</v>
      </c>
      <c r="E85" s="17"/>
      <c r="F85" s="17">
        <f t="shared" si="7"/>
        <v>1200</v>
      </c>
      <c r="H85" s="17">
        <f t="shared" si="8"/>
        <v>120000</v>
      </c>
    </row>
    <row r="86" spans="1:8" x14ac:dyDescent="0.2">
      <c r="C86" s="7">
        <v>45382</v>
      </c>
      <c r="D86" s="17">
        <f t="shared" si="6"/>
        <v>1200</v>
      </c>
      <c r="E86" s="17">
        <f>H81/4</f>
        <v>30000</v>
      </c>
      <c r="F86" s="17">
        <f t="shared" si="7"/>
        <v>31200</v>
      </c>
      <c r="H86" s="17">
        <f t="shared" si="8"/>
        <v>90000</v>
      </c>
    </row>
    <row r="87" spans="1:8" x14ac:dyDescent="0.2">
      <c r="C87" s="7">
        <v>45473</v>
      </c>
      <c r="D87" s="17">
        <f t="shared" si="6"/>
        <v>900</v>
      </c>
      <c r="E87" s="17">
        <f>E86</f>
        <v>30000</v>
      </c>
      <c r="F87" s="17">
        <f t="shared" si="7"/>
        <v>30900</v>
      </c>
      <c r="H87" s="17">
        <f t="shared" si="8"/>
        <v>60000</v>
      </c>
    </row>
    <row r="88" spans="1:8" x14ac:dyDescent="0.2">
      <c r="C88" s="7">
        <v>45565</v>
      </c>
      <c r="D88" s="17">
        <f t="shared" si="6"/>
        <v>600</v>
      </c>
      <c r="E88" s="17">
        <f>E87</f>
        <v>30000</v>
      </c>
      <c r="F88" s="17">
        <f t="shared" si="7"/>
        <v>30600</v>
      </c>
      <c r="H88" s="17">
        <f t="shared" si="8"/>
        <v>30000</v>
      </c>
    </row>
    <row r="89" spans="1:8" x14ac:dyDescent="0.2">
      <c r="C89" s="7">
        <v>45657</v>
      </c>
      <c r="D89" s="17">
        <f t="shared" si="6"/>
        <v>300</v>
      </c>
      <c r="E89" s="17">
        <f>E88</f>
        <v>30000</v>
      </c>
      <c r="F89" s="17">
        <f t="shared" si="7"/>
        <v>30300</v>
      </c>
      <c r="H89" s="17">
        <f t="shared" si="8"/>
        <v>0</v>
      </c>
    </row>
    <row r="90" spans="1:8" x14ac:dyDescent="0.2">
      <c r="C90" s="7"/>
    </row>
    <row r="91" spans="1:8" x14ac:dyDescent="0.2">
      <c r="B91" s="7">
        <v>44927</v>
      </c>
      <c r="C91" s="1" t="s">
        <v>87</v>
      </c>
      <c r="F91" s="29">
        <f>(1+3.2386052%)^0.25-1</f>
        <v>7.9999999765669738E-3</v>
      </c>
    </row>
    <row r="92" spans="1:8" x14ac:dyDescent="0.2">
      <c r="B92" s="7">
        <v>45292</v>
      </c>
      <c r="C92" s="1" t="s">
        <v>86</v>
      </c>
      <c r="F92" s="30">
        <f>(1+5.7187014%)^0.25-1</f>
        <v>1.3999999900248472E-2</v>
      </c>
    </row>
    <row r="94" spans="1:8" x14ac:dyDescent="0.2">
      <c r="C94" s="1" t="s">
        <v>101</v>
      </c>
      <c r="F94" s="31">
        <f>NPV(F91,F82:F89)</f>
        <v>121513.11060260846</v>
      </c>
    </row>
    <row r="95" spans="1:8" x14ac:dyDescent="0.2">
      <c r="C95" s="1" t="s">
        <v>102</v>
      </c>
      <c r="F95" s="31">
        <f>NPV(F92,F86:F89)</f>
        <v>118832.79488892459</v>
      </c>
    </row>
    <row r="97" spans="3:6" ht="17" thickBot="1" x14ac:dyDescent="0.25">
      <c r="C97" s="1" t="s">
        <v>103</v>
      </c>
    </row>
    <row r="98" spans="3:6" ht="17" thickBot="1" x14ac:dyDescent="0.25">
      <c r="F98" s="24">
        <f>(F95+SUM(F82:F85))/F94-1</f>
        <v>1.7444078880082703E-2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3"/>
  <sheetViews>
    <sheetView rightToLeft="1" topLeftCell="A64" zoomScale="262" zoomScaleNormal="120" workbookViewId="0">
      <selection activeCell="A19" sqref="A19"/>
    </sheetView>
  </sheetViews>
  <sheetFormatPr baseColWidth="10" defaultColWidth="10.83203125" defaultRowHeight="16" x14ac:dyDescent="0.2"/>
  <cols>
    <col min="1" max="7" width="10.83203125" style="1"/>
    <col min="8" max="8" width="11.5" style="1" customWidth="1"/>
    <col min="9" max="16384" width="10.83203125" style="1"/>
  </cols>
  <sheetData>
    <row r="1" spans="1:8" x14ac:dyDescent="0.2">
      <c r="A1" s="5" t="s">
        <v>33</v>
      </c>
      <c r="B1" s="5"/>
      <c r="C1" s="5"/>
      <c r="D1" s="5"/>
      <c r="E1" s="5"/>
      <c r="F1" s="5"/>
      <c r="G1" s="5"/>
      <c r="H1" s="5"/>
    </row>
    <row r="3" spans="1:8" x14ac:dyDescent="0.2">
      <c r="A3" s="1" t="s">
        <v>34</v>
      </c>
    </row>
    <row r="4" spans="1:8" x14ac:dyDescent="0.2">
      <c r="A4" s="1" t="s">
        <v>35</v>
      </c>
    </row>
    <row r="5" spans="1:8" x14ac:dyDescent="0.2">
      <c r="A5" s="1" t="s">
        <v>37</v>
      </c>
    </row>
    <row r="6" spans="1:8" x14ac:dyDescent="0.2">
      <c r="A6" s="1" t="s">
        <v>36</v>
      </c>
    </row>
    <row r="8" spans="1:8" x14ac:dyDescent="0.2">
      <c r="A8" s="1" t="s">
        <v>29</v>
      </c>
    </row>
    <row r="9" spans="1:8" x14ac:dyDescent="0.2">
      <c r="A9" s="1" t="s">
        <v>39</v>
      </c>
    </row>
    <row r="10" spans="1:8" x14ac:dyDescent="0.2">
      <c r="A10" s="1" t="s">
        <v>136</v>
      </c>
    </row>
    <row r="11" spans="1:8" x14ac:dyDescent="0.2">
      <c r="A11" s="1" t="s">
        <v>137</v>
      </c>
    </row>
    <row r="12" spans="1:8" x14ac:dyDescent="0.2">
      <c r="A12" s="1" t="s">
        <v>41</v>
      </c>
    </row>
    <row r="13" spans="1:8" x14ac:dyDescent="0.2">
      <c r="A13" s="1" t="s">
        <v>42</v>
      </c>
    </row>
    <row r="14" spans="1:8" x14ac:dyDescent="0.2">
      <c r="A14" s="1" t="s">
        <v>38</v>
      </c>
    </row>
    <row r="15" spans="1:8" x14ac:dyDescent="0.2">
      <c r="A15" s="41" t="s">
        <v>70</v>
      </c>
    </row>
    <row r="16" spans="1:8" x14ac:dyDescent="0.2">
      <c r="A16" s="41" t="s">
        <v>151</v>
      </c>
    </row>
    <row r="17" spans="1:8" x14ac:dyDescent="0.2">
      <c r="A17" s="41" t="s">
        <v>152</v>
      </c>
    </row>
    <row r="19" spans="1:8" x14ac:dyDescent="0.2">
      <c r="A19" s="3" t="s">
        <v>124</v>
      </c>
    </row>
    <row r="20" spans="1:8" ht="17" thickBot="1" x14ac:dyDescent="0.25"/>
    <row r="21" spans="1:8" ht="17" thickBot="1" x14ac:dyDescent="0.25">
      <c r="A21" s="33" t="s">
        <v>39</v>
      </c>
      <c r="B21" s="34"/>
      <c r="C21" s="34"/>
      <c r="D21" s="34"/>
      <c r="E21" s="34"/>
      <c r="F21" s="34"/>
      <c r="G21" s="34"/>
      <c r="H21" s="35"/>
    </row>
    <row r="23" spans="1:8" x14ac:dyDescent="0.2">
      <c r="A23" s="1" t="s">
        <v>126</v>
      </c>
    </row>
    <row r="24" spans="1:8" x14ac:dyDescent="0.2">
      <c r="A24" s="1" t="s">
        <v>127</v>
      </c>
    </row>
    <row r="26" spans="1:8" x14ac:dyDescent="0.2">
      <c r="A26" s="1" t="s">
        <v>73</v>
      </c>
    </row>
    <row r="27" spans="1:8" x14ac:dyDescent="0.2">
      <c r="C27" s="1" t="s">
        <v>75</v>
      </c>
      <c r="D27" s="1" t="s">
        <v>76</v>
      </c>
      <c r="E27" s="1" t="s">
        <v>77</v>
      </c>
      <c r="F27" s="1" t="s">
        <v>78</v>
      </c>
      <c r="H27" s="1" t="s">
        <v>79</v>
      </c>
    </row>
    <row r="28" spans="1:8" x14ac:dyDescent="0.2">
      <c r="A28" s="1" t="s">
        <v>74</v>
      </c>
      <c r="C28" s="7">
        <v>44562</v>
      </c>
      <c r="F28" s="36">
        <f>-621000</f>
        <v>-621000</v>
      </c>
      <c r="H28" s="17">
        <f>200000*3</f>
        <v>600000</v>
      </c>
    </row>
    <row r="29" spans="1:8" x14ac:dyDescent="0.2">
      <c r="C29" s="7">
        <v>44651</v>
      </c>
      <c r="D29" s="17">
        <f>6%/2*H28</f>
        <v>18000</v>
      </c>
      <c r="E29" s="17"/>
      <c r="F29" s="17">
        <f>D29+E29</f>
        <v>18000</v>
      </c>
      <c r="H29" s="17">
        <f>H28-E29</f>
        <v>600000</v>
      </c>
    </row>
    <row r="30" spans="1:8" x14ac:dyDescent="0.2">
      <c r="C30" s="7">
        <v>44742</v>
      </c>
      <c r="D30" s="17"/>
      <c r="E30" s="17"/>
      <c r="F30" s="17">
        <v>0</v>
      </c>
      <c r="H30" s="17">
        <f t="shared" ref="H30:H51" si="0">H29-E30</f>
        <v>600000</v>
      </c>
    </row>
    <row r="31" spans="1:8" x14ac:dyDescent="0.2">
      <c r="C31" s="7">
        <v>44834</v>
      </c>
      <c r="D31" s="17">
        <f>6%/2*H29</f>
        <v>18000</v>
      </c>
      <c r="E31" s="17"/>
      <c r="F31" s="17">
        <f t="shared" ref="F31:F51" si="1">D31+E31</f>
        <v>18000</v>
      </c>
      <c r="H31" s="17">
        <f t="shared" si="0"/>
        <v>600000</v>
      </c>
    </row>
    <row r="32" spans="1:8" x14ac:dyDescent="0.2">
      <c r="C32" s="7">
        <v>44926</v>
      </c>
      <c r="D32" s="17"/>
      <c r="E32" s="17"/>
      <c r="F32" s="17">
        <v>0</v>
      </c>
      <c r="H32" s="17">
        <f t="shared" si="0"/>
        <v>600000</v>
      </c>
    </row>
    <row r="33" spans="3:8" x14ac:dyDescent="0.2">
      <c r="C33" s="7">
        <v>45016</v>
      </c>
      <c r="D33" s="17">
        <f>6%/2*H31</f>
        <v>18000</v>
      </c>
      <c r="E33" s="17"/>
      <c r="F33" s="17">
        <f t="shared" si="1"/>
        <v>18000</v>
      </c>
      <c r="H33" s="17">
        <f t="shared" si="0"/>
        <v>600000</v>
      </c>
    </row>
    <row r="34" spans="3:8" x14ac:dyDescent="0.2">
      <c r="C34" s="7">
        <v>45107</v>
      </c>
      <c r="D34" s="17"/>
      <c r="E34" s="17"/>
      <c r="F34" s="17">
        <v>0</v>
      </c>
      <c r="H34" s="17">
        <f t="shared" si="0"/>
        <v>600000</v>
      </c>
    </row>
    <row r="35" spans="3:8" x14ac:dyDescent="0.2">
      <c r="C35" s="7">
        <v>45199</v>
      </c>
      <c r="D35" s="17">
        <f>6%/2*H33</f>
        <v>18000</v>
      </c>
      <c r="E35" s="17"/>
      <c r="F35" s="17">
        <f t="shared" si="1"/>
        <v>18000</v>
      </c>
      <c r="H35" s="17">
        <f t="shared" si="0"/>
        <v>600000</v>
      </c>
    </row>
    <row r="36" spans="3:8" x14ac:dyDescent="0.2">
      <c r="C36" s="7">
        <v>45291</v>
      </c>
      <c r="D36" s="17"/>
      <c r="E36" s="17"/>
      <c r="F36" s="17">
        <v>0</v>
      </c>
      <c r="H36" s="17">
        <f t="shared" si="0"/>
        <v>600000</v>
      </c>
    </row>
    <row r="37" spans="3:8" x14ac:dyDescent="0.2">
      <c r="C37" s="7">
        <v>45382</v>
      </c>
      <c r="D37" s="17">
        <f>6%/2*H35</f>
        <v>18000</v>
      </c>
      <c r="E37" s="17"/>
      <c r="F37" s="17">
        <f t="shared" si="1"/>
        <v>18000</v>
      </c>
      <c r="H37" s="17">
        <f t="shared" si="0"/>
        <v>600000</v>
      </c>
    </row>
    <row r="38" spans="3:8" x14ac:dyDescent="0.2">
      <c r="C38" s="7">
        <v>45473</v>
      </c>
      <c r="D38" s="17"/>
      <c r="E38" s="17"/>
      <c r="F38" s="17">
        <v>0</v>
      </c>
      <c r="H38" s="17">
        <f t="shared" si="0"/>
        <v>600000</v>
      </c>
    </row>
    <row r="39" spans="3:8" x14ac:dyDescent="0.2">
      <c r="C39" s="7">
        <v>45565</v>
      </c>
      <c r="D39" s="17">
        <f>6%/2*H37</f>
        <v>18000</v>
      </c>
      <c r="E39" s="17"/>
      <c r="F39" s="17">
        <f t="shared" si="1"/>
        <v>18000</v>
      </c>
      <c r="H39" s="17">
        <f t="shared" si="0"/>
        <v>600000</v>
      </c>
    </row>
    <row r="40" spans="3:8" x14ac:dyDescent="0.2">
      <c r="C40" s="7">
        <v>45657</v>
      </c>
      <c r="D40" s="17"/>
      <c r="E40" s="17"/>
      <c r="F40" s="17">
        <v>0</v>
      </c>
      <c r="H40" s="17">
        <f t="shared" si="0"/>
        <v>600000</v>
      </c>
    </row>
    <row r="41" spans="3:8" x14ac:dyDescent="0.2">
      <c r="C41" s="7">
        <v>45747</v>
      </c>
      <c r="D41" s="17">
        <f>6%/2*H39</f>
        <v>18000</v>
      </c>
      <c r="E41" s="17"/>
      <c r="F41" s="17">
        <f t="shared" si="1"/>
        <v>18000</v>
      </c>
      <c r="H41" s="17">
        <f t="shared" si="0"/>
        <v>600000</v>
      </c>
    </row>
    <row r="42" spans="3:8" x14ac:dyDescent="0.2">
      <c r="C42" s="7">
        <v>45838</v>
      </c>
      <c r="D42" s="17"/>
      <c r="E42" s="17"/>
      <c r="F42" s="17">
        <v>0</v>
      </c>
      <c r="H42" s="17">
        <f t="shared" si="0"/>
        <v>600000</v>
      </c>
    </row>
    <row r="43" spans="3:8" x14ac:dyDescent="0.2">
      <c r="C43" s="7">
        <v>45930</v>
      </c>
      <c r="D43" s="17">
        <f>6%/2*H41</f>
        <v>18000</v>
      </c>
      <c r="E43" s="17"/>
      <c r="F43" s="17">
        <f t="shared" si="1"/>
        <v>18000</v>
      </c>
      <c r="H43" s="17">
        <f t="shared" si="0"/>
        <v>600000</v>
      </c>
    </row>
    <row r="44" spans="3:8" x14ac:dyDescent="0.2">
      <c r="C44" s="7">
        <v>46022</v>
      </c>
      <c r="D44" s="17"/>
      <c r="E44" s="17"/>
      <c r="F44" s="17">
        <v>0</v>
      </c>
      <c r="H44" s="17">
        <f t="shared" si="0"/>
        <v>600000</v>
      </c>
    </row>
    <row r="45" spans="3:8" x14ac:dyDescent="0.2">
      <c r="C45" s="7">
        <v>46112</v>
      </c>
      <c r="D45" s="17">
        <f>6%/2*H43</f>
        <v>18000</v>
      </c>
      <c r="E45" s="17"/>
      <c r="F45" s="17">
        <f t="shared" si="1"/>
        <v>18000</v>
      </c>
      <c r="H45" s="17">
        <f t="shared" si="0"/>
        <v>600000</v>
      </c>
    </row>
    <row r="46" spans="3:8" x14ac:dyDescent="0.2">
      <c r="C46" s="7">
        <v>46203</v>
      </c>
      <c r="D46" s="17"/>
      <c r="E46" s="17"/>
      <c r="F46" s="17">
        <v>0</v>
      </c>
      <c r="H46" s="17">
        <f t="shared" si="0"/>
        <v>600000</v>
      </c>
    </row>
    <row r="47" spans="3:8" x14ac:dyDescent="0.2">
      <c r="C47" s="7">
        <v>46295</v>
      </c>
      <c r="D47" s="17">
        <f>6%/2*H45</f>
        <v>18000</v>
      </c>
      <c r="E47" s="17">
        <f>H45/3</f>
        <v>200000</v>
      </c>
      <c r="F47" s="17">
        <f t="shared" si="1"/>
        <v>218000</v>
      </c>
      <c r="H47" s="17">
        <f t="shared" si="0"/>
        <v>400000</v>
      </c>
    </row>
    <row r="48" spans="3:8" x14ac:dyDescent="0.2">
      <c r="C48" s="7">
        <v>46387</v>
      </c>
      <c r="D48" s="17"/>
      <c r="E48" s="17"/>
      <c r="F48" s="17">
        <v>0</v>
      </c>
      <c r="H48" s="17">
        <f t="shared" si="0"/>
        <v>400000</v>
      </c>
    </row>
    <row r="49" spans="1:8" x14ac:dyDescent="0.2">
      <c r="C49" s="7">
        <v>46477</v>
      </c>
      <c r="D49" s="17">
        <f>6%/2*H47</f>
        <v>12000</v>
      </c>
      <c r="E49" s="17">
        <f>E47</f>
        <v>200000</v>
      </c>
      <c r="F49" s="17">
        <f t="shared" si="1"/>
        <v>212000</v>
      </c>
      <c r="H49" s="17">
        <f t="shared" si="0"/>
        <v>200000</v>
      </c>
    </row>
    <row r="50" spans="1:8" x14ac:dyDescent="0.2">
      <c r="C50" s="7">
        <v>46568</v>
      </c>
      <c r="D50" s="17"/>
      <c r="E50" s="17"/>
      <c r="F50" s="17">
        <v>0</v>
      </c>
      <c r="H50" s="17">
        <f t="shared" si="0"/>
        <v>200000</v>
      </c>
    </row>
    <row r="51" spans="1:8" x14ac:dyDescent="0.2">
      <c r="C51" s="7">
        <v>46660</v>
      </c>
      <c r="D51" s="17">
        <f t="shared" ref="D51" si="2">6%/2*H49</f>
        <v>6000</v>
      </c>
      <c r="E51" s="17">
        <f>E49</f>
        <v>200000</v>
      </c>
      <c r="F51" s="17">
        <f t="shared" si="1"/>
        <v>206000</v>
      </c>
      <c r="H51" s="17">
        <f t="shared" si="0"/>
        <v>0</v>
      </c>
    </row>
    <row r="52" spans="1:8" x14ac:dyDescent="0.2">
      <c r="C52" s="7"/>
      <c r="D52" s="17"/>
      <c r="E52" s="17"/>
      <c r="F52" s="17"/>
      <c r="H52" s="17"/>
    </row>
    <row r="53" spans="1:8" ht="17" thickBot="1" x14ac:dyDescent="0.25">
      <c r="C53" s="7" t="s">
        <v>87</v>
      </c>
      <c r="D53" s="17"/>
      <c r="E53" s="17"/>
      <c r="F53" s="10">
        <f>IRR(F28:F51)</f>
        <v>1.3787399622142482E-2</v>
      </c>
      <c r="H53" s="17"/>
    </row>
    <row r="54" spans="1:8" ht="17" thickBot="1" x14ac:dyDescent="0.25">
      <c r="C54" s="7" t="s">
        <v>128</v>
      </c>
      <c r="D54" s="17"/>
      <c r="E54" s="17"/>
      <c r="F54" s="28">
        <f>(1+F53)^4-1</f>
        <v>5.6300672472622715E-2</v>
      </c>
      <c r="H54" s="17"/>
    </row>
    <row r="55" spans="1:8" ht="17" thickBot="1" x14ac:dyDescent="0.25">
      <c r="C55" s="7"/>
      <c r="D55" s="17"/>
      <c r="E55" s="17"/>
      <c r="F55" s="17"/>
      <c r="H55" s="17"/>
    </row>
    <row r="56" spans="1:8" x14ac:dyDescent="0.2">
      <c r="A56" s="11" t="s">
        <v>40</v>
      </c>
      <c r="B56" s="12"/>
      <c r="C56" s="12"/>
      <c r="D56" s="12"/>
      <c r="E56" s="12"/>
      <c r="F56" s="12"/>
      <c r="G56" s="12"/>
      <c r="H56" s="13"/>
    </row>
    <row r="57" spans="1:8" x14ac:dyDescent="0.2">
      <c r="A57" s="25" t="s">
        <v>137</v>
      </c>
      <c r="H57" s="26"/>
    </row>
    <row r="58" spans="1:8" x14ac:dyDescent="0.2">
      <c r="A58" s="25" t="s">
        <v>41</v>
      </c>
      <c r="H58" s="26"/>
    </row>
    <row r="59" spans="1:8" ht="17" thickBot="1" x14ac:dyDescent="0.25">
      <c r="A59" s="14" t="s">
        <v>42</v>
      </c>
      <c r="B59" s="15"/>
      <c r="C59" s="15"/>
      <c r="D59" s="15"/>
      <c r="E59" s="15"/>
      <c r="F59" s="15"/>
      <c r="G59" s="15"/>
      <c r="H59" s="16"/>
    </row>
    <row r="60" spans="1:8" x14ac:dyDescent="0.2">
      <c r="C60" s="7"/>
      <c r="D60" s="17"/>
      <c r="E60" s="17"/>
      <c r="F60" s="17"/>
      <c r="H60" s="17"/>
    </row>
    <row r="61" spans="1:8" x14ac:dyDescent="0.2">
      <c r="A61" s="1" t="s">
        <v>133</v>
      </c>
      <c r="C61" s="7"/>
      <c r="D61" s="17"/>
      <c r="E61" s="17"/>
      <c r="F61" s="17"/>
      <c r="H61" s="17"/>
    </row>
    <row r="62" spans="1:8" x14ac:dyDescent="0.2">
      <c r="C62" s="1" t="s">
        <v>75</v>
      </c>
      <c r="D62" s="1" t="s">
        <v>76</v>
      </c>
      <c r="E62" s="1" t="s">
        <v>77</v>
      </c>
      <c r="F62" s="1" t="s">
        <v>78</v>
      </c>
      <c r="H62" s="1" t="s">
        <v>79</v>
      </c>
    </row>
    <row r="63" spans="1:8" x14ac:dyDescent="0.2">
      <c r="C63" s="7">
        <v>44927</v>
      </c>
      <c r="D63" s="17"/>
      <c r="E63" s="17"/>
      <c r="F63" s="38" t="s">
        <v>132</v>
      </c>
      <c r="H63" s="17">
        <f>18000*3</f>
        <v>54000</v>
      </c>
    </row>
    <row r="64" spans="1:8" x14ac:dyDescent="0.2">
      <c r="C64" s="7">
        <v>45016</v>
      </c>
      <c r="D64" s="17">
        <f t="shared" ref="D64:D73" si="3">6%/2*H63</f>
        <v>1620</v>
      </c>
      <c r="E64" s="17"/>
      <c r="F64" s="17">
        <f t="shared" ref="F64" si="4">D64+E64</f>
        <v>1620</v>
      </c>
      <c r="H64" s="17">
        <f>H63-E64</f>
        <v>54000</v>
      </c>
    </row>
    <row r="65" spans="1:8" x14ac:dyDescent="0.2">
      <c r="C65" s="7">
        <v>45199</v>
      </c>
      <c r="D65" s="17">
        <f t="shared" si="3"/>
        <v>1620</v>
      </c>
      <c r="E65" s="17"/>
      <c r="F65" s="17">
        <f t="shared" ref="F65" si="5">D65+E65</f>
        <v>1620</v>
      </c>
      <c r="H65" s="17">
        <f t="shared" ref="H65:H73" si="6">H64-E65</f>
        <v>54000</v>
      </c>
    </row>
    <row r="66" spans="1:8" x14ac:dyDescent="0.2">
      <c r="C66" s="7">
        <v>45382</v>
      </c>
      <c r="D66" s="17">
        <f t="shared" si="3"/>
        <v>1620</v>
      </c>
      <c r="E66" s="17"/>
      <c r="F66" s="17">
        <f t="shared" ref="F66" si="7">D66+E66</f>
        <v>1620</v>
      </c>
      <c r="H66" s="17">
        <f t="shared" si="6"/>
        <v>54000</v>
      </c>
    </row>
    <row r="67" spans="1:8" x14ac:dyDescent="0.2">
      <c r="C67" s="7">
        <v>45565</v>
      </c>
      <c r="D67" s="17">
        <f t="shared" si="3"/>
        <v>1620</v>
      </c>
      <c r="E67" s="17"/>
      <c r="F67" s="17">
        <f t="shared" ref="F67" si="8">D67+E67</f>
        <v>1620</v>
      </c>
      <c r="H67" s="17">
        <f t="shared" si="6"/>
        <v>54000</v>
      </c>
    </row>
    <row r="68" spans="1:8" x14ac:dyDescent="0.2">
      <c r="C68" s="7">
        <v>45747</v>
      </c>
      <c r="D68" s="17">
        <f t="shared" si="3"/>
        <v>1620</v>
      </c>
      <c r="E68" s="17"/>
      <c r="F68" s="17">
        <f t="shared" ref="F68" si="9">D68+E68</f>
        <v>1620</v>
      </c>
      <c r="H68" s="17">
        <f t="shared" si="6"/>
        <v>54000</v>
      </c>
    </row>
    <row r="69" spans="1:8" x14ac:dyDescent="0.2">
      <c r="C69" s="7">
        <v>45930</v>
      </c>
      <c r="D69" s="17">
        <f t="shared" si="3"/>
        <v>1620</v>
      </c>
      <c r="E69" s="17"/>
      <c r="F69" s="17">
        <f t="shared" ref="F69" si="10">D69+E69</f>
        <v>1620</v>
      </c>
      <c r="H69" s="17">
        <f t="shared" si="6"/>
        <v>54000</v>
      </c>
    </row>
    <row r="70" spans="1:8" x14ac:dyDescent="0.2">
      <c r="C70" s="7">
        <v>46112</v>
      </c>
      <c r="D70" s="17">
        <f t="shared" si="3"/>
        <v>1620</v>
      </c>
      <c r="E70" s="17"/>
      <c r="F70" s="17">
        <f t="shared" ref="F70" si="11">D70+E70</f>
        <v>1620</v>
      </c>
      <c r="H70" s="17">
        <f t="shared" si="6"/>
        <v>54000</v>
      </c>
    </row>
    <row r="71" spans="1:8" x14ac:dyDescent="0.2">
      <c r="C71" s="7">
        <v>46295</v>
      </c>
      <c r="D71" s="17">
        <f t="shared" si="3"/>
        <v>1620</v>
      </c>
      <c r="E71" s="17">
        <f>H70/3</f>
        <v>18000</v>
      </c>
      <c r="F71" s="17">
        <f t="shared" ref="F71" si="12">D71+E71</f>
        <v>19620</v>
      </c>
      <c r="H71" s="17">
        <f t="shared" si="6"/>
        <v>36000</v>
      </c>
    </row>
    <row r="72" spans="1:8" x14ac:dyDescent="0.2">
      <c r="C72" s="7">
        <v>46477</v>
      </c>
      <c r="D72" s="17">
        <f t="shared" si="3"/>
        <v>1080</v>
      </c>
      <c r="E72" s="17">
        <f>E71</f>
        <v>18000</v>
      </c>
      <c r="F72" s="17">
        <f t="shared" ref="F72" si="13">D72+E72</f>
        <v>19080</v>
      </c>
      <c r="H72" s="17">
        <f t="shared" si="6"/>
        <v>18000</v>
      </c>
    </row>
    <row r="73" spans="1:8" x14ac:dyDescent="0.2">
      <c r="C73" s="7">
        <v>46660</v>
      </c>
      <c r="D73" s="17">
        <f t="shared" si="3"/>
        <v>540</v>
      </c>
      <c r="E73" s="17">
        <f>E72</f>
        <v>18000</v>
      </c>
      <c r="F73" s="17">
        <f t="shared" ref="F73" si="14">D73+E73</f>
        <v>18540</v>
      </c>
      <c r="H73" s="17">
        <f t="shared" si="6"/>
        <v>0</v>
      </c>
    </row>
    <row r="74" spans="1:8" x14ac:dyDescent="0.2">
      <c r="C74" s="7"/>
      <c r="D74" s="17"/>
      <c r="E74" s="17"/>
      <c r="F74" s="17"/>
      <c r="H74" s="17"/>
    </row>
    <row r="75" spans="1:8" x14ac:dyDescent="0.2">
      <c r="C75" s="7" t="s">
        <v>129</v>
      </c>
      <c r="D75" s="17"/>
      <c r="E75" s="17"/>
      <c r="F75" s="10">
        <v>4.0399999999999998E-2</v>
      </c>
      <c r="H75" s="17"/>
    </row>
    <row r="76" spans="1:8" x14ac:dyDescent="0.2">
      <c r="C76" s="7" t="s">
        <v>130</v>
      </c>
      <c r="D76" s="17"/>
      <c r="E76" s="17"/>
      <c r="F76" s="37">
        <f>(1+F75)^0.5-1</f>
        <v>2.0000000000000018E-2</v>
      </c>
      <c r="H76" s="17"/>
    </row>
    <row r="77" spans="1:8" x14ac:dyDescent="0.2">
      <c r="C77" s="7" t="s">
        <v>131</v>
      </c>
      <c r="D77" s="17"/>
      <c r="E77" s="17"/>
      <c r="F77" s="17">
        <f>NPV(F76,F64:F73)</f>
        <v>58404.65456755866</v>
      </c>
      <c r="H77" s="17"/>
    </row>
    <row r="78" spans="1:8" x14ac:dyDescent="0.2">
      <c r="C78" s="7"/>
      <c r="D78" s="17"/>
      <c r="E78" s="17"/>
      <c r="F78" s="17"/>
      <c r="H78" s="17"/>
    </row>
    <row r="79" spans="1:8" x14ac:dyDescent="0.2">
      <c r="A79" s="1" t="s">
        <v>138</v>
      </c>
      <c r="C79" s="7"/>
      <c r="D79" s="17"/>
      <c r="E79" s="17"/>
      <c r="F79" s="17"/>
      <c r="H79" s="17"/>
    </row>
    <row r="80" spans="1:8" x14ac:dyDescent="0.2">
      <c r="C80" s="7" t="s">
        <v>129</v>
      </c>
      <c r="D80" s="17"/>
      <c r="E80" s="17"/>
      <c r="F80" s="37">
        <v>0.03</v>
      </c>
      <c r="H80" s="17"/>
    </row>
    <row r="81" spans="1:8" x14ac:dyDescent="0.2">
      <c r="C81" s="7" t="s">
        <v>130</v>
      </c>
      <c r="D81" s="17"/>
      <c r="E81" s="17"/>
      <c r="F81" s="10">
        <f>(1+F80)^0.5-1</f>
        <v>1.4889156509221957E-2</v>
      </c>
    </row>
    <row r="82" spans="1:8" x14ac:dyDescent="0.2">
      <c r="C82" s="7" t="s">
        <v>134</v>
      </c>
      <c r="D82" s="17"/>
      <c r="E82" s="17"/>
      <c r="F82" s="17">
        <f>NPV(F81,F72:F73)</f>
        <v>36800.082627374715</v>
      </c>
    </row>
    <row r="83" spans="1:8" x14ac:dyDescent="0.2">
      <c r="C83" s="7"/>
      <c r="D83" s="17"/>
      <c r="E83" s="17"/>
      <c r="F83" s="17"/>
    </row>
    <row r="84" spans="1:8" x14ac:dyDescent="0.2">
      <c r="A84" s="1" t="s">
        <v>135</v>
      </c>
      <c r="C84" s="7"/>
      <c r="D84" s="17"/>
      <c r="E84" s="17"/>
      <c r="F84" s="17"/>
    </row>
    <row r="85" spans="1:8" x14ac:dyDescent="0.2">
      <c r="C85" s="1" t="s">
        <v>75</v>
      </c>
      <c r="D85" s="1" t="s">
        <v>76</v>
      </c>
      <c r="E85" s="1" t="s">
        <v>77</v>
      </c>
      <c r="F85" s="1" t="s">
        <v>78</v>
      </c>
      <c r="H85" s="1" t="s">
        <v>79</v>
      </c>
    </row>
    <row r="86" spans="1:8" x14ac:dyDescent="0.2">
      <c r="C86" s="7">
        <v>44927</v>
      </c>
      <c r="D86" s="17"/>
      <c r="E86" s="17"/>
      <c r="F86" s="38">
        <f>-F77</f>
        <v>-58404.65456755866</v>
      </c>
      <c r="H86" s="17">
        <f>18000*3</f>
        <v>54000</v>
      </c>
    </row>
    <row r="87" spans="1:8" x14ac:dyDescent="0.2">
      <c r="C87" s="7">
        <v>45016</v>
      </c>
      <c r="D87" s="17">
        <f t="shared" ref="D87:D94" si="15">6%/2*H86</f>
        <v>1620</v>
      </c>
      <c r="E87" s="17"/>
      <c r="F87" s="17">
        <f t="shared" ref="F87:F93" si="16">D87+E87</f>
        <v>1620</v>
      </c>
      <c r="H87" s="17">
        <f>H86-E87</f>
        <v>54000</v>
      </c>
    </row>
    <row r="88" spans="1:8" x14ac:dyDescent="0.2">
      <c r="C88" s="7">
        <v>45199</v>
      </c>
      <c r="D88" s="17">
        <f t="shared" si="15"/>
        <v>1620</v>
      </c>
      <c r="E88" s="17"/>
      <c r="F88" s="17">
        <f t="shared" si="16"/>
        <v>1620</v>
      </c>
      <c r="H88" s="17">
        <f t="shared" ref="H88:H94" si="17">H87-E88</f>
        <v>54000</v>
      </c>
    </row>
    <row r="89" spans="1:8" x14ac:dyDescent="0.2">
      <c r="C89" s="7">
        <v>45382</v>
      </c>
      <c r="D89" s="17">
        <f t="shared" si="15"/>
        <v>1620</v>
      </c>
      <c r="E89" s="17"/>
      <c r="F89" s="17">
        <f t="shared" si="16"/>
        <v>1620</v>
      </c>
      <c r="H89" s="17">
        <f t="shared" si="17"/>
        <v>54000</v>
      </c>
    </row>
    <row r="90" spans="1:8" x14ac:dyDescent="0.2">
      <c r="C90" s="7">
        <v>45565</v>
      </c>
      <c r="D90" s="17">
        <f t="shared" si="15"/>
        <v>1620</v>
      </c>
      <c r="E90" s="17"/>
      <c r="F90" s="17">
        <f t="shared" si="16"/>
        <v>1620</v>
      </c>
      <c r="H90" s="17">
        <f t="shared" si="17"/>
        <v>54000</v>
      </c>
    </row>
    <row r="91" spans="1:8" x14ac:dyDescent="0.2">
      <c r="C91" s="7">
        <v>45747</v>
      </c>
      <c r="D91" s="17">
        <f t="shared" si="15"/>
        <v>1620</v>
      </c>
      <c r="E91" s="17"/>
      <c r="F91" s="17">
        <f t="shared" si="16"/>
        <v>1620</v>
      </c>
      <c r="H91" s="17">
        <f t="shared" si="17"/>
        <v>54000</v>
      </c>
    </row>
    <row r="92" spans="1:8" x14ac:dyDescent="0.2">
      <c r="C92" s="7">
        <v>45930</v>
      </c>
      <c r="D92" s="17">
        <f t="shared" si="15"/>
        <v>1620</v>
      </c>
      <c r="E92" s="17"/>
      <c r="F92" s="17">
        <f t="shared" si="16"/>
        <v>1620</v>
      </c>
      <c r="H92" s="17">
        <f t="shared" si="17"/>
        <v>54000</v>
      </c>
    </row>
    <row r="93" spans="1:8" x14ac:dyDescent="0.2">
      <c r="C93" s="7">
        <v>46112</v>
      </c>
      <c r="D93" s="17">
        <f t="shared" si="15"/>
        <v>1620</v>
      </c>
      <c r="E93" s="17"/>
      <c r="F93" s="17">
        <f t="shared" si="16"/>
        <v>1620</v>
      </c>
      <c r="H93" s="17">
        <f t="shared" si="17"/>
        <v>54000</v>
      </c>
    </row>
    <row r="94" spans="1:8" x14ac:dyDescent="0.2">
      <c r="C94" s="7">
        <v>46295</v>
      </c>
      <c r="D94" s="17">
        <f t="shared" si="15"/>
        <v>1620</v>
      </c>
      <c r="E94" s="17">
        <f>H93/3</f>
        <v>18000</v>
      </c>
      <c r="F94" s="17">
        <f>D94+E94+F82</f>
        <v>56420.082627374715</v>
      </c>
      <c r="H94" s="17">
        <f t="shared" si="17"/>
        <v>36000</v>
      </c>
    </row>
    <row r="95" spans="1:8" x14ac:dyDescent="0.2">
      <c r="C95" s="7"/>
      <c r="D95" s="17"/>
      <c r="E95" s="17"/>
      <c r="F95" s="17"/>
    </row>
    <row r="96" spans="1:8" x14ac:dyDescent="0.2">
      <c r="A96" s="1" t="s">
        <v>144</v>
      </c>
      <c r="C96" s="7" t="s">
        <v>139</v>
      </c>
      <c r="D96" s="17"/>
      <c r="E96" s="17"/>
      <c r="F96" s="37"/>
    </row>
    <row r="97" spans="1:8" x14ac:dyDescent="0.2">
      <c r="C97" s="7" t="s">
        <v>140</v>
      </c>
      <c r="D97" s="17"/>
      <c r="E97" s="17"/>
      <c r="F97" s="37"/>
    </row>
    <row r="98" spans="1:8" x14ac:dyDescent="0.2">
      <c r="C98" s="7" t="s">
        <v>141</v>
      </c>
      <c r="D98" s="17"/>
      <c r="E98" s="17"/>
      <c r="F98" s="37"/>
    </row>
    <row r="99" spans="1:8" x14ac:dyDescent="0.2">
      <c r="C99" s="7" t="s">
        <v>142</v>
      </c>
      <c r="D99" s="17"/>
      <c r="E99" s="17"/>
      <c r="F99" s="37"/>
    </row>
    <row r="100" spans="1:8" x14ac:dyDescent="0.2">
      <c r="C100" s="7"/>
      <c r="D100" s="17"/>
      <c r="E100" s="17"/>
      <c r="F100" s="37"/>
    </row>
    <row r="101" spans="1:8" ht="17" thickBot="1" x14ac:dyDescent="0.25">
      <c r="C101" s="7" t="s">
        <v>143</v>
      </c>
      <c r="D101" s="17"/>
      <c r="E101" s="17"/>
      <c r="F101" s="10">
        <f>IRR(F86:F94)</f>
        <v>2.0561099537172334E-2</v>
      </c>
    </row>
    <row r="102" spans="1:8" ht="17" thickBot="1" x14ac:dyDescent="0.25">
      <c r="C102" s="7" t="s">
        <v>145</v>
      </c>
      <c r="D102" s="17"/>
      <c r="E102" s="17"/>
      <c r="F102" s="28">
        <f>(1+F101)^2-1</f>
        <v>4.1544957888522083E-2</v>
      </c>
    </row>
    <row r="103" spans="1:8" ht="17" thickBot="1" x14ac:dyDescent="0.25">
      <c r="C103" s="7"/>
      <c r="D103" s="17"/>
      <c r="E103" s="17"/>
      <c r="F103" s="37"/>
    </row>
    <row r="104" spans="1:8" x14ac:dyDescent="0.2">
      <c r="A104" s="11" t="s">
        <v>38</v>
      </c>
      <c r="B104" s="12"/>
      <c r="C104" s="12"/>
      <c r="D104" s="12"/>
      <c r="E104" s="12"/>
      <c r="F104" s="12"/>
      <c r="G104" s="12"/>
      <c r="H104" s="13"/>
    </row>
    <row r="105" spans="1:8" x14ac:dyDescent="0.2">
      <c r="A105" s="39" t="s">
        <v>70</v>
      </c>
      <c r="H105" s="26"/>
    </row>
    <row r="106" spans="1:8" x14ac:dyDescent="0.2">
      <c r="A106" s="39" t="s">
        <v>151</v>
      </c>
      <c r="H106" s="26"/>
    </row>
    <row r="107" spans="1:8" ht="17" thickBot="1" x14ac:dyDescent="0.25">
      <c r="A107" s="40" t="s">
        <v>152</v>
      </c>
      <c r="B107" s="15"/>
      <c r="C107" s="15"/>
      <c r="D107" s="15"/>
      <c r="E107" s="15"/>
      <c r="F107" s="15"/>
      <c r="G107" s="15"/>
      <c r="H107" s="16"/>
    </row>
    <row r="109" spans="1:8" x14ac:dyDescent="0.2">
      <c r="A109" s="1" t="s">
        <v>73</v>
      </c>
    </row>
    <row r="110" spans="1:8" x14ac:dyDescent="0.2">
      <c r="C110" s="1" t="s">
        <v>75</v>
      </c>
      <c r="D110" s="1" t="s">
        <v>76</v>
      </c>
      <c r="E110" s="1" t="s">
        <v>77</v>
      </c>
      <c r="F110" s="1" t="s">
        <v>78</v>
      </c>
      <c r="H110" s="1" t="s">
        <v>79</v>
      </c>
    </row>
    <row r="111" spans="1:8" x14ac:dyDescent="0.2">
      <c r="A111" s="1" t="s">
        <v>74</v>
      </c>
      <c r="C111" s="7">
        <v>44562</v>
      </c>
      <c r="F111" s="36"/>
      <c r="H111" s="17">
        <v>3</v>
      </c>
    </row>
    <row r="112" spans="1:8" x14ac:dyDescent="0.2">
      <c r="C112" s="7">
        <v>44651</v>
      </c>
      <c r="D112" s="22">
        <f>6%/2*H111</f>
        <v>0.09</v>
      </c>
      <c r="E112" s="17"/>
      <c r="F112" s="22">
        <f>D112+E112</f>
        <v>0.09</v>
      </c>
      <c r="H112" s="17">
        <f>H111-E112</f>
        <v>3</v>
      </c>
    </row>
    <row r="113" spans="3:8" x14ac:dyDescent="0.2">
      <c r="C113" s="7">
        <v>44742</v>
      </c>
      <c r="D113" s="22"/>
      <c r="E113" s="17"/>
      <c r="F113" s="17">
        <v>0</v>
      </c>
      <c r="H113" s="17">
        <f t="shared" ref="H113:H134" si="18">H112-E113</f>
        <v>3</v>
      </c>
    </row>
    <row r="114" spans="3:8" x14ac:dyDescent="0.2">
      <c r="C114" s="7">
        <v>44834</v>
      </c>
      <c r="D114" s="22">
        <f>6%/2*H112</f>
        <v>0.09</v>
      </c>
      <c r="E114" s="17"/>
      <c r="F114" s="22">
        <f t="shared" ref="F114" si="19">D114+E114</f>
        <v>0.09</v>
      </c>
      <c r="H114" s="17">
        <f t="shared" si="18"/>
        <v>3</v>
      </c>
    </row>
    <row r="115" spans="3:8" x14ac:dyDescent="0.2">
      <c r="C115" s="7">
        <v>44926</v>
      </c>
      <c r="D115" s="22"/>
      <c r="E115" s="17"/>
      <c r="F115" s="17">
        <v>0</v>
      </c>
      <c r="H115" s="17">
        <f t="shared" si="18"/>
        <v>3</v>
      </c>
    </row>
    <row r="116" spans="3:8" x14ac:dyDescent="0.2">
      <c r="C116" s="7">
        <v>45016</v>
      </c>
      <c r="D116" s="22">
        <f>6%/2*H114</f>
        <v>0.09</v>
      </c>
      <c r="E116" s="17"/>
      <c r="F116" s="22">
        <f t="shared" ref="F116" si="20">D116+E116</f>
        <v>0.09</v>
      </c>
      <c r="H116" s="17">
        <f t="shared" si="18"/>
        <v>3</v>
      </c>
    </row>
    <row r="117" spans="3:8" x14ac:dyDescent="0.2">
      <c r="C117" s="7">
        <v>45107</v>
      </c>
      <c r="D117" s="22"/>
      <c r="E117" s="17"/>
      <c r="F117" s="17">
        <v>0</v>
      </c>
      <c r="H117" s="17">
        <f t="shared" si="18"/>
        <v>3</v>
      </c>
    </row>
    <row r="118" spans="3:8" x14ac:dyDescent="0.2">
      <c r="C118" s="7">
        <v>45199</v>
      </c>
      <c r="D118" s="22">
        <f>6%/2*H116</f>
        <v>0.09</v>
      </c>
      <c r="E118" s="17"/>
      <c r="F118" s="22">
        <f t="shared" ref="F118" si="21">D118+E118</f>
        <v>0.09</v>
      </c>
      <c r="H118" s="17">
        <f t="shared" si="18"/>
        <v>3</v>
      </c>
    </row>
    <row r="119" spans="3:8" x14ac:dyDescent="0.2">
      <c r="C119" s="7">
        <v>45291</v>
      </c>
      <c r="D119" s="22"/>
      <c r="E119" s="17"/>
      <c r="F119" s="17">
        <v>0</v>
      </c>
      <c r="H119" s="17">
        <f t="shared" si="18"/>
        <v>3</v>
      </c>
    </row>
    <row r="120" spans="3:8" x14ac:dyDescent="0.2">
      <c r="C120" s="7">
        <v>45382</v>
      </c>
      <c r="D120" s="22">
        <f>6%/2*H118</f>
        <v>0.09</v>
      </c>
      <c r="E120" s="17"/>
      <c r="F120" s="22">
        <f t="shared" ref="F120" si="22">D120+E120</f>
        <v>0.09</v>
      </c>
      <c r="H120" s="17">
        <f t="shared" si="18"/>
        <v>3</v>
      </c>
    </row>
    <row r="121" spans="3:8" x14ac:dyDescent="0.2">
      <c r="C121" s="7">
        <v>45473</v>
      </c>
      <c r="D121" s="22"/>
      <c r="E121" s="17"/>
      <c r="F121" s="17">
        <v>0</v>
      </c>
      <c r="H121" s="17">
        <f t="shared" si="18"/>
        <v>3</v>
      </c>
    </row>
    <row r="122" spans="3:8" x14ac:dyDescent="0.2">
      <c r="C122" s="7">
        <v>45565</v>
      </c>
      <c r="D122" s="22">
        <f>6%/2*H120</f>
        <v>0.09</v>
      </c>
      <c r="E122" s="17"/>
      <c r="F122" s="22">
        <f t="shared" ref="F122" si="23">D122+E122</f>
        <v>0.09</v>
      </c>
      <c r="H122" s="17">
        <f t="shared" si="18"/>
        <v>3</v>
      </c>
    </row>
    <row r="123" spans="3:8" x14ac:dyDescent="0.2">
      <c r="C123" s="7">
        <v>45657</v>
      </c>
      <c r="D123" s="22"/>
      <c r="E123" s="17"/>
      <c r="F123" s="17">
        <v>0</v>
      </c>
      <c r="H123" s="17">
        <f t="shared" si="18"/>
        <v>3</v>
      </c>
    </row>
    <row r="124" spans="3:8" x14ac:dyDescent="0.2">
      <c r="C124" s="7">
        <v>45747</v>
      </c>
      <c r="D124" s="22">
        <f>6%/2*H122</f>
        <v>0.09</v>
      </c>
      <c r="E124" s="17"/>
      <c r="F124" s="22">
        <f t="shared" ref="F124" si="24">D124+E124</f>
        <v>0.09</v>
      </c>
      <c r="H124" s="17">
        <f t="shared" si="18"/>
        <v>3</v>
      </c>
    </row>
    <row r="125" spans="3:8" x14ac:dyDescent="0.2">
      <c r="C125" s="7">
        <v>45838</v>
      </c>
      <c r="D125" s="22"/>
      <c r="E125" s="17"/>
      <c r="F125" s="17">
        <v>0</v>
      </c>
      <c r="H125" s="17">
        <f t="shared" si="18"/>
        <v>3</v>
      </c>
    </row>
    <row r="126" spans="3:8" x14ac:dyDescent="0.2">
      <c r="C126" s="7">
        <v>45930</v>
      </c>
      <c r="D126" s="22">
        <f>6%/2*H124</f>
        <v>0.09</v>
      </c>
      <c r="E126" s="17"/>
      <c r="F126" s="22">
        <f t="shared" ref="F126" si="25">D126+E126</f>
        <v>0.09</v>
      </c>
      <c r="H126" s="17">
        <f t="shared" si="18"/>
        <v>3</v>
      </c>
    </row>
    <row r="127" spans="3:8" x14ac:dyDescent="0.2">
      <c r="C127" s="7">
        <v>46022</v>
      </c>
      <c r="D127" s="22"/>
      <c r="E127" s="17"/>
      <c r="F127" s="17">
        <v>0</v>
      </c>
      <c r="H127" s="17">
        <f t="shared" si="18"/>
        <v>3</v>
      </c>
    </row>
    <row r="128" spans="3:8" x14ac:dyDescent="0.2">
      <c r="C128" s="7">
        <v>46112</v>
      </c>
      <c r="D128" s="22">
        <f>6%/2*H126</f>
        <v>0.09</v>
      </c>
      <c r="E128" s="17"/>
      <c r="F128" s="22">
        <f t="shared" ref="F128" si="26">D128+E128</f>
        <v>0.09</v>
      </c>
      <c r="H128" s="17">
        <f t="shared" si="18"/>
        <v>3</v>
      </c>
    </row>
    <row r="129" spans="3:8" x14ac:dyDescent="0.2">
      <c r="C129" s="7">
        <v>46203</v>
      </c>
      <c r="D129" s="22"/>
      <c r="E129" s="17"/>
      <c r="F129" s="17">
        <v>0</v>
      </c>
      <c r="H129" s="17">
        <f t="shared" si="18"/>
        <v>3</v>
      </c>
    </row>
    <row r="130" spans="3:8" x14ac:dyDescent="0.2">
      <c r="C130" s="7">
        <v>46295</v>
      </c>
      <c r="D130" s="22">
        <f>6%/2*H128</f>
        <v>0.09</v>
      </c>
      <c r="E130" s="17">
        <f>H128/3</f>
        <v>1</v>
      </c>
      <c r="F130" s="22">
        <f t="shared" ref="F130" si="27">D130+E130</f>
        <v>1.0900000000000001</v>
      </c>
      <c r="H130" s="17">
        <f t="shared" si="18"/>
        <v>2</v>
      </c>
    </row>
    <row r="131" spans="3:8" x14ac:dyDescent="0.2">
      <c r="C131" s="7">
        <v>46387</v>
      </c>
      <c r="D131" s="22"/>
      <c r="E131" s="17"/>
      <c r="F131" s="17">
        <v>0</v>
      </c>
      <c r="H131" s="17">
        <f t="shared" si="18"/>
        <v>2</v>
      </c>
    </row>
    <row r="132" spans="3:8" x14ac:dyDescent="0.2">
      <c r="C132" s="7">
        <v>46477</v>
      </c>
      <c r="D132" s="22">
        <f>6%/2*H130</f>
        <v>0.06</v>
      </c>
      <c r="E132" s="17">
        <f>E130</f>
        <v>1</v>
      </c>
      <c r="F132" s="22">
        <f t="shared" ref="F132" si="28">D132+E132</f>
        <v>1.06</v>
      </c>
      <c r="H132" s="17">
        <f t="shared" si="18"/>
        <v>1</v>
      </c>
    </row>
    <row r="133" spans="3:8" x14ac:dyDescent="0.2">
      <c r="C133" s="7">
        <v>46568</v>
      </c>
      <c r="D133" s="22"/>
      <c r="E133" s="17"/>
      <c r="F133" s="17">
        <v>0</v>
      </c>
      <c r="H133" s="17">
        <f t="shared" si="18"/>
        <v>1</v>
      </c>
    </row>
    <row r="134" spans="3:8" x14ac:dyDescent="0.2">
      <c r="C134" s="7">
        <v>46660</v>
      </c>
      <c r="D134" s="22">
        <f t="shared" ref="D134" si="29">6%/2*H132</f>
        <v>0.03</v>
      </c>
      <c r="E134" s="17">
        <f>E132</f>
        <v>1</v>
      </c>
      <c r="F134" s="22">
        <f t="shared" ref="F134" si="30">D134+E134</f>
        <v>1.03</v>
      </c>
      <c r="H134" s="17">
        <f t="shared" si="18"/>
        <v>0</v>
      </c>
    </row>
    <row r="136" spans="3:8" x14ac:dyDescent="0.2">
      <c r="C136" s="1" t="s">
        <v>86</v>
      </c>
      <c r="F136" s="9">
        <v>8.2500000000000004E-2</v>
      </c>
    </row>
    <row r="137" spans="3:8" x14ac:dyDescent="0.2">
      <c r="C137" s="1" t="s">
        <v>87</v>
      </c>
      <c r="F137" s="8">
        <f>(1+F136)^0.25-1</f>
        <v>2.0015981411193762E-2</v>
      </c>
    </row>
    <row r="139" spans="3:8" x14ac:dyDescent="0.2">
      <c r="C139" s="1" t="s">
        <v>146</v>
      </c>
      <c r="F139" s="22">
        <f>NPV(F137,F112:F134)</f>
        <v>2.7812949606648689</v>
      </c>
    </row>
    <row r="140" spans="3:8" x14ac:dyDescent="0.2">
      <c r="C140" s="1" t="s">
        <v>147</v>
      </c>
      <c r="F140" s="42">
        <f>2.9808</f>
        <v>2.9807999999999999</v>
      </c>
    </row>
    <row r="141" spans="3:8" x14ac:dyDescent="0.2">
      <c r="C141" s="1" t="s">
        <v>148</v>
      </c>
      <c r="F141" s="32">
        <f>F140/F139-1</f>
        <v>7.1730989397629008E-2</v>
      </c>
    </row>
    <row r="142" spans="3:8" ht="17" thickBot="1" x14ac:dyDescent="0.25">
      <c r="C142" s="1" t="s">
        <v>149</v>
      </c>
      <c r="F142" s="1">
        <v>102</v>
      </c>
    </row>
    <row r="143" spans="3:8" ht="17" thickBot="1" x14ac:dyDescent="0.25">
      <c r="C143" s="1" t="s">
        <v>150</v>
      </c>
      <c r="F143" s="44">
        <f>(1+F141)*F142</f>
        <v>109.31656091855815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7"/>
  <sheetViews>
    <sheetView rightToLeft="1" zoomScale="310" zoomScaleNormal="310" workbookViewId="0">
      <selection activeCell="E118" sqref="E118"/>
    </sheetView>
  </sheetViews>
  <sheetFormatPr baseColWidth="10" defaultColWidth="10.83203125" defaultRowHeight="16" x14ac:dyDescent="0.2"/>
  <cols>
    <col min="1" max="3" width="10.83203125" style="1"/>
    <col min="4" max="4" width="11.6640625" style="1" customWidth="1"/>
    <col min="5" max="7" width="10.83203125" style="1"/>
    <col min="8" max="8" width="11.6640625" style="1" customWidth="1"/>
    <col min="9" max="16384" width="10.83203125" style="1"/>
  </cols>
  <sheetData>
    <row r="1" spans="1:8" x14ac:dyDescent="0.2">
      <c r="A1" s="5" t="s">
        <v>43</v>
      </c>
      <c r="B1" s="5"/>
      <c r="C1" s="5"/>
      <c r="D1" s="5"/>
      <c r="E1" s="5" t="s">
        <v>271</v>
      </c>
      <c r="F1" s="5"/>
      <c r="G1" s="5"/>
      <c r="H1" s="5"/>
    </row>
    <row r="3" spans="1:8" x14ac:dyDescent="0.2">
      <c r="A3" s="1" t="s">
        <v>125</v>
      </c>
    </row>
    <row r="4" spans="1:8" x14ac:dyDescent="0.2">
      <c r="A4" s="1" t="s">
        <v>44</v>
      </c>
    </row>
    <row r="5" spans="1:8" x14ac:dyDescent="0.2">
      <c r="A5" s="1" t="s">
        <v>45</v>
      </c>
    </row>
    <row r="6" spans="1:8" x14ac:dyDescent="0.2">
      <c r="A6" s="1" t="s">
        <v>157</v>
      </c>
    </row>
    <row r="7" spans="1:8" x14ac:dyDescent="0.2">
      <c r="A7" s="1" t="s">
        <v>158</v>
      </c>
    </row>
    <row r="8" spans="1:8" x14ac:dyDescent="0.2">
      <c r="A8" s="1" t="s">
        <v>46</v>
      </c>
    </row>
    <row r="9" spans="1:8" x14ac:dyDescent="0.2">
      <c r="A9" s="1" t="s">
        <v>172</v>
      </c>
    </row>
    <row r="10" spans="1:8" x14ac:dyDescent="0.2">
      <c r="A10" s="1" t="s">
        <v>47</v>
      </c>
    </row>
    <row r="11" spans="1:8" x14ac:dyDescent="0.2">
      <c r="A11" s="1" t="s">
        <v>48</v>
      </c>
    </row>
    <row r="12" spans="1:8" x14ac:dyDescent="0.2">
      <c r="A12" s="1" t="s">
        <v>49</v>
      </c>
    </row>
    <row r="13" spans="1:8" x14ac:dyDescent="0.2">
      <c r="A13" s="1" t="s">
        <v>50</v>
      </c>
    </row>
    <row r="14" spans="1:8" x14ac:dyDescent="0.2">
      <c r="A14" s="1" t="s">
        <v>51</v>
      </c>
    </row>
    <row r="15" spans="1:8" x14ac:dyDescent="0.2">
      <c r="A15" s="1" t="s">
        <v>52</v>
      </c>
    </row>
    <row r="16" spans="1:8" x14ac:dyDescent="0.2">
      <c r="A16" s="41"/>
    </row>
    <row r="17" spans="1:8" x14ac:dyDescent="0.2">
      <c r="A17" s="41"/>
      <c r="B17" s="1" t="s">
        <v>53</v>
      </c>
      <c r="C17" s="1" t="s">
        <v>54</v>
      </c>
    </row>
    <row r="18" spans="1:8" x14ac:dyDescent="0.2">
      <c r="A18" s="41"/>
      <c r="B18" s="7">
        <v>45657</v>
      </c>
      <c r="C18" s="47">
        <v>80</v>
      </c>
    </row>
    <row r="19" spans="1:8" x14ac:dyDescent="0.2">
      <c r="B19" s="7">
        <v>46022</v>
      </c>
      <c r="C19" s="47">
        <v>83</v>
      </c>
    </row>
    <row r="20" spans="1:8" x14ac:dyDescent="0.2">
      <c r="B20" s="7">
        <v>46387</v>
      </c>
      <c r="C20" s="47">
        <v>87</v>
      </c>
    </row>
    <row r="21" spans="1:8" x14ac:dyDescent="0.2">
      <c r="B21" s="7">
        <v>46752</v>
      </c>
      <c r="C21" s="47">
        <v>92</v>
      </c>
    </row>
    <row r="22" spans="1:8" x14ac:dyDescent="0.2">
      <c r="B22" s="7">
        <v>47118</v>
      </c>
      <c r="C22" s="47">
        <v>97</v>
      </c>
    </row>
    <row r="23" spans="1:8" x14ac:dyDescent="0.2">
      <c r="C23" s="6"/>
    </row>
    <row r="24" spans="1:8" x14ac:dyDescent="0.2">
      <c r="A24" s="1" t="s">
        <v>55</v>
      </c>
    </row>
    <row r="25" spans="1:8" x14ac:dyDescent="0.2">
      <c r="A25" s="1" t="s">
        <v>56</v>
      </c>
    </row>
    <row r="26" spans="1:8" x14ac:dyDescent="0.2">
      <c r="A26" s="1" t="s">
        <v>57</v>
      </c>
    </row>
    <row r="27" spans="1:8" x14ac:dyDescent="0.2">
      <c r="A27" s="1" t="s">
        <v>177</v>
      </c>
    </row>
    <row r="29" spans="1:8" x14ac:dyDescent="0.2">
      <c r="A29" s="3" t="s">
        <v>153</v>
      </c>
    </row>
    <row r="30" spans="1:8" ht="17" thickBot="1" x14ac:dyDescent="0.25"/>
    <row r="31" spans="1:8" x14ac:dyDescent="0.2">
      <c r="A31" s="11" t="s">
        <v>45</v>
      </c>
      <c r="B31" s="12"/>
      <c r="C31" s="12"/>
      <c r="D31" s="12"/>
      <c r="E31" s="12"/>
      <c r="F31" s="12"/>
      <c r="G31" s="12"/>
      <c r="H31" s="13"/>
    </row>
    <row r="32" spans="1:8" x14ac:dyDescent="0.2">
      <c r="A32" s="25" t="s">
        <v>157</v>
      </c>
      <c r="H32" s="26"/>
    </row>
    <row r="33" spans="1:8" x14ac:dyDescent="0.2">
      <c r="A33" s="25" t="s">
        <v>158</v>
      </c>
      <c r="H33" s="26"/>
    </row>
    <row r="34" spans="1:8" ht="17" thickBot="1" x14ac:dyDescent="0.25">
      <c r="A34" s="14" t="s">
        <v>46</v>
      </c>
      <c r="B34" s="15"/>
      <c r="C34" s="15"/>
      <c r="D34" s="15"/>
      <c r="E34" s="15"/>
      <c r="F34" s="15"/>
      <c r="G34" s="15"/>
      <c r="H34" s="16"/>
    </row>
    <row r="36" spans="1:8" x14ac:dyDescent="0.2">
      <c r="A36" s="1" t="s">
        <v>187</v>
      </c>
      <c r="C36" s="1">
        <v>842.11</v>
      </c>
      <c r="E36" s="1" t="s">
        <v>154</v>
      </c>
    </row>
    <row r="37" spans="1:8" x14ac:dyDescent="0.2">
      <c r="A37" s="1" t="s">
        <v>155</v>
      </c>
      <c r="C37" s="8">
        <v>0.1</v>
      </c>
      <c r="E37" s="1" t="s">
        <v>156</v>
      </c>
      <c r="F37" s="1" t="s">
        <v>188</v>
      </c>
    </row>
    <row r="38" spans="1:8" x14ac:dyDescent="0.2">
      <c r="A38" s="1" t="s">
        <v>160</v>
      </c>
      <c r="C38" s="1">
        <v>80</v>
      </c>
      <c r="E38" s="1" t="s">
        <v>159</v>
      </c>
    </row>
    <row r="39" spans="1:8" x14ac:dyDescent="0.2">
      <c r="A39" s="1" t="s">
        <v>161</v>
      </c>
      <c r="C39" s="8">
        <v>0.8</v>
      </c>
    </row>
    <row r="40" spans="1:8" x14ac:dyDescent="0.2">
      <c r="A40" s="1" t="s">
        <v>162</v>
      </c>
      <c r="C40" s="1">
        <f>C38*C39</f>
        <v>64</v>
      </c>
      <c r="E40" s="1" t="s">
        <v>189</v>
      </c>
    </row>
    <row r="42" spans="1:8" x14ac:dyDescent="0.2">
      <c r="A42" s="1" t="s">
        <v>190</v>
      </c>
      <c r="E42" s="1" t="s">
        <v>191</v>
      </c>
    </row>
    <row r="43" spans="1:8" x14ac:dyDescent="0.2">
      <c r="A43" s="1" t="s">
        <v>197</v>
      </c>
      <c r="E43" s="1" t="s">
        <v>192</v>
      </c>
      <c r="F43" s="1" t="s">
        <v>203</v>
      </c>
    </row>
    <row r="44" spans="1:8" x14ac:dyDescent="0.2">
      <c r="A44" s="1" t="s">
        <v>199</v>
      </c>
      <c r="C44" s="48" t="s">
        <v>200</v>
      </c>
      <c r="E44" s="1" t="s">
        <v>193</v>
      </c>
    </row>
    <row r="45" spans="1:8" x14ac:dyDescent="0.2">
      <c r="A45" s="1" t="s">
        <v>201</v>
      </c>
      <c r="E45" s="1" t="s">
        <v>194</v>
      </c>
    </row>
    <row r="46" spans="1:8" x14ac:dyDescent="0.2">
      <c r="A46" s="1" t="s">
        <v>202</v>
      </c>
      <c r="E46" s="1" t="s">
        <v>195</v>
      </c>
    </row>
    <row r="47" spans="1:8" x14ac:dyDescent="0.2">
      <c r="A47" s="1" t="s">
        <v>198</v>
      </c>
      <c r="D47" s="49">
        <f>10%-64/842.11</f>
        <v>2.4000427497595331E-2</v>
      </c>
      <c r="E47" s="1" t="s">
        <v>196</v>
      </c>
    </row>
    <row r="48" spans="1:8" ht="17" thickBot="1" x14ac:dyDescent="0.25"/>
    <row r="49" spans="1:8" ht="17" thickBot="1" x14ac:dyDescent="0.25">
      <c r="A49" s="1" t="s">
        <v>163</v>
      </c>
      <c r="C49" s="45">
        <v>2.4E-2</v>
      </c>
      <c r="D49" s="1" t="s">
        <v>165</v>
      </c>
    </row>
    <row r="51" spans="1:8" x14ac:dyDescent="0.2">
      <c r="A51" s="1" t="s">
        <v>164</v>
      </c>
      <c r="C51" s="43">
        <f>C40/(C37-C49)</f>
        <v>842.10526315789457</v>
      </c>
      <c r="E51" s="1" t="s">
        <v>154</v>
      </c>
    </row>
    <row r="52" spans="1:8" ht="17" thickBot="1" x14ac:dyDescent="0.25"/>
    <row r="53" spans="1:8" x14ac:dyDescent="0.2">
      <c r="A53" s="11" t="s">
        <v>172</v>
      </c>
      <c r="B53" s="12"/>
      <c r="C53" s="12"/>
      <c r="D53" s="12"/>
      <c r="E53" s="12"/>
      <c r="F53" s="12"/>
      <c r="G53" s="12"/>
      <c r="H53" s="13"/>
    </row>
    <row r="54" spans="1:8" x14ac:dyDescent="0.2">
      <c r="A54" s="25" t="s">
        <v>47</v>
      </c>
      <c r="H54" s="26"/>
    </row>
    <row r="55" spans="1:8" x14ac:dyDescent="0.2">
      <c r="A55" s="25" t="s">
        <v>48</v>
      </c>
      <c r="H55" s="26"/>
    </row>
    <row r="56" spans="1:8" x14ac:dyDescent="0.2">
      <c r="A56" s="25" t="s">
        <v>49</v>
      </c>
      <c r="H56" s="26"/>
    </row>
    <row r="57" spans="1:8" x14ac:dyDescent="0.2">
      <c r="A57" s="25" t="s">
        <v>50</v>
      </c>
      <c r="H57" s="26"/>
    </row>
    <row r="58" spans="1:8" ht="17" thickBot="1" x14ac:dyDescent="0.25">
      <c r="A58" s="14" t="s">
        <v>51</v>
      </c>
      <c r="B58" s="15"/>
      <c r="C58" s="15"/>
      <c r="D58" s="15"/>
      <c r="E58" s="15"/>
      <c r="F58" s="15"/>
      <c r="G58" s="15"/>
      <c r="H58" s="16"/>
    </row>
    <row r="60" spans="1:8" x14ac:dyDescent="0.2">
      <c r="A60" s="1" t="s">
        <v>204</v>
      </c>
    </row>
    <row r="61" spans="1:8" x14ac:dyDescent="0.2">
      <c r="A61" s="1" t="s">
        <v>205</v>
      </c>
    </row>
    <row r="62" spans="1:8" x14ac:dyDescent="0.2">
      <c r="E62" s="1" t="s">
        <v>206</v>
      </c>
    </row>
    <row r="64" spans="1:8" x14ac:dyDescent="0.2">
      <c r="A64" s="1" t="s">
        <v>207</v>
      </c>
    </row>
    <row r="65" spans="1:11" x14ac:dyDescent="0.2">
      <c r="A65" s="51" t="s">
        <v>208</v>
      </c>
      <c r="B65" s="1" t="s">
        <v>209</v>
      </c>
      <c r="K65" s="1" t="s">
        <v>214</v>
      </c>
    </row>
    <row r="66" spans="1:11" x14ac:dyDescent="0.2">
      <c r="A66" s="51"/>
      <c r="B66" s="1" t="s">
        <v>210</v>
      </c>
    </row>
    <row r="67" spans="1:11" x14ac:dyDescent="0.2">
      <c r="A67" s="51" t="s">
        <v>211</v>
      </c>
      <c r="B67" s="1" t="s">
        <v>212</v>
      </c>
      <c r="K67" s="1" t="s">
        <v>215</v>
      </c>
    </row>
    <row r="68" spans="1:11" x14ac:dyDescent="0.2">
      <c r="B68" s="1" t="s">
        <v>213</v>
      </c>
    </row>
    <row r="70" spans="1:11" x14ac:dyDescent="0.2">
      <c r="A70" s="1" t="s">
        <v>216</v>
      </c>
      <c r="C70" s="1">
        <v>1680</v>
      </c>
      <c r="E70" s="1" t="s">
        <v>217</v>
      </c>
      <c r="F70" s="1" t="s">
        <v>218</v>
      </c>
    </row>
    <row r="71" spans="1:11" x14ac:dyDescent="0.2">
      <c r="A71" s="1" t="s">
        <v>166</v>
      </c>
      <c r="C71" s="8">
        <v>0.2</v>
      </c>
      <c r="E71" s="1" t="s">
        <v>156</v>
      </c>
      <c r="F71" s="1" t="s">
        <v>219</v>
      </c>
    </row>
    <row r="72" spans="1:11" x14ac:dyDescent="0.2">
      <c r="A72" s="1" t="s">
        <v>167</v>
      </c>
      <c r="C72" s="1">
        <v>280</v>
      </c>
      <c r="E72" s="1" t="s">
        <v>159</v>
      </c>
      <c r="F72" s="9" t="s">
        <v>220</v>
      </c>
    </row>
    <row r="73" spans="1:11" x14ac:dyDescent="0.2">
      <c r="A73" s="1" t="s">
        <v>168</v>
      </c>
      <c r="C73" s="8">
        <v>0.75</v>
      </c>
      <c r="F73" s="1" t="s">
        <v>220</v>
      </c>
    </row>
    <row r="74" spans="1:11" x14ac:dyDescent="0.2">
      <c r="A74" s="1" t="s">
        <v>169</v>
      </c>
      <c r="C74" s="1">
        <f>C72*C73</f>
        <v>210</v>
      </c>
      <c r="E74" s="1" t="s">
        <v>221</v>
      </c>
      <c r="F74" s="6"/>
    </row>
    <row r="76" spans="1:11" x14ac:dyDescent="0.2">
      <c r="A76" s="1" t="s">
        <v>225</v>
      </c>
    </row>
    <row r="78" spans="1:11" x14ac:dyDescent="0.2">
      <c r="E78" s="1" t="s">
        <v>214</v>
      </c>
    </row>
    <row r="79" spans="1:11" x14ac:dyDescent="0.2">
      <c r="E79" s="1" t="s">
        <v>222</v>
      </c>
      <c r="F79" s="1" t="s">
        <v>223</v>
      </c>
    </row>
    <row r="80" spans="1:11" x14ac:dyDescent="0.2">
      <c r="E80" s="1" t="s">
        <v>224</v>
      </c>
    </row>
    <row r="81" spans="1:8" x14ac:dyDescent="0.2">
      <c r="D81" s="52">
        <f>20%-210/1680</f>
        <v>7.5000000000000011E-2</v>
      </c>
      <c r="E81" s="53" t="s">
        <v>196</v>
      </c>
    </row>
    <row r="82" spans="1:8" ht="17" thickBot="1" x14ac:dyDescent="0.25"/>
    <row r="83" spans="1:8" ht="17" thickBot="1" x14ac:dyDescent="0.25">
      <c r="A83" s="1" t="s">
        <v>163</v>
      </c>
      <c r="C83" s="45">
        <v>7.4999999999999997E-2</v>
      </c>
      <c r="D83" s="1" t="s">
        <v>165</v>
      </c>
    </row>
    <row r="85" spans="1:8" x14ac:dyDescent="0.2">
      <c r="A85" s="1" t="s">
        <v>164</v>
      </c>
      <c r="C85" s="1">
        <f>C74/(C71-C83)</f>
        <v>1680</v>
      </c>
      <c r="E85" s="1" t="s">
        <v>173</v>
      </c>
    </row>
    <row r="87" spans="1:8" x14ac:dyDescent="0.2">
      <c r="A87" s="1" t="s">
        <v>226</v>
      </c>
    </row>
    <row r="88" spans="1:8" x14ac:dyDescent="0.2">
      <c r="A88" s="1" t="s">
        <v>227</v>
      </c>
    </row>
    <row r="89" spans="1:8" x14ac:dyDescent="0.2">
      <c r="A89" s="1" t="s">
        <v>228</v>
      </c>
    </row>
    <row r="91" spans="1:8" x14ac:dyDescent="0.2">
      <c r="E91" s="1" t="s">
        <v>215</v>
      </c>
      <c r="F91" s="1" t="s">
        <v>229</v>
      </c>
    </row>
    <row r="92" spans="1:8" x14ac:dyDescent="0.2">
      <c r="E92" s="1" t="s">
        <v>231</v>
      </c>
      <c r="F92" s="1" t="s">
        <v>230</v>
      </c>
    </row>
    <row r="94" spans="1:8" x14ac:dyDescent="0.2">
      <c r="A94" s="1" t="s">
        <v>170</v>
      </c>
      <c r="C94" s="1">
        <f>C72/C71</f>
        <v>1400</v>
      </c>
      <c r="E94" s="1" t="s">
        <v>171</v>
      </c>
    </row>
    <row r="95" spans="1:8" ht="17" thickBot="1" x14ac:dyDescent="0.25"/>
    <row r="96" spans="1:8" ht="17" thickBot="1" x14ac:dyDescent="0.25">
      <c r="A96" s="1" t="s">
        <v>174</v>
      </c>
      <c r="C96" s="46">
        <f>C85-C94</f>
        <v>280</v>
      </c>
      <c r="H96" s="1" t="s">
        <v>232</v>
      </c>
    </row>
    <row r="97" spans="1:8" ht="17" thickBot="1" x14ac:dyDescent="0.25"/>
    <row r="98" spans="1:8" x14ac:dyDescent="0.2">
      <c r="A98" s="11" t="s">
        <v>52</v>
      </c>
      <c r="B98" s="12"/>
      <c r="C98" s="12"/>
      <c r="D98" s="12"/>
      <c r="E98" s="12"/>
      <c r="F98" s="12"/>
      <c r="G98" s="12"/>
      <c r="H98" s="13"/>
    </row>
    <row r="99" spans="1:8" x14ac:dyDescent="0.2">
      <c r="A99" s="39"/>
      <c r="H99" s="26"/>
    </row>
    <row r="100" spans="1:8" x14ac:dyDescent="0.2">
      <c r="A100" s="39"/>
      <c r="B100" s="1" t="s">
        <v>53</v>
      </c>
      <c r="C100" s="1" t="s">
        <v>233</v>
      </c>
      <c r="H100" s="26"/>
    </row>
    <row r="101" spans="1:8" x14ac:dyDescent="0.2">
      <c r="A101" s="39"/>
      <c r="B101" s="7">
        <v>45657</v>
      </c>
      <c r="C101" s="47">
        <v>80</v>
      </c>
      <c r="H101" s="26"/>
    </row>
    <row r="102" spans="1:8" x14ac:dyDescent="0.2">
      <c r="A102" s="25"/>
      <c r="B102" s="7">
        <v>46022</v>
      </c>
      <c r="C102" s="47">
        <v>83</v>
      </c>
      <c r="H102" s="26"/>
    </row>
    <row r="103" spans="1:8" x14ac:dyDescent="0.2">
      <c r="A103" s="25"/>
      <c r="B103" s="7">
        <v>46387</v>
      </c>
      <c r="C103" s="47">
        <v>87</v>
      </c>
      <c r="H103" s="26"/>
    </row>
    <row r="104" spans="1:8" x14ac:dyDescent="0.2">
      <c r="A104" s="25"/>
      <c r="B104" s="7">
        <v>46752</v>
      </c>
      <c r="C104" s="47">
        <v>92</v>
      </c>
      <c r="H104" s="26"/>
    </row>
    <row r="105" spans="1:8" x14ac:dyDescent="0.2">
      <c r="A105" s="25"/>
      <c r="B105" s="7">
        <v>47118</v>
      </c>
      <c r="C105" s="47">
        <v>97</v>
      </c>
      <c r="H105" s="26"/>
    </row>
    <row r="106" spans="1:8" x14ac:dyDescent="0.2">
      <c r="A106" s="25"/>
      <c r="C106" s="6"/>
      <c r="H106" s="26"/>
    </row>
    <row r="107" spans="1:8" x14ac:dyDescent="0.2">
      <c r="A107" s="25" t="s">
        <v>55</v>
      </c>
      <c r="H107" s="26"/>
    </row>
    <row r="108" spans="1:8" x14ac:dyDescent="0.2">
      <c r="A108" s="25" t="s">
        <v>56</v>
      </c>
      <c r="H108" s="26"/>
    </row>
    <row r="109" spans="1:8" x14ac:dyDescent="0.2">
      <c r="A109" s="25" t="s">
        <v>57</v>
      </c>
      <c r="H109" s="26"/>
    </row>
    <row r="110" spans="1:8" ht="17" thickBot="1" x14ac:dyDescent="0.25">
      <c r="A110" s="14" t="s">
        <v>177</v>
      </c>
      <c r="B110" s="15"/>
      <c r="C110" s="15"/>
      <c r="D110" s="15"/>
      <c r="E110" s="15"/>
      <c r="F110" s="15"/>
      <c r="G110" s="15"/>
      <c r="H110" s="16"/>
    </row>
    <row r="112" spans="1:8" x14ac:dyDescent="0.2">
      <c r="A112" s="1" t="s">
        <v>234</v>
      </c>
    </row>
    <row r="114" spans="1:5" x14ac:dyDescent="0.2">
      <c r="A114" s="1" t="s">
        <v>249</v>
      </c>
    </row>
    <row r="115" spans="1:5" x14ac:dyDescent="0.2">
      <c r="A115" s="1" t="s">
        <v>235</v>
      </c>
    </row>
    <row r="116" spans="1:5" x14ac:dyDescent="0.2">
      <c r="A116" s="1" t="s">
        <v>236</v>
      </c>
    </row>
    <row r="118" spans="1:5" x14ac:dyDescent="0.2">
      <c r="E118" s="1" t="s">
        <v>237</v>
      </c>
    </row>
    <row r="120" spans="1:5" x14ac:dyDescent="0.2">
      <c r="A120" s="1" t="s">
        <v>238</v>
      </c>
    </row>
    <row r="121" spans="1:5" x14ac:dyDescent="0.2">
      <c r="A121" s="1" t="s">
        <v>239</v>
      </c>
      <c r="B121" s="1" t="s">
        <v>240</v>
      </c>
    </row>
    <row r="122" spans="1:5" x14ac:dyDescent="0.2">
      <c r="A122" s="1" t="s">
        <v>241</v>
      </c>
      <c r="B122" s="1" t="s">
        <v>242</v>
      </c>
    </row>
    <row r="123" spans="1:5" x14ac:dyDescent="0.2">
      <c r="A123" s="1" t="s">
        <v>243</v>
      </c>
      <c r="B123" s="1" t="s">
        <v>244</v>
      </c>
    </row>
    <row r="124" spans="1:5" x14ac:dyDescent="0.2">
      <c r="A124" s="1" t="s">
        <v>245</v>
      </c>
      <c r="B124" s="1" t="s">
        <v>246</v>
      </c>
    </row>
    <row r="126" spans="1:5" x14ac:dyDescent="0.2">
      <c r="A126" s="1" t="s">
        <v>247</v>
      </c>
      <c r="C126" s="52">
        <f>5%+(12%-5%)*1.4</f>
        <v>0.14799999999999999</v>
      </c>
      <c r="E126" s="1" t="s">
        <v>248</v>
      </c>
    </row>
    <row r="128" spans="1:5" x14ac:dyDescent="0.2">
      <c r="B128" s="1" t="s">
        <v>183</v>
      </c>
      <c r="E128" s="54">
        <f>5%+(12%-5%)*1.4</f>
        <v>0.14799999999999999</v>
      </c>
    </row>
    <row r="130" spans="1:7" x14ac:dyDescent="0.2">
      <c r="A130" s="1" t="s">
        <v>250</v>
      </c>
    </row>
    <row r="131" spans="1:7" x14ac:dyDescent="0.2">
      <c r="A131" s="1" t="s">
        <v>251</v>
      </c>
    </row>
    <row r="132" spans="1:7" x14ac:dyDescent="0.2">
      <c r="A132" s="1" t="s">
        <v>253</v>
      </c>
    </row>
    <row r="134" spans="1:7" ht="17" thickBot="1" x14ac:dyDescent="0.25">
      <c r="C134" s="55" t="s">
        <v>220</v>
      </c>
      <c r="D134" s="55" t="s">
        <v>220</v>
      </c>
      <c r="E134" s="55" t="s">
        <v>254</v>
      </c>
    </row>
    <row r="135" spans="1:7" x14ac:dyDescent="0.2">
      <c r="B135" s="1" t="s">
        <v>53</v>
      </c>
      <c r="C135" s="47" t="s">
        <v>175</v>
      </c>
      <c r="D135" s="1" t="s">
        <v>252</v>
      </c>
      <c r="E135" s="47" t="s">
        <v>176</v>
      </c>
      <c r="F135" s="47" t="s">
        <v>180</v>
      </c>
      <c r="G135" s="63" t="s">
        <v>181</v>
      </c>
    </row>
    <row r="136" spans="1:7" x14ac:dyDescent="0.2">
      <c r="B136" s="7">
        <v>45657</v>
      </c>
      <c r="C136" s="47">
        <v>80</v>
      </c>
      <c r="D136" s="57">
        <v>0.7</v>
      </c>
      <c r="E136" s="47">
        <f>C136*D136</f>
        <v>56</v>
      </c>
      <c r="F136" s="56"/>
      <c r="G136" s="64">
        <f>E136</f>
        <v>56</v>
      </c>
    </row>
    <row r="137" spans="1:7" x14ac:dyDescent="0.2">
      <c r="B137" s="7">
        <v>46022</v>
      </c>
      <c r="C137" s="47">
        <v>83</v>
      </c>
      <c r="D137" s="57">
        <v>0.7</v>
      </c>
      <c r="E137" s="47">
        <f>C137*D137</f>
        <v>58.099999999999994</v>
      </c>
      <c r="F137" s="56"/>
      <c r="G137" s="64">
        <f>E137</f>
        <v>58.099999999999994</v>
      </c>
    </row>
    <row r="138" spans="1:7" x14ac:dyDescent="0.2">
      <c r="B138" s="7">
        <v>46387</v>
      </c>
      <c r="C138" s="47">
        <v>87</v>
      </c>
      <c r="D138" s="57">
        <v>0.7</v>
      </c>
      <c r="E138" s="47">
        <f t="shared" ref="E138:E140" si="0">C138*D138</f>
        <v>60.9</v>
      </c>
      <c r="F138" s="56"/>
      <c r="G138" s="64">
        <f>E138</f>
        <v>60.9</v>
      </c>
    </row>
    <row r="139" spans="1:7" x14ac:dyDescent="0.2">
      <c r="B139" s="7">
        <v>46752</v>
      </c>
      <c r="C139" s="47">
        <v>92</v>
      </c>
      <c r="D139" s="57">
        <v>0.7</v>
      </c>
      <c r="E139" s="47">
        <f t="shared" si="0"/>
        <v>64.399999999999991</v>
      </c>
      <c r="F139" s="56"/>
      <c r="G139" s="64">
        <f>E139</f>
        <v>64.399999999999991</v>
      </c>
    </row>
    <row r="140" spans="1:7" ht="17" thickBot="1" x14ac:dyDescent="0.25">
      <c r="B140" s="7">
        <v>47118</v>
      </c>
      <c r="C140" s="47">
        <v>97</v>
      </c>
      <c r="D140" s="57">
        <v>0.7</v>
      </c>
      <c r="E140" s="47">
        <f t="shared" si="0"/>
        <v>67.899999999999991</v>
      </c>
      <c r="F140" s="62">
        <f>F159/(E128-F155)</f>
        <v>722.26050252022594</v>
      </c>
      <c r="G140" s="65">
        <f>E140+F140</f>
        <v>790.16050252022592</v>
      </c>
    </row>
    <row r="141" spans="1:7" x14ac:dyDescent="0.2">
      <c r="B141" s="7">
        <v>47483</v>
      </c>
      <c r="C141" s="47" t="s">
        <v>178</v>
      </c>
      <c r="E141" s="58">
        <f>F159</f>
        <v>71.250876478236108</v>
      </c>
      <c r="F141" s="56"/>
      <c r="G141" s="56"/>
    </row>
    <row r="142" spans="1:7" x14ac:dyDescent="0.2">
      <c r="F142" s="56"/>
      <c r="G142" s="56"/>
    </row>
    <row r="143" spans="1:7" x14ac:dyDescent="0.2">
      <c r="F143" s="56"/>
      <c r="G143" s="56"/>
    </row>
    <row r="144" spans="1:7" x14ac:dyDescent="0.2">
      <c r="F144" s="56"/>
      <c r="G144" s="56"/>
    </row>
    <row r="145" spans="1:10" ht="17" thickBot="1" x14ac:dyDescent="0.25">
      <c r="B145" s="1" t="s">
        <v>185</v>
      </c>
      <c r="F145" s="56"/>
      <c r="G145" s="59">
        <f>NPV(E128,G136:G140)</f>
        <v>566.47959573071319</v>
      </c>
      <c r="H145" s="1" t="s">
        <v>269</v>
      </c>
    </row>
    <row r="146" spans="1:10" ht="22" thickBot="1" x14ac:dyDescent="0.3">
      <c r="B146" s="3" t="s">
        <v>186</v>
      </c>
      <c r="C146" s="3"/>
      <c r="D146" s="3"/>
      <c r="E146" s="3"/>
      <c r="F146" s="66"/>
      <c r="G146" s="67">
        <f>G145*(1+E128)^0.5</f>
        <v>606.95321398882015</v>
      </c>
      <c r="I146" s="1" t="s">
        <v>268</v>
      </c>
      <c r="J146" s="1" t="s">
        <v>270</v>
      </c>
    </row>
    <row r="148" spans="1:10" x14ac:dyDescent="0.2">
      <c r="A148" s="1" t="s">
        <v>255</v>
      </c>
    </row>
    <row r="149" spans="1:10" x14ac:dyDescent="0.2">
      <c r="A149" s="1" t="s">
        <v>256</v>
      </c>
    </row>
    <row r="151" spans="1:10" x14ac:dyDescent="0.2">
      <c r="B151" s="1" t="s">
        <v>257</v>
      </c>
      <c r="F151" s="10">
        <f>E140/E136-1</f>
        <v>0.21249999999999991</v>
      </c>
      <c r="H151" s="1" t="s">
        <v>258</v>
      </c>
    </row>
    <row r="152" spans="1:10" x14ac:dyDescent="0.2">
      <c r="F152" s="10"/>
    </row>
    <row r="153" spans="1:10" x14ac:dyDescent="0.2">
      <c r="A153" s="1" t="s">
        <v>259</v>
      </c>
      <c r="F153" s="10"/>
    </row>
    <row r="154" spans="1:10" x14ac:dyDescent="0.2">
      <c r="E154" s="10"/>
    </row>
    <row r="155" spans="1:10" x14ac:dyDescent="0.2">
      <c r="B155" s="1" t="s">
        <v>179</v>
      </c>
      <c r="F155" s="10">
        <f>(1+F151)^0.25-1</f>
        <v>4.9350169046187276E-2</v>
      </c>
      <c r="H155" s="1" t="s">
        <v>260</v>
      </c>
    </row>
    <row r="156" spans="1:10" x14ac:dyDescent="0.2">
      <c r="E156" s="10"/>
    </row>
    <row r="157" spans="1:10" x14ac:dyDescent="0.2">
      <c r="A157" s="1" t="s">
        <v>261</v>
      </c>
      <c r="E157" s="10"/>
    </row>
    <row r="159" spans="1:10" x14ac:dyDescent="0.2">
      <c r="B159" s="1" t="s">
        <v>182</v>
      </c>
      <c r="F159" s="43">
        <f>E140*(1+F155)</f>
        <v>71.250876478236108</v>
      </c>
      <c r="H159" s="1" t="s">
        <v>262</v>
      </c>
    </row>
    <row r="161" spans="1:9" x14ac:dyDescent="0.2">
      <c r="A161" s="1" t="s">
        <v>263</v>
      </c>
    </row>
    <row r="163" spans="1:9" x14ac:dyDescent="0.2">
      <c r="B163" s="1" t="s">
        <v>184</v>
      </c>
      <c r="F163" s="61">
        <f>F159/(E128-F155)</f>
        <v>722.26050252022594</v>
      </c>
      <c r="I163" s="1" t="s">
        <v>264</v>
      </c>
    </row>
    <row r="165" spans="1:9" x14ac:dyDescent="0.2">
      <c r="A165" s="1" t="s">
        <v>265</v>
      </c>
    </row>
    <row r="166" spans="1:9" x14ac:dyDescent="0.2">
      <c r="A166" s="1" t="s">
        <v>266</v>
      </c>
    </row>
    <row r="167" spans="1:9" x14ac:dyDescent="0.2">
      <c r="A167" s="1" t="s">
        <v>267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"/>
  <sheetViews>
    <sheetView rightToLeft="1" zoomScale="309" workbookViewId="0">
      <selection activeCell="F1" sqref="F1:H1"/>
    </sheetView>
  </sheetViews>
  <sheetFormatPr baseColWidth="10" defaultColWidth="10.83203125" defaultRowHeight="16" x14ac:dyDescent="0.2"/>
  <cols>
    <col min="1" max="16384" width="10.83203125" style="1"/>
  </cols>
  <sheetData>
    <row r="1" spans="1:8" x14ac:dyDescent="0.2">
      <c r="A1" s="5" t="s">
        <v>58</v>
      </c>
      <c r="B1" s="5"/>
      <c r="C1" s="5"/>
      <c r="D1" s="5"/>
      <c r="E1" s="5"/>
      <c r="F1" s="5" t="s">
        <v>271</v>
      </c>
      <c r="G1" s="5"/>
      <c r="H1" s="5"/>
    </row>
    <row r="3" spans="1:8" x14ac:dyDescent="0.2">
      <c r="A3" s="1" t="s">
        <v>59</v>
      </c>
    </row>
    <row r="4" spans="1:8" x14ac:dyDescent="0.2">
      <c r="A4" s="1" t="s">
        <v>60</v>
      </c>
    </row>
    <row r="5" spans="1:8" x14ac:dyDescent="0.2">
      <c r="A5" s="1" t="s">
        <v>61</v>
      </c>
    </row>
    <row r="6" spans="1:8" x14ac:dyDescent="0.2">
      <c r="A6" s="1" t="s">
        <v>62</v>
      </c>
    </row>
    <row r="7" spans="1:8" x14ac:dyDescent="0.2">
      <c r="A7" s="1" t="s">
        <v>63</v>
      </c>
    </row>
    <row r="8" spans="1:8" x14ac:dyDescent="0.2">
      <c r="A8" s="1" t="s">
        <v>66</v>
      </c>
    </row>
    <row r="9" spans="1:8" x14ac:dyDescent="0.2">
      <c r="A9" s="1" t="s">
        <v>120</v>
      </c>
    </row>
    <row r="10" spans="1:8" x14ac:dyDescent="0.2">
      <c r="A10" s="1" t="s">
        <v>64</v>
      </c>
    </row>
    <row r="12" spans="1:8" x14ac:dyDescent="0.2">
      <c r="A12" s="3" t="s">
        <v>117</v>
      </c>
    </row>
    <row r="13" spans="1:8" ht="17" thickBot="1" x14ac:dyDescent="0.25"/>
    <row r="14" spans="1:8" s="60" customFormat="1" ht="17" thickBot="1" x14ac:dyDescent="0.25">
      <c r="A14" s="69" t="s">
        <v>114</v>
      </c>
      <c r="B14" s="70" t="s">
        <v>123</v>
      </c>
    </row>
    <row r="15" spans="1:8" s="60" customFormat="1" x14ac:dyDescent="0.2">
      <c r="A15" s="68"/>
      <c r="B15" s="68"/>
    </row>
    <row r="16" spans="1:8" s="60" customFormat="1" x14ac:dyDescent="0.2">
      <c r="A16" s="68" t="s">
        <v>116</v>
      </c>
      <c r="B16" s="68"/>
    </row>
    <row r="17" spans="1:2" s="60" customFormat="1" x14ac:dyDescent="0.2">
      <c r="A17" s="60" t="s">
        <v>105</v>
      </c>
      <c r="B17" s="60" t="s">
        <v>272</v>
      </c>
    </row>
    <row r="18" spans="1:2" s="60" customFormat="1" x14ac:dyDescent="0.2">
      <c r="A18" s="60" t="s">
        <v>108</v>
      </c>
      <c r="B18" s="60" t="s">
        <v>273</v>
      </c>
    </row>
    <row r="19" spans="1:2" s="60" customFormat="1" x14ac:dyDescent="0.2">
      <c r="B19" s="60" t="s">
        <v>274</v>
      </c>
    </row>
    <row r="20" spans="1:2" s="60" customFormat="1" x14ac:dyDescent="0.2">
      <c r="A20" s="60" t="s">
        <v>110</v>
      </c>
      <c r="B20" s="60" t="s">
        <v>118</v>
      </c>
    </row>
    <row r="21" spans="1:2" s="60" customFormat="1" x14ac:dyDescent="0.2">
      <c r="B21" s="60" t="s">
        <v>119</v>
      </c>
    </row>
    <row r="22" spans="1:2" s="60" customFormat="1" x14ac:dyDescent="0.2">
      <c r="B22" s="60" t="s">
        <v>275</v>
      </c>
    </row>
    <row r="23" spans="1:2" s="60" customFormat="1" x14ac:dyDescent="0.2">
      <c r="B23" s="60" t="s">
        <v>276</v>
      </c>
    </row>
    <row r="24" spans="1:2" s="60" customFormat="1" x14ac:dyDescent="0.2">
      <c r="B24" s="60" t="s">
        <v>277</v>
      </c>
    </row>
    <row r="25" spans="1:2" s="60" customFormat="1" x14ac:dyDescent="0.2">
      <c r="A25" s="60" t="s">
        <v>112</v>
      </c>
      <c r="B25" s="60" t="s">
        <v>121</v>
      </c>
    </row>
    <row r="26" spans="1:2" s="60" customFormat="1" x14ac:dyDescent="0.2">
      <c r="B26" s="60" t="s">
        <v>122</v>
      </c>
    </row>
    <row r="27" spans="1:2" s="60" customFormat="1" x14ac:dyDescent="0.2"/>
    <row r="28" spans="1:2" s="60" customFormat="1" x14ac:dyDescent="0.2"/>
    <row r="29" spans="1:2" s="60" customFormat="1" x14ac:dyDescent="0.2"/>
    <row r="30" spans="1:2" s="60" customFormat="1" x14ac:dyDescent="0.2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0"/>
  <sheetViews>
    <sheetView rightToLeft="1" tabSelected="1" zoomScale="323" zoomScaleNormal="150" workbookViewId="0">
      <selection activeCell="F6" sqref="F6"/>
    </sheetView>
  </sheetViews>
  <sheetFormatPr baseColWidth="10" defaultColWidth="10.83203125" defaultRowHeight="16" x14ac:dyDescent="0.2"/>
  <cols>
    <col min="1" max="16384" width="10.83203125" style="1"/>
  </cols>
  <sheetData>
    <row r="1" spans="1:8" x14ac:dyDescent="0.2">
      <c r="A1" s="5" t="s">
        <v>65</v>
      </c>
      <c r="B1" s="5"/>
      <c r="C1" s="5"/>
      <c r="D1" s="5"/>
      <c r="E1" s="5"/>
      <c r="F1" s="5" t="s">
        <v>271</v>
      </c>
      <c r="G1" s="5"/>
      <c r="H1" s="5"/>
    </row>
    <row r="3" spans="1:8" x14ac:dyDescent="0.2">
      <c r="A3" s="1" t="s">
        <v>59</v>
      </c>
    </row>
    <row r="4" spans="1:8" x14ac:dyDescent="0.2">
      <c r="A4" s="1" t="s">
        <v>107</v>
      </c>
    </row>
    <row r="5" spans="1:8" x14ac:dyDescent="0.2">
      <c r="A5" s="1" t="s">
        <v>69</v>
      </c>
    </row>
    <row r="6" spans="1:8" x14ac:dyDescent="0.2">
      <c r="A6" s="1" t="s">
        <v>67</v>
      </c>
    </row>
    <row r="7" spans="1:8" x14ac:dyDescent="0.2">
      <c r="A7" s="1" t="s">
        <v>68</v>
      </c>
    </row>
    <row r="8" spans="1:8" x14ac:dyDescent="0.2">
      <c r="A8" s="1" t="s">
        <v>64</v>
      </c>
    </row>
    <row r="10" spans="1:8" x14ac:dyDescent="0.2">
      <c r="A10" s="3" t="s">
        <v>104</v>
      </c>
    </row>
    <row r="11" spans="1:8" ht="17" thickBot="1" x14ac:dyDescent="0.25">
      <c r="A11" s="3"/>
    </row>
    <row r="12" spans="1:8" ht="17" thickBot="1" x14ac:dyDescent="0.25">
      <c r="A12" s="69" t="s">
        <v>114</v>
      </c>
      <c r="B12" s="70" t="s">
        <v>115</v>
      </c>
      <c r="C12" s="56"/>
      <c r="D12" s="56"/>
      <c r="E12" s="56"/>
      <c r="F12" s="56"/>
      <c r="G12" s="56"/>
      <c r="H12" s="56"/>
    </row>
    <row r="13" spans="1:8" s="60" customFormat="1" x14ac:dyDescent="0.2">
      <c r="A13" s="68"/>
      <c r="B13" s="68"/>
    </row>
    <row r="14" spans="1:8" s="60" customFormat="1" x14ac:dyDescent="0.2">
      <c r="A14" s="68" t="s">
        <v>116</v>
      </c>
      <c r="B14" s="68"/>
    </row>
    <row r="15" spans="1:8" s="60" customFormat="1" x14ac:dyDescent="0.2">
      <c r="A15" s="60" t="s">
        <v>105</v>
      </c>
      <c r="B15" s="60" t="s">
        <v>106</v>
      </c>
    </row>
    <row r="16" spans="1:8" s="60" customFormat="1" x14ac:dyDescent="0.2">
      <c r="B16" s="60" t="s">
        <v>278</v>
      </c>
    </row>
    <row r="17" spans="1:8" s="60" customFormat="1" x14ac:dyDescent="0.2">
      <c r="B17" s="60" t="s">
        <v>279</v>
      </c>
    </row>
    <row r="18" spans="1:8" s="60" customFormat="1" x14ac:dyDescent="0.2">
      <c r="B18" s="60" t="s">
        <v>280</v>
      </c>
    </row>
    <row r="19" spans="1:8" s="60" customFormat="1" x14ac:dyDescent="0.2">
      <c r="B19" s="60" t="s">
        <v>281</v>
      </c>
    </row>
    <row r="20" spans="1:8" s="60" customFormat="1" x14ac:dyDescent="0.2">
      <c r="B20" s="60" t="s">
        <v>282</v>
      </c>
    </row>
    <row r="21" spans="1:8" s="60" customFormat="1" x14ac:dyDescent="0.2">
      <c r="B21" s="60" t="s">
        <v>283</v>
      </c>
    </row>
    <row r="22" spans="1:8" s="60" customFormat="1" x14ac:dyDescent="0.2"/>
    <row r="23" spans="1:8" s="60" customFormat="1" x14ac:dyDescent="0.2"/>
    <row r="24" spans="1:8" s="60" customFormat="1" x14ac:dyDescent="0.2">
      <c r="A24" s="71" t="s">
        <v>108</v>
      </c>
      <c r="B24" s="60" t="s">
        <v>109</v>
      </c>
    </row>
    <row r="25" spans="1:8" s="60" customFormat="1" x14ac:dyDescent="0.2">
      <c r="B25" s="60" t="s">
        <v>284</v>
      </c>
    </row>
    <row r="26" spans="1:8" s="60" customFormat="1" x14ac:dyDescent="0.2"/>
    <row r="27" spans="1:8" s="60" customFormat="1" x14ac:dyDescent="0.2">
      <c r="F27" s="1" t="s">
        <v>237</v>
      </c>
    </row>
    <row r="28" spans="1:8" s="60" customFormat="1" x14ac:dyDescent="0.2">
      <c r="B28" s="60" t="s">
        <v>285</v>
      </c>
    </row>
    <row r="29" spans="1:8" s="60" customFormat="1" x14ac:dyDescent="0.2"/>
    <row r="30" spans="1:8" s="60" customFormat="1" x14ac:dyDescent="0.2"/>
    <row r="31" spans="1:8" s="60" customFormat="1" x14ac:dyDescent="0.2"/>
    <row r="32" spans="1:8" x14ac:dyDescent="0.2">
      <c r="A32" s="60" t="s">
        <v>110</v>
      </c>
      <c r="B32" s="60" t="s">
        <v>111</v>
      </c>
      <c r="C32" s="60"/>
      <c r="D32" s="60"/>
      <c r="E32" s="60"/>
      <c r="F32" s="60"/>
      <c r="G32" s="60"/>
      <c r="H32" s="60"/>
    </row>
    <row r="33" spans="1:9" x14ac:dyDescent="0.2">
      <c r="A33" s="60"/>
      <c r="B33" s="60"/>
      <c r="C33" s="60"/>
      <c r="D33" s="60"/>
      <c r="E33" s="60"/>
      <c r="F33" s="60"/>
      <c r="G33" s="1" t="s">
        <v>237</v>
      </c>
      <c r="H33" s="60"/>
    </row>
    <row r="34" spans="1:9" x14ac:dyDescent="0.2">
      <c r="A34" s="60"/>
      <c r="B34" s="60" t="s">
        <v>288</v>
      </c>
      <c r="C34" s="56"/>
      <c r="D34" s="56"/>
      <c r="E34" s="56"/>
      <c r="F34" s="56"/>
      <c r="G34" s="56"/>
      <c r="H34" s="56"/>
    </row>
    <row r="35" spans="1:9" x14ac:dyDescent="0.2">
      <c r="A35" s="60"/>
      <c r="B35" s="60" t="s">
        <v>286</v>
      </c>
      <c r="C35" s="56"/>
      <c r="D35" s="56"/>
      <c r="E35" s="56"/>
      <c r="F35" s="56"/>
      <c r="G35" s="56"/>
      <c r="H35" s="56"/>
    </row>
    <row r="36" spans="1:9" x14ac:dyDescent="0.2">
      <c r="A36" s="60"/>
      <c r="B36" s="60" t="s">
        <v>287</v>
      </c>
      <c r="C36" s="56"/>
      <c r="D36" s="56"/>
      <c r="E36" s="56"/>
      <c r="F36" s="56"/>
      <c r="G36" s="56"/>
      <c r="H36" s="56"/>
    </row>
    <row r="37" spans="1:9" x14ac:dyDescent="0.2">
      <c r="A37" s="60"/>
      <c r="B37" s="60"/>
      <c r="C37" s="56"/>
      <c r="D37" s="56"/>
      <c r="E37" s="56"/>
      <c r="F37" s="56"/>
      <c r="G37" s="56"/>
      <c r="H37" s="56"/>
    </row>
    <row r="38" spans="1:9" x14ac:dyDescent="0.2">
      <c r="A38" s="60"/>
      <c r="B38" s="60" t="s">
        <v>289</v>
      </c>
      <c r="C38" s="56"/>
      <c r="D38" s="56"/>
      <c r="E38" s="56"/>
      <c r="F38" s="56"/>
      <c r="G38" s="56"/>
      <c r="H38" s="56"/>
    </row>
    <row r="39" spans="1:9" x14ac:dyDescent="0.2">
      <c r="A39" s="60"/>
      <c r="B39" s="60" t="s">
        <v>290</v>
      </c>
      <c r="C39" s="56"/>
      <c r="D39" s="56"/>
      <c r="E39" s="56"/>
      <c r="F39" s="56"/>
      <c r="G39" s="56"/>
      <c r="H39" s="56"/>
    </row>
    <row r="40" spans="1:9" x14ac:dyDescent="0.2">
      <c r="A40" s="60"/>
      <c r="B40" s="60" t="s">
        <v>291</v>
      </c>
      <c r="C40" s="56"/>
      <c r="D40" s="56"/>
      <c r="E40" s="56"/>
      <c r="F40" s="56"/>
      <c r="G40" s="56"/>
      <c r="H40" s="56"/>
    </row>
    <row r="41" spans="1:9" x14ac:dyDescent="0.2">
      <c r="A41" s="60"/>
      <c r="B41" s="60"/>
      <c r="C41" s="56"/>
      <c r="D41" s="56"/>
      <c r="E41" s="56"/>
      <c r="F41" s="56"/>
      <c r="G41" s="56"/>
      <c r="H41" s="56"/>
    </row>
    <row r="42" spans="1:9" x14ac:dyDescent="0.2">
      <c r="A42" s="60"/>
      <c r="B42" s="60" t="s">
        <v>292</v>
      </c>
      <c r="C42" s="56"/>
      <c r="D42" s="56"/>
      <c r="E42" s="56"/>
      <c r="F42" s="56"/>
      <c r="G42" s="56"/>
      <c r="H42" s="56"/>
    </row>
    <row r="43" spans="1:9" x14ac:dyDescent="0.2">
      <c r="A43" s="60"/>
      <c r="B43" s="60" t="s">
        <v>293</v>
      </c>
      <c r="C43" s="56"/>
      <c r="D43" s="56"/>
      <c r="E43" s="56"/>
      <c r="F43" s="56"/>
      <c r="G43" s="56"/>
      <c r="H43" s="56"/>
    </row>
    <row r="44" spans="1:9" x14ac:dyDescent="0.2">
      <c r="A44" s="60"/>
      <c r="B44" s="60" t="s">
        <v>294</v>
      </c>
      <c r="C44" s="56"/>
      <c r="D44" s="56"/>
      <c r="E44" s="56"/>
      <c r="F44" s="56"/>
      <c r="G44" s="56"/>
      <c r="H44" s="56"/>
    </row>
    <row r="45" spans="1:9" x14ac:dyDescent="0.2">
      <c r="A45" s="60"/>
      <c r="B45" s="56"/>
      <c r="C45" s="56"/>
      <c r="D45" s="56"/>
      <c r="E45" s="56"/>
      <c r="F45" s="56"/>
      <c r="G45" s="56"/>
      <c r="H45" s="56"/>
    </row>
    <row r="46" spans="1:9" x14ac:dyDescent="0.2">
      <c r="A46" s="60"/>
      <c r="B46" s="60" t="s">
        <v>295</v>
      </c>
      <c r="C46" s="56"/>
      <c r="D46" s="56"/>
      <c r="E46" s="56"/>
      <c r="F46" s="56"/>
      <c r="G46" s="56"/>
      <c r="H46" s="56"/>
    </row>
    <row r="47" spans="1:9" x14ac:dyDescent="0.2">
      <c r="A47" s="60"/>
      <c r="B47" s="60" t="s">
        <v>296</v>
      </c>
      <c r="C47" s="60"/>
      <c r="D47" s="60"/>
      <c r="E47" s="60"/>
      <c r="F47" s="60"/>
      <c r="G47" s="60"/>
      <c r="H47" s="60"/>
      <c r="I47" s="60"/>
    </row>
    <row r="48" spans="1:9" x14ac:dyDescent="0.2">
      <c r="A48" s="60"/>
      <c r="B48" s="60" t="s">
        <v>297</v>
      </c>
      <c r="C48" s="60"/>
      <c r="D48" s="60"/>
      <c r="E48" s="60"/>
      <c r="F48" s="60"/>
      <c r="G48" s="60"/>
      <c r="H48" s="60"/>
      <c r="I48" s="60"/>
    </row>
    <row r="49" spans="1:2" s="60" customFormat="1" x14ac:dyDescent="0.2"/>
    <row r="50" spans="1:2" s="60" customFormat="1" x14ac:dyDescent="0.2">
      <c r="A50" s="60" t="s">
        <v>112</v>
      </c>
      <c r="B50" s="60" t="s">
        <v>113</v>
      </c>
    </row>
    <row r="51" spans="1:2" s="60" customFormat="1" x14ac:dyDescent="0.2"/>
    <row r="52" spans="1:2" s="60" customFormat="1" x14ac:dyDescent="0.2">
      <c r="B52" s="60" t="s">
        <v>298</v>
      </c>
    </row>
    <row r="53" spans="1:2" s="60" customFormat="1" x14ac:dyDescent="0.2">
      <c r="B53" s="60" t="s">
        <v>299</v>
      </c>
    </row>
    <row r="54" spans="1:2" s="60" customFormat="1" x14ac:dyDescent="0.2"/>
    <row r="55" spans="1:2" s="60" customFormat="1" x14ac:dyDescent="0.2">
      <c r="B55" s="60" t="s">
        <v>300</v>
      </c>
    </row>
    <row r="56" spans="1:2" x14ac:dyDescent="0.2">
      <c r="B56" s="1" t="s">
        <v>301</v>
      </c>
    </row>
    <row r="57" spans="1:2" x14ac:dyDescent="0.2">
      <c r="B57" s="1" t="s">
        <v>302</v>
      </c>
    </row>
    <row r="59" spans="1:2" x14ac:dyDescent="0.2">
      <c r="B59" s="3" t="s">
        <v>303</v>
      </c>
    </row>
    <row r="60" spans="1:2" x14ac:dyDescent="0.2">
      <c r="B60" s="3" t="s">
        <v>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הנחיות</vt:lpstr>
      <vt:lpstr>שאלה 1</vt:lpstr>
      <vt:lpstr>שאלה 2</vt:lpstr>
      <vt:lpstr>שאלה 3</vt:lpstr>
      <vt:lpstr>שאלה 4</vt:lpstr>
      <vt:lpstr>שאלה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2024-02-03T20:54:18Z</dcterms:created>
  <dcterms:modified xsi:type="dcterms:W3CDTF">2025-01-27T07:48:07Z</dcterms:modified>
</cp:coreProperties>
</file>