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vcac-my.sharepoint.com/personal/shayt_yvc_ac_il/Documents/Ariel - ACC - IFRS 2/"/>
    </mc:Choice>
  </mc:AlternateContent>
  <xr:revisionPtr revIDLastSave="167" documentId="8_{B5DED115-AB22-B44A-B6AD-95860D50728E}" xr6:coauthVersionLast="47" xr6:coauthVersionMax="47" xr10:uidLastSave="{10915F43-A140-BE43-8050-91170ACB0AAC}"/>
  <bookViews>
    <workbookView xWindow="280" yWindow="500" windowWidth="12480" windowHeight="21000" activeTab="2" xr2:uid="{C2CD9B5D-3206-1B48-BB2D-A038305C3A86}"/>
  </bookViews>
  <sheets>
    <sheet name="COVER" sheetId="1" r:id="rId1"/>
    <sheet name="Q1" sheetId="2" r:id="rId2"/>
    <sheet name="Q2" sheetId="3" r:id="rId3"/>
    <sheet name="Q3" sheetId="4" r:id="rId4"/>
    <sheet name="Q4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8" i="2" l="1"/>
  <c r="L28" i="2"/>
  <c r="L30" i="2" s="1"/>
  <c r="L11" i="2" s="1"/>
  <c r="L12" i="2" s="1"/>
  <c r="D6" i="3"/>
  <c r="D5" i="3"/>
  <c r="D4" i="3"/>
  <c r="C6" i="3"/>
  <c r="C5" i="3"/>
  <c r="C4" i="3"/>
  <c r="B6" i="3"/>
  <c r="B5" i="3"/>
  <c r="B4" i="3"/>
  <c r="L29" i="2"/>
  <c r="L9" i="2"/>
  <c r="E14" i="2"/>
  <c r="E25" i="2"/>
  <c r="E30" i="2" s="1"/>
  <c r="E24" i="2"/>
  <c r="E20" i="2"/>
  <c r="E19" i="2"/>
  <c r="E21" i="2" s="1"/>
  <c r="E10" i="2" s="1"/>
  <c r="E9" i="2"/>
  <c r="E29" i="2" s="1"/>
  <c r="E31" i="2" s="1"/>
  <c r="E12" i="2" s="1"/>
  <c r="E6" i="2"/>
  <c r="E26" i="2" l="1"/>
  <c r="E11" i="2" s="1"/>
  <c r="E13" i="2"/>
</calcChain>
</file>

<file path=xl/sharedStrings.xml><?xml version="1.0" encoding="utf-8"?>
<sst xmlns="http://schemas.openxmlformats.org/spreadsheetml/2006/main" count="97" uniqueCount="76">
  <si>
    <t>הטבות לעובדים ותשלום מבוסס מניות</t>
  </si>
  <si>
    <t>סמסטר 2023 א, מועד א</t>
  </si>
  <si>
    <t>מרצה: רו״ח שי צבאן, MBA</t>
  </si>
  <si>
    <t>פתרון שאלה 1 - IAS 19</t>
  </si>
  <si>
    <t>תנועה בהתחייבות בגין תכנית הטבה מוגדרת</t>
  </si>
  <si>
    <t>תאריך</t>
  </si>
  <si>
    <t>פרטים</t>
  </si>
  <si>
    <t>ש״ח</t>
  </si>
  <si>
    <t>תנועה בנכסי התכנית</t>
  </si>
  <si>
    <t>יתרת פתיחה</t>
  </si>
  <si>
    <t>עלות שירות שוטף</t>
  </si>
  <si>
    <t>ריבית</t>
  </si>
  <si>
    <t>רווח / הפסד ממדידה מחדש</t>
  </si>
  <si>
    <t>יתרת סגירה</t>
  </si>
  <si>
    <t>פירוטים - 2019:</t>
  </si>
  <si>
    <t>עד השינוי</t>
  </si>
  <si>
    <t>לאחר השינוי</t>
  </si>
  <si>
    <t>סך הכל עלות שירות שוטף</t>
  </si>
  <si>
    <t>עלות שירות עבר</t>
  </si>
  <si>
    <t>יתרת התחייבות לפני שינוי</t>
  </si>
  <si>
    <t>יתרת ההתחייבות לאחר שינוי</t>
  </si>
  <si>
    <t>סך הכל זקיפה לשירות עבר</t>
  </si>
  <si>
    <t>סך הכל ריבית</t>
  </si>
  <si>
    <t>רווח / הפסד ממדידה מחדש PN</t>
  </si>
  <si>
    <t>הפקדה</t>
  </si>
  <si>
    <t>יתרת סגירה - נתון</t>
  </si>
  <si>
    <r>
      <t xml:space="preserve">התקבלה גם פרשנות לפיה שווי נכסי התכנית </t>
    </r>
    <r>
      <rPr>
        <b/>
        <sz val="12"/>
        <color theme="1"/>
        <rFont val="David"/>
      </rPr>
      <t>לפני</t>
    </r>
    <r>
      <rPr>
        <sz val="12"/>
        <color theme="1"/>
        <rFont val="David"/>
      </rPr>
      <t xml:space="preserve"> הפקדת 2019 היתה 12,000 ש״ח, וכל ההפרש נובע מתשואות. </t>
    </r>
  </si>
  <si>
    <t>לאור העובדה שמנתוני הריבית נשמטו המילים ״עד וכולל״ לצד כל תאריך רלוונטי, התקבלו מספר פרשנויות</t>
  </si>
  <si>
    <t>רלוונטיות לשיעור התשואה עד וכולל מועד ההפקדה. פתרון זה נערך בהנחה שכל שיעור תשואה נתון תקף</t>
  </si>
  <si>
    <t>החל מתום תוקף שיעור התשואה הקודם ועד למועד הנתון של שיעור התשואה העדכני, אך הנחות מבוססות</t>
  </si>
  <si>
    <t>הכנסות ריבית עד השינוי:</t>
  </si>
  <si>
    <t>הכנסות ריבית אחרי השינוי</t>
  </si>
  <si>
    <t>סך הכנסות הריבית</t>
  </si>
  <si>
    <t>הצעת פתרון בחינת הגמר</t>
  </si>
  <si>
    <t>הערה: ייתכנו פרשנויות נוספות שיזכו בניקוד מלא / חלקי לפי שיקול דעת המרצה והבודק,</t>
  </si>
  <si>
    <t>והמידה שבה הנחות הפתרון האלטרנטיביות צויינו באופן ברור בפתרון הנבחנ/ת.</t>
  </si>
  <si>
    <t>פתרון שאלה 2 - IFRS 2</t>
  </si>
  <si>
    <t>שנה</t>
  </si>
  <si>
    <t>דרג א</t>
  </si>
  <si>
    <t>דרג ב</t>
  </si>
  <si>
    <t>דרג ג</t>
  </si>
  <si>
    <t>פתרון שאלה 3 - IFRS 2</t>
  </si>
  <si>
    <t>א. לניקוד מלא יש להתייחס להיבטים הבאים ולנסח אותם כתשובה מלאה:</t>
  </si>
  <si>
    <t>נגד רישום</t>
  </si>
  <si>
    <t>בעד רישום</t>
  </si>
  <si>
    <r>
      <t xml:space="preserve">אין יציאה בפועל של משאבים כלכליים בתכניות </t>
    </r>
    <r>
      <rPr>
        <b/>
        <sz val="12"/>
        <color theme="1"/>
        <rFont val="David"/>
      </rPr>
      <t>הוניות</t>
    </r>
  </si>
  <si>
    <r>
      <t xml:space="preserve">העלות היא של </t>
    </r>
    <r>
      <rPr>
        <b/>
        <sz val="12"/>
        <color theme="1"/>
        <rFont val="David"/>
      </rPr>
      <t>בעלי המניות</t>
    </r>
    <r>
      <rPr>
        <sz val="12"/>
        <color theme="1"/>
        <rFont val="David"/>
      </rPr>
      <t xml:space="preserve"> ולא של </t>
    </r>
    <r>
      <rPr>
        <b/>
        <sz val="12"/>
        <color theme="1"/>
        <rFont val="David"/>
      </rPr>
      <t>הישות המדווחת</t>
    </r>
  </si>
  <si>
    <r>
      <t xml:space="preserve">שווי הנכסים נטו עשוי </t>
    </r>
    <r>
      <rPr>
        <b/>
        <sz val="12"/>
        <color theme="1"/>
        <rFont val="David"/>
      </rPr>
      <t>לגדול</t>
    </r>
    <r>
      <rPr>
        <sz val="12"/>
        <color theme="1"/>
        <rFont val="David"/>
      </rPr>
      <t xml:space="preserve"> לאור העסקה</t>
    </r>
  </si>
  <si>
    <r>
      <t>קיים קושי ב</t>
    </r>
    <r>
      <rPr>
        <b/>
        <sz val="12"/>
        <color theme="1"/>
        <rFont val="David"/>
      </rPr>
      <t>אמידה מהימנה</t>
    </r>
    <r>
      <rPr>
        <sz val="12"/>
        <color theme="1"/>
        <rFont val="David"/>
      </rPr>
      <t xml:space="preserve"> של שווי המכשיר המוענק</t>
    </r>
  </si>
  <si>
    <t>הקבלה לעסקת מימון הוצאה במניות (מהות קדמה לצורה)</t>
  </si>
  <si>
    <t>צורך במתן ביטוי להשפעה תוצאתית (פעילות)</t>
  </si>
  <si>
    <t>קיזוז כנגד ההון מבוצע בכל מקרה</t>
  </si>
  <si>
    <t>המטרה איננה לשקף שווי (הון נמדד בעלות)</t>
  </si>
  <si>
    <t>ב. לניקוד מלא יש להתייחס להיבטים הבאים ולנסחם כתשובה מלאה:</t>
  </si>
  <si>
    <t>הקטנת ההיקף של בעיית הסוכן.</t>
  </si>
  <si>
    <t>תגמול שאיננו מלווה ביציאת מזומן ובהרעת נזילות.</t>
  </si>
  <si>
    <t>פוטנציאל לכניסה תזרימית נוספת במידה והמכשירים ממומשים / ממומשים בחלקם (כתלות בסוג ההסדר).</t>
  </si>
  <si>
    <t>קשירת העובד למגוון רחב של תנאים בעלי הקשר למטרת הפירמה ומיקסום ערכה הישיר.</t>
  </si>
  <si>
    <t>קשירת העובד לחברה לאורך זמן כתלות בואפן הבניית תנאי ההבשלה.</t>
  </si>
  <si>
    <t>פתרון שאלה 4 - IAS 19</t>
  </si>
  <si>
    <t>פריסה לפי נוסחת ההטבה</t>
  </si>
  <si>
    <t xml:space="preserve">משקף את ההיגיון ואת אופן ההתחשבנות הטכני. </t>
  </si>
  <si>
    <t>רלוונטי במצבים שבהם שווי ההטבה בגין כל שנה בהיר.</t>
  </si>
  <si>
    <t>רלוונטי במצבים שבהם ההטבה בשנים המאוחרות איננה גבוהה משמעותית.</t>
  </si>
  <si>
    <t>לניקוד מלא יש להתייחס להיבטים הבאים:</t>
  </si>
  <si>
    <t>פריסה בקו ישר</t>
  </si>
  <si>
    <t>תורם לקורא הדוח את המידע בדבר שווי הפעילות שבוצעה בהיעדר מידע סותר.</t>
  </si>
  <si>
    <t>נשען על ההבנה שעובד רואה לנגד עיניו את מלוא ההטבות הצפויות מעבודתו.</t>
  </si>
  <si>
    <t>בהתאם, חלק מעבודת העובד היא עבור התגמול שיתקבל בשנות העבודה האחרונות.</t>
  </si>
  <si>
    <t>זאת, גם בשנים הראשונות.</t>
  </si>
  <si>
    <t>בהתאם, פריסה לפי קו ישר משקפת בצורה ראויה יותר את המאמצים והפעילות.</t>
  </si>
  <si>
    <t>תורם לקורא הדוח את המידע בהתחשב במשמעות הכלכלית של מוטיבציית הפעילות</t>
  </si>
  <si>
    <t>של העובד.</t>
  </si>
  <si>
    <t xml:space="preserve">אחרות זכו להתחשבות (במיוחד נכונים הדברים לרכיב ״הכנסות ריבית עד השינוי״ שעשוי להיות מעט שונה). </t>
  </si>
  <si>
    <t>שינויים נלווים לאופן התחשיב התקבלו גם הם כמובן וזיכו בניקוד מלא / חלקי כתלות בביצוע.</t>
  </si>
  <si>
    <t>פרשנות 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</si>
</sst>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David"/>
    </font>
    <font>
      <b/>
      <sz val="12"/>
      <color theme="1"/>
      <name val="David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dashed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3" fontId="1" fillId="2" borderId="0" xfId="0" applyNumberFormat="1" applyFont="1" applyFill="1"/>
    <xf numFmtId="3" fontId="1" fillId="0" borderId="0" xfId="0" applyNumberFormat="1" applyFont="1"/>
    <xf numFmtId="3" fontId="1" fillId="0" borderId="1" xfId="0" applyNumberFormat="1" applyFont="1" applyBorder="1"/>
    <xf numFmtId="0" fontId="1" fillId="0" borderId="2" xfId="0" applyFont="1" applyBorder="1"/>
    <xf numFmtId="3" fontId="1" fillId="0" borderId="2" xfId="0" applyNumberFormat="1" applyFont="1" applyBorder="1"/>
    <xf numFmtId="0" fontId="2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E29DC-F009-864A-AA6A-5ED8A42184BD}">
  <dimension ref="A1:A7"/>
  <sheetViews>
    <sheetView rightToLeft="1" zoomScale="200" workbookViewId="0">
      <selection activeCell="A8" sqref="A8"/>
    </sheetView>
  </sheetViews>
  <sheetFormatPr baseColWidth="10" defaultRowHeight="16" x14ac:dyDescent="0.2"/>
  <cols>
    <col min="1" max="16384" width="10.83203125" style="1"/>
  </cols>
  <sheetData>
    <row r="1" spans="1:1" x14ac:dyDescent="0.2">
      <c r="A1" s="1" t="s">
        <v>33</v>
      </c>
    </row>
    <row r="2" spans="1:1" x14ac:dyDescent="0.2">
      <c r="A2" s="1" t="s">
        <v>0</v>
      </c>
    </row>
    <row r="3" spans="1:1" x14ac:dyDescent="0.2">
      <c r="A3" s="1" t="s">
        <v>1</v>
      </c>
    </row>
    <row r="4" spans="1:1" x14ac:dyDescent="0.2">
      <c r="A4" s="1" t="s">
        <v>2</v>
      </c>
    </row>
    <row r="6" spans="1:1" x14ac:dyDescent="0.2">
      <c r="A6" s="1" t="s">
        <v>34</v>
      </c>
    </row>
    <row r="7" spans="1:1" x14ac:dyDescent="0.2">
      <c r="A7" s="1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562ED-E168-2147-9E02-A10F5641A049}">
  <dimension ref="A1:M34"/>
  <sheetViews>
    <sheetView rightToLeft="1" topLeftCell="G59" workbookViewId="0">
      <selection activeCell="M28" sqref="M28"/>
    </sheetView>
  </sheetViews>
  <sheetFormatPr baseColWidth="10" defaultRowHeight="16" x14ac:dyDescent="0.2"/>
  <cols>
    <col min="1" max="4" width="10.83203125" style="1"/>
    <col min="5" max="5" width="10.83203125" style="5"/>
    <col min="6" max="16384" width="10.83203125" style="1"/>
  </cols>
  <sheetData>
    <row r="1" spans="1:12" x14ac:dyDescent="0.2">
      <c r="A1" s="10" t="s">
        <v>3</v>
      </c>
      <c r="B1" s="2"/>
      <c r="C1" s="2"/>
      <c r="D1" s="2"/>
      <c r="E1" s="4"/>
      <c r="F1" s="2"/>
      <c r="G1" s="2"/>
      <c r="H1" s="2"/>
    </row>
    <row r="3" spans="1:12" x14ac:dyDescent="0.2">
      <c r="A3" s="9" t="s">
        <v>4</v>
      </c>
      <c r="H3" s="9" t="s">
        <v>8</v>
      </c>
    </row>
    <row r="4" spans="1:12" x14ac:dyDescent="0.2">
      <c r="A4" s="7" t="s">
        <v>5</v>
      </c>
      <c r="B4" s="7" t="s">
        <v>6</v>
      </c>
      <c r="C4" s="7"/>
      <c r="D4" s="7"/>
      <c r="E4" s="8" t="s">
        <v>7</v>
      </c>
      <c r="H4" s="7" t="s">
        <v>5</v>
      </c>
      <c r="I4" s="7" t="s">
        <v>6</v>
      </c>
      <c r="J4" s="7"/>
      <c r="K4" s="7"/>
      <c r="L4" s="7" t="s">
        <v>7</v>
      </c>
    </row>
    <row r="5" spans="1:12" x14ac:dyDescent="0.2">
      <c r="A5" s="3">
        <v>43101</v>
      </c>
      <c r="B5" s="1" t="s">
        <v>9</v>
      </c>
      <c r="E5" s="5">
        <v>0</v>
      </c>
      <c r="H5" s="3">
        <v>43101</v>
      </c>
      <c r="I5" s="1" t="s">
        <v>9</v>
      </c>
      <c r="L5" s="5">
        <v>0</v>
      </c>
    </row>
    <row r="6" spans="1:12" x14ac:dyDescent="0.2">
      <c r="A6" s="1">
        <v>2018</v>
      </c>
      <c r="B6" s="1" t="s">
        <v>10</v>
      </c>
      <c r="E6" s="5">
        <f>800000/8*(1+6%)^(-20)</f>
        <v>31180.472688608428</v>
      </c>
      <c r="H6" s="1">
        <v>2018</v>
      </c>
      <c r="I6" s="1" t="s">
        <v>24</v>
      </c>
      <c r="L6" s="5">
        <v>8000</v>
      </c>
    </row>
    <row r="7" spans="1:12" x14ac:dyDescent="0.2">
      <c r="A7" s="1">
        <v>2018</v>
      </c>
      <c r="B7" s="1" t="s">
        <v>11</v>
      </c>
      <c r="E7" s="5">
        <v>0</v>
      </c>
      <c r="H7" s="1">
        <v>2018</v>
      </c>
      <c r="I7" s="1" t="s">
        <v>11</v>
      </c>
      <c r="L7" s="5">
        <v>0</v>
      </c>
    </row>
    <row r="8" spans="1:12" x14ac:dyDescent="0.2">
      <c r="A8" s="1">
        <v>2018</v>
      </c>
      <c r="B8" s="1" t="s">
        <v>12</v>
      </c>
      <c r="E8" s="5">
        <v>0</v>
      </c>
      <c r="H8" s="1">
        <v>2018</v>
      </c>
      <c r="I8" s="1" t="s">
        <v>12</v>
      </c>
      <c r="L8" s="5">
        <v>0</v>
      </c>
    </row>
    <row r="9" spans="1:12" x14ac:dyDescent="0.2">
      <c r="A9" s="3">
        <v>43465</v>
      </c>
      <c r="B9" s="1" t="s">
        <v>13</v>
      </c>
      <c r="E9" s="6">
        <f>800000/8*(1+6%)^(-20)</f>
        <v>31180.472688608428</v>
      </c>
      <c r="H9" s="3">
        <v>43465</v>
      </c>
      <c r="I9" s="1" t="s">
        <v>25</v>
      </c>
      <c r="L9" s="6">
        <f>L6</f>
        <v>8000</v>
      </c>
    </row>
    <row r="10" spans="1:12" x14ac:dyDescent="0.2">
      <c r="A10" s="1">
        <v>2019</v>
      </c>
      <c r="B10" s="1" t="s">
        <v>10</v>
      </c>
      <c r="E10" s="5">
        <f>E21</f>
        <v>35521.021933951386</v>
      </c>
      <c r="H10" s="1">
        <v>2019</v>
      </c>
      <c r="I10" s="1" t="s">
        <v>24</v>
      </c>
      <c r="L10" s="5">
        <v>4000</v>
      </c>
    </row>
    <row r="11" spans="1:12" x14ac:dyDescent="0.2">
      <c r="A11" s="1">
        <v>2019</v>
      </c>
      <c r="B11" s="1" t="s">
        <v>18</v>
      </c>
      <c r="E11" s="5">
        <f>E26</f>
        <v>17990.913325626301</v>
      </c>
      <c r="H11" s="1">
        <v>2019</v>
      </c>
      <c r="I11" s="1" t="s">
        <v>11</v>
      </c>
      <c r="L11" s="5">
        <f>L30</f>
        <v>446.2453893434128</v>
      </c>
    </row>
    <row r="12" spans="1:12" x14ac:dyDescent="0.2">
      <c r="A12" s="1">
        <v>2019</v>
      </c>
      <c r="B12" s="1" t="s">
        <v>11</v>
      </c>
      <c r="E12" s="5">
        <f>E31</f>
        <v>2285.8698949011387</v>
      </c>
      <c r="H12" s="1">
        <v>2019</v>
      </c>
      <c r="I12" s="1" t="s">
        <v>12</v>
      </c>
      <c r="L12" s="5">
        <f>L13-L11-L10-L9</f>
        <v>1553.7546106565878</v>
      </c>
    </row>
    <row r="13" spans="1:12" x14ac:dyDescent="0.2">
      <c r="A13" s="1">
        <v>2018</v>
      </c>
      <c r="B13" s="1" t="s">
        <v>23</v>
      </c>
      <c r="E13" s="5">
        <f>E14-E9-E10-E11-E12</f>
        <v>31682.328169248685</v>
      </c>
      <c r="H13" s="3">
        <v>43830</v>
      </c>
      <c r="I13" s="1" t="s">
        <v>25</v>
      </c>
      <c r="L13" s="6">
        <v>14000</v>
      </c>
    </row>
    <row r="14" spans="1:12" x14ac:dyDescent="0.2">
      <c r="A14" s="3">
        <v>43830</v>
      </c>
      <c r="B14" s="1" t="s">
        <v>13</v>
      </c>
      <c r="E14" s="6">
        <f>1000000/8*2*(1+4%)^-19</f>
        <v>118660.60601233593</v>
      </c>
    </row>
    <row r="16" spans="1:12" x14ac:dyDescent="0.2">
      <c r="A16" s="9" t="s">
        <v>14</v>
      </c>
      <c r="H16" s="9" t="s">
        <v>14</v>
      </c>
    </row>
    <row r="18" spans="1:13" x14ac:dyDescent="0.2">
      <c r="A18" s="7" t="s">
        <v>10</v>
      </c>
      <c r="B18" s="7"/>
      <c r="H18" s="7" t="s">
        <v>24</v>
      </c>
      <c r="I18" s="7"/>
    </row>
    <row r="19" spans="1:13" x14ac:dyDescent="0.2">
      <c r="A19" s="1" t="s">
        <v>15</v>
      </c>
      <c r="E19" s="5">
        <f>800000/8*10/12*(1+6%)^(-19-2/12)</f>
        <v>27276.564496104496</v>
      </c>
      <c r="H19" s="1" t="s">
        <v>26</v>
      </c>
    </row>
    <row r="20" spans="1:13" x14ac:dyDescent="0.2">
      <c r="A20" s="1" t="s">
        <v>16</v>
      </c>
      <c r="E20" s="5">
        <f>1000000/8*2/12*(1+5%)^(-19)</f>
        <v>8244.457437846886</v>
      </c>
      <c r="H20" s="1" t="s">
        <v>74</v>
      </c>
    </row>
    <row r="21" spans="1:13" x14ac:dyDescent="0.2">
      <c r="A21" s="1" t="s">
        <v>17</v>
      </c>
      <c r="E21" s="6">
        <f>E19+E20</f>
        <v>35521.021933951386</v>
      </c>
    </row>
    <row r="22" spans="1:13" x14ac:dyDescent="0.2">
      <c r="H22" s="7" t="s">
        <v>11</v>
      </c>
      <c r="I22" s="7"/>
    </row>
    <row r="23" spans="1:13" x14ac:dyDescent="0.2">
      <c r="A23" s="7" t="s">
        <v>18</v>
      </c>
      <c r="B23" s="7"/>
      <c r="H23" s="1" t="s">
        <v>27</v>
      </c>
    </row>
    <row r="24" spans="1:13" x14ac:dyDescent="0.2">
      <c r="A24" s="1" t="s">
        <v>19</v>
      </c>
      <c r="E24" s="5">
        <f>800000/8*(1+10/12)*(1+5%)^(-19-2/12)</f>
        <v>71963.653302505234</v>
      </c>
      <c r="H24" s="1" t="s">
        <v>28</v>
      </c>
    </row>
    <row r="25" spans="1:13" x14ac:dyDescent="0.2">
      <c r="A25" s="1" t="s">
        <v>20</v>
      </c>
      <c r="E25" s="5">
        <f>1000000/8*(1+10/12)*(1+5%)^(-19-2/12)</f>
        <v>89954.566628131535</v>
      </c>
      <c r="H25" s="1" t="s">
        <v>29</v>
      </c>
    </row>
    <row r="26" spans="1:13" x14ac:dyDescent="0.2">
      <c r="A26" s="1" t="s">
        <v>21</v>
      </c>
      <c r="E26" s="6">
        <f>E25-E24</f>
        <v>17990.913325626301</v>
      </c>
      <c r="H26" s="1" t="s">
        <v>73</v>
      </c>
    </row>
    <row r="27" spans="1:13" x14ac:dyDescent="0.2">
      <c r="M27" s="1" t="s">
        <v>75</v>
      </c>
    </row>
    <row r="28" spans="1:13" x14ac:dyDescent="0.2">
      <c r="A28" s="7" t="s">
        <v>11</v>
      </c>
      <c r="B28" s="7"/>
      <c r="H28" s="1" t="s">
        <v>30</v>
      </c>
      <c r="L28" s="5">
        <f>8000*((1+5%)^(10/12)-1)+4000*((1+5%)^(1/12)-1)</f>
        <v>348.26723672060029</v>
      </c>
      <c r="M28" s="1">
        <f>418+98</f>
        <v>516</v>
      </c>
    </row>
    <row r="29" spans="1:13" x14ac:dyDescent="0.2">
      <c r="A29" s="1" t="s">
        <v>15</v>
      </c>
      <c r="E29" s="5">
        <f>E9*((1+6%)^(10/12)-1)</f>
        <v>1551.4047067169695</v>
      </c>
      <c r="H29" s="1" t="s">
        <v>31</v>
      </c>
      <c r="L29" s="5">
        <f>12000*((1+5%)^(2/12)-1)</f>
        <v>97.978152622812502</v>
      </c>
    </row>
    <row r="30" spans="1:13" x14ac:dyDescent="0.2">
      <c r="A30" s="1" t="s">
        <v>16</v>
      </c>
      <c r="E30" s="5">
        <f>E25*((1+5%)^(2/12)-1)</f>
        <v>734.46518818416905</v>
      </c>
      <c r="H30" s="1" t="s">
        <v>32</v>
      </c>
      <c r="L30" s="6">
        <f>L28+L29</f>
        <v>446.2453893434128</v>
      </c>
    </row>
    <row r="31" spans="1:13" x14ac:dyDescent="0.2">
      <c r="A31" s="1" t="s">
        <v>22</v>
      </c>
      <c r="E31" s="6">
        <f>E29+E30</f>
        <v>2285.8698949011387</v>
      </c>
    </row>
    <row r="34" spans="1:1" x14ac:dyDescent="0.2">
      <c r="A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22DD-29A3-4E44-A983-DD3DAF60BDDC}">
  <dimension ref="A1:H6"/>
  <sheetViews>
    <sheetView rightToLeft="1" tabSelected="1" workbookViewId="0">
      <selection activeCell="C4" sqref="C4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0" t="s">
        <v>36</v>
      </c>
      <c r="B1" s="2"/>
      <c r="C1" s="2"/>
      <c r="D1" s="2"/>
      <c r="E1" s="4"/>
      <c r="F1" s="2"/>
      <c r="G1" s="2"/>
      <c r="H1" s="2"/>
    </row>
    <row r="3" spans="1:8" x14ac:dyDescent="0.2">
      <c r="A3" s="7" t="s">
        <v>37</v>
      </c>
      <c r="B3" s="7" t="s">
        <v>38</v>
      </c>
      <c r="C3" s="7" t="s">
        <v>39</v>
      </c>
      <c r="D3" s="7" t="s">
        <v>40</v>
      </c>
    </row>
    <row r="4" spans="1:8" x14ac:dyDescent="0.2">
      <c r="A4" s="1">
        <v>2022</v>
      </c>
      <c r="B4" s="5">
        <f>280*200*20/2</f>
        <v>560000</v>
      </c>
      <c r="C4" s="5">
        <f>450*300*50/3</f>
        <v>2250000</v>
      </c>
      <c r="D4" s="5">
        <f>800*600*18/3</f>
        <v>2880000</v>
      </c>
    </row>
    <row r="5" spans="1:8" x14ac:dyDescent="0.2">
      <c r="A5" s="1">
        <v>2023</v>
      </c>
      <c r="B5" s="5">
        <f>260*200*20*2/3-B4</f>
        <v>133333.33333333337</v>
      </c>
      <c r="C5" s="5">
        <f>435*300*44*2/3-C4</f>
        <v>1578000</v>
      </c>
      <c r="D5" s="5">
        <f>D4</f>
        <v>2880000</v>
      </c>
    </row>
    <row r="6" spans="1:8" x14ac:dyDescent="0.2">
      <c r="A6" s="1">
        <v>2024</v>
      </c>
      <c r="B6" s="5">
        <f>250*200*20-B5-B4</f>
        <v>306666.66666666663</v>
      </c>
      <c r="C6" s="5">
        <f>430*300*52-C5-C4</f>
        <v>2880000</v>
      </c>
      <c r="D6" s="5">
        <f>D5</f>
        <v>2880000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B80F4-3AE3-AD40-8DC6-1FDB0CBAFA8C}">
  <dimension ref="A1:H17"/>
  <sheetViews>
    <sheetView rightToLeft="1" workbookViewId="0">
      <selection sqref="A1:XFD1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0" t="s">
        <v>41</v>
      </c>
      <c r="B1" s="2"/>
      <c r="C1" s="2"/>
      <c r="D1" s="2"/>
      <c r="E1" s="4"/>
      <c r="F1" s="2"/>
      <c r="G1" s="2"/>
      <c r="H1" s="2"/>
    </row>
    <row r="3" spans="1:8" x14ac:dyDescent="0.2">
      <c r="A3" s="1" t="s">
        <v>42</v>
      </c>
    </row>
    <row r="5" spans="1:8" x14ac:dyDescent="0.2">
      <c r="A5" s="7" t="s">
        <v>43</v>
      </c>
      <c r="B5" s="7"/>
      <c r="C5" s="7"/>
      <c r="D5" s="7"/>
      <c r="E5" s="7" t="s">
        <v>44</v>
      </c>
      <c r="F5" s="7"/>
      <c r="G5" s="7"/>
      <c r="H5" s="7"/>
    </row>
    <row r="6" spans="1:8" x14ac:dyDescent="0.2">
      <c r="A6" s="1" t="s">
        <v>45</v>
      </c>
      <c r="E6" s="1" t="s">
        <v>49</v>
      </c>
    </row>
    <row r="7" spans="1:8" x14ac:dyDescent="0.2">
      <c r="A7" s="1" t="s">
        <v>46</v>
      </c>
      <c r="E7" s="1" t="s">
        <v>50</v>
      </c>
    </row>
    <row r="8" spans="1:8" x14ac:dyDescent="0.2">
      <c r="A8" s="1" t="s">
        <v>47</v>
      </c>
      <c r="E8" s="1" t="s">
        <v>51</v>
      </c>
    </row>
    <row r="9" spans="1:8" x14ac:dyDescent="0.2">
      <c r="A9" s="1" t="s">
        <v>48</v>
      </c>
      <c r="E9" s="1" t="s">
        <v>52</v>
      </c>
    </row>
    <row r="11" spans="1:8" x14ac:dyDescent="0.2">
      <c r="A11" s="1" t="s">
        <v>53</v>
      </c>
    </row>
    <row r="13" spans="1:8" x14ac:dyDescent="0.2">
      <c r="A13" s="1" t="s">
        <v>54</v>
      </c>
    </row>
    <row r="14" spans="1:8" x14ac:dyDescent="0.2">
      <c r="A14" s="1" t="s">
        <v>55</v>
      </c>
    </row>
    <row r="15" spans="1:8" x14ac:dyDescent="0.2">
      <c r="A15" s="1" t="s">
        <v>56</v>
      </c>
    </row>
    <row r="16" spans="1:8" x14ac:dyDescent="0.2">
      <c r="A16" s="1" t="s">
        <v>57</v>
      </c>
    </row>
    <row r="17" spans="1:1" x14ac:dyDescent="0.2">
      <c r="A17" s="1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86E37-25E8-334C-A413-12FC232158D7}">
  <dimension ref="A1:H17"/>
  <sheetViews>
    <sheetView rightToLeft="1" workbookViewId="0">
      <selection activeCell="G33" sqref="G33"/>
    </sheetView>
  </sheetViews>
  <sheetFormatPr baseColWidth="10" defaultRowHeight="16" x14ac:dyDescent="0.2"/>
  <cols>
    <col min="1" max="16384" width="10.83203125" style="1"/>
  </cols>
  <sheetData>
    <row r="1" spans="1:8" x14ac:dyDescent="0.2">
      <c r="A1" s="10" t="s">
        <v>59</v>
      </c>
      <c r="B1" s="2"/>
      <c r="C1" s="2"/>
      <c r="D1" s="2"/>
      <c r="E1" s="4"/>
      <c r="F1" s="2"/>
      <c r="G1" s="2"/>
      <c r="H1" s="2"/>
    </row>
    <row r="3" spans="1:8" x14ac:dyDescent="0.2">
      <c r="A3" s="1" t="s">
        <v>64</v>
      </c>
    </row>
    <row r="5" spans="1:8" x14ac:dyDescent="0.2">
      <c r="A5" s="7" t="s">
        <v>60</v>
      </c>
      <c r="B5" s="7"/>
      <c r="C5" s="7"/>
      <c r="D5" s="7"/>
      <c r="E5" s="7"/>
      <c r="F5" s="7"/>
    </row>
    <row r="6" spans="1:8" x14ac:dyDescent="0.2">
      <c r="A6" s="1" t="s">
        <v>61</v>
      </c>
    </row>
    <row r="7" spans="1:8" x14ac:dyDescent="0.2">
      <c r="A7" s="1" t="s">
        <v>62</v>
      </c>
    </row>
    <row r="8" spans="1:8" x14ac:dyDescent="0.2">
      <c r="A8" s="1" t="s">
        <v>63</v>
      </c>
    </row>
    <row r="9" spans="1:8" x14ac:dyDescent="0.2">
      <c r="A9" s="1" t="s">
        <v>66</v>
      </c>
    </row>
    <row r="11" spans="1:8" x14ac:dyDescent="0.2">
      <c r="A11" s="7" t="s">
        <v>65</v>
      </c>
      <c r="B11" s="7"/>
      <c r="C11" s="7"/>
      <c r="D11" s="7"/>
      <c r="E11" s="7"/>
      <c r="F11" s="7"/>
    </row>
    <row r="12" spans="1:8" x14ac:dyDescent="0.2">
      <c r="A12" s="1" t="s">
        <v>67</v>
      </c>
    </row>
    <row r="13" spans="1:8" x14ac:dyDescent="0.2">
      <c r="A13" s="1" t="s">
        <v>68</v>
      </c>
    </row>
    <row r="14" spans="1:8" x14ac:dyDescent="0.2">
      <c r="A14" s="1" t="s">
        <v>69</v>
      </c>
    </row>
    <row r="15" spans="1:8" x14ac:dyDescent="0.2">
      <c r="A15" s="1" t="s">
        <v>70</v>
      </c>
    </row>
    <row r="16" spans="1:8" x14ac:dyDescent="0.2">
      <c r="A16" s="1" t="s">
        <v>71</v>
      </c>
    </row>
    <row r="17" spans="1:1" x14ac:dyDescent="0.2">
      <c r="A17" s="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Q1</vt:lpstr>
      <vt:lpstr>Q2</vt:lpstr>
      <vt:lpstr>Q3</vt:lpstr>
      <vt:lpstr>Q4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Shay Tsaban</cp:lastModifiedBy>
  <dcterms:created xsi:type="dcterms:W3CDTF">2023-02-10T08:07:24Z</dcterms:created>
  <dcterms:modified xsi:type="dcterms:W3CDTF">2023-02-13T14:01:15Z</dcterms:modified>
</cp:coreProperties>
</file>