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Ariel - ACC - IFRS 2/2024 A/"/>
    </mc:Choice>
  </mc:AlternateContent>
  <xr:revisionPtr revIDLastSave="0" documentId="13_ncr:1_{3933E32A-CD85-5C4D-BD64-3907FEDA7EF8}" xr6:coauthVersionLast="47" xr6:coauthVersionMax="47" xr10:uidLastSave="{00000000-0000-0000-0000-000000000000}"/>
  <bookViews>
    <workbookView xWindow="140" yWindow="660" windowWidth="24460" windowHeight="29280" xr2:uid="{408AE9AB-CA11-7F43-A35A-2FE2D6DF0160}"/>
  </bookViews>
  <sheets>
    <sheet name="שאלה 1" sheetId="1" r:id="rId1"/>
    <sheet name="שאלה 2" sheetId="2" r:id="rId2"/>
    <sheet name="שאלה 3" sheetId="3" r:id="rId3"/>
    <sheet name="שאלה 4" sheetId="4" r:id="rId4"/>
    <sheet name="שאלה 5" sheetId="5" r:id="rId5"/>
    <sheet name="שאלה 6" sheetId="6" r:id="rId6"/>
    <sheet name="שאלה 7" sheetId="7" r:id="rId7"/>
    <sheet name="שאלה 8" sheetId="8" r:id="rId8"/>
  </sheets>
  <definedNames>
    <definedName name="_xlnm.Print_Area" localSheetId="2">'שאלה 3'!$A$1:$J$34</definedName>
    <definedName name="_xlnm.Print_Area" localSheetId="3">'שאלה 4'!$A$1:$C$14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6" l="1"/>
  <c r="C42" i="6"/>
  <c r="C40" i="6"/>
  <c r="C37" i="6"/>
  <c r="C36" i="6"/>
  <c r="C35" i="6"/>
  <c r="C32" i="6"/>
  <c r="C31" i="6"/>
  <c r="C30" i="6"/>
  <c r="E15" i="3"/>
  <c r="E9" i="3"/>
  <c r="E10" i="3"/>
  <c r="F8" i="1"/>
  <c r="E11" i="3"/>
  <c r="D4" i="5"/>
  <c r="D8" i="5"/>
  <c r="E9" i="5"/>
  <c r="F17" i="1"/>
  <c r="C12" i="2"/>
  <c r="E42" i="8"/>
  <c r="D41" i="8"/>
  <c r="D7" i="8"/>
  <c r="E8" i="8" s="1"/>
  <c r="D4" i="8"/>
  <c r="D10" i="8" s="1"/>
  <c r="D16" i="8" s="1"/>
  <c r="E6" i="6"/>
  <c r="D6" i="6"/>
  <c r="C6" i="6"/>
  <c r="C5" i="6"/>
  <c r="C4" i="6"/>
  <c r="D4" i="6" s="1"/>
  <c r="E4" i="6" s="1"/>
  <c r="E5" i="5"/>
  <c r="E12" i="3"/>
  <c r="E13" i="3"/>
  <c r="E7" i="3"/>
  <c r="E23" i="3"/>
  <c r="E25" i="3" s="1"/>
  <c r="C4" i="2"/>
  <c r="C3" i="2"/>
  <c r="J25" i="3"/>
  <c r="H16" i="8"/>
  <c r="J10" i="3"/>
  <c r="J7" i="3"/>
  <c r="H19" i="8"/>
  <c r="H31" i="8"/>
  <c r="H25" i="8"/>
  <c r="E12" i="2"/>
  <c r="J12" i="3"/>
  <c r="H7" i="8"/>
  <c r="E14" i="2"/>
  <c r="J13" i="3"/>
  <c r="H13" i="8"/>
  <c r="J15" i="3"/>
  <c r="J9" i="3"/>
  <c r="E13" i="2"/>
  <c r="H28" i="8"/>
  <c r="H4" i="8"/>
  <c r="H40" i="8"/>
  <c r="E5" i="2"/>
  <c r="J26" i="3"/>
  <c r="E4" i="2"/>
  <c r="H45" i="8"/>
  <c r="J11" i="3"/>
  <c r="J14" i="3"/>
  <c r="H10" i="8"/>
  <c r="E3" i="2"/>
  <c r="H39" i="8"/>
  <c r="H22" i="8"/>
  <c r="H41" i="8"/>
  <c r="D13" i="8" l="1"/>
  <c r="E14" i="8" s="1"/>
  <c r="D5" i="6"/>
  <c r="E5" i="6" s="1"/>
  <c r="C5" i="2"/>
  <c r="C14" i="2"/>
  <c r="C13" i="2" s="1"/>
  <c r="E17" i="8"/>
  <c r="D25" i="8"/>
  <c r="E26" i="8" s="1"/>
  <c r="E5" i="8"/>
  <c r="E11" i="8"/>
  <c r="E26" i="3"/>
  <c r="E14" i="3"/>
  <c r="D39" i="8" l="1"/>
  <c r="D19" i="8"/>
  <c r="E20" i="8" l="1"/>
  <c r="D22" i="8"/>
  <c r="E23" i="8" s="1"/>
  <c r="D28" i="8" l="1"/>
  <c r="E29" i="8" s="1"/>
  <c r="D31" i="8" l="1"/>
  <c r="D45" i="8" l="1"/>
  <c r="E46" i="8" s="1"/>
  <c r="E32" i="8"/>
  <c r="D40" i="8" s="1"/>
  <c r="E43" i="8" s="1"/>
  <c r="F16" i="1" l="1"/>
  <c r="F15" i="1"/>
  <c r="F14" i="1"/>
  <c r="F13" i="1"/>
  <c r="F6" i="1"/>
  <c r="F7" i="1"/>
  <c r="F5" i="1"/>
  <c r="F9" i="1" l="1"/>
</calcChain>
</file>

<file path=xl/sharedStrings.xml><?xml version="1.0" encoding="utf-8"?>
<sst xmlns="http://schemas.openxmlformats.org/spreadsheetml/2006/main" count="196" uniqueCount="131">
  <si>
    <t>פתרון שאלה 1</t>
  </si>
  <si>
    <t>מס׳ עובדים</t>
  </si>
  <si>
    <t>תיאור</t>
  </si>
  <si>
    <t>עובדים שיעזבו בתחילת השנה</t>
  </si>
  <si>
    <t>ימי הפרשה</t>
  </si>
  <si>
    <t>שווי יום</t>
  </si>
  <si>
    <t>סה״כ הפרשה</t>
  </si>
  <si>
    <t>עובדים שינצלו 9 ימים ויעזבו</t>
  </si>
  <si>
    <t>עובדים שינצלו 9 ימים ויישארו</t>
  </si>
  <si>
    <t>עובדים שינצלו 12 ימים ונשארים</t>
  </si>
  <si>
    <t>יתרת הפרשה</t>
  </si>
  <si>
    <t>א. הנחת אי הבשלה</t>
  </si>
  <si>
    <t>ב. הנחת הבשלה</t>
  </si>
  <si>
    <t xml:space="preserve">לעולם לא ניתן לייחס לעובדים הפרשה בגין מספר ימים העולה על יתרת זכאותם לתום השנה. </t>
  </si>
  <si>
    <t xml:space="preserve">לכן, לא משנה מתי עובד עוזב בשנה הבאה - נייחס לו 4 ימים בלבד בהתאם ליתרת צבירה זו. </t>
  </si>
  <si>
    <t>כלומר: גם אם עובד צפוי לעבוד שנה הבאה 9 ימים ורק לאחר מכן לעזוב, כך שלכאורה יקבל יום צבור נוסף ועוד 4 ימים</t>
  </si>
  <si>
    <t>היסטוריים - היום הצבור הנוסף לא יכול להיחשב בעת ההפרשה משום שהעובד (נכון ל-31.12.2023) טרם צבר</t>
  </si>
  <si>
    <t xml:space="preserve">זכאותו בגינו. </t>
  </si>
  <si>
    <t>פתרון שאלה 2</t>
  </si>
  <si>
    <t>יתרת הפרשה 31.12.2022</t>
  </si>
  <si>
    <t>יתרת סגירה 31.12.2023</t>
  </si>
  <si>
    <t>תשלום</t>
  </si>
  <si>
    <t>הוצאה PN</t>
  </si>
  <si>
    <t>נק</t>
  </si>
  <si>
    <t xml:space="preserve">חשוב מאד במענה לשאלה, לייצג את ההוצאה כ - PN, ולא להסתפק בתיאור ״תנועה״ או ביאור אחר לרכיב </t>
  </si>
  <si>
    <t>פתרון שאלה 3</t>
  </si>
  <si>
    <t>תאריך</t>
  </si>
  <si>
    <t>פרטים</t>
  </si>
  <si>
    <t>ש״ח</t>
  </si>
  <si>
    <t>יתרת פתיחה</t>
  </si>
  <si>
    <t>עלות שירות שוטף</t>
  </si>
  <si>
    <t>ריבית (אין יתרת פתיחה לשנה זו)</t>
  </si>
  <si>
    <t>רווח / הפסד ממדידה מחדש</t>
  </si>
  <si>
    <t>PN</t>
  </si>
  <si>
    <t>יתרת סגירה</t>
  </si>
  <si>
    <t xml:space="preserve">רווח / הפסד ממדידה מחדש </t>
  </si>
  <si>
    <t>(*)</t>
  </si>
  <si>
    <t>תנועה בנכסי התכנית בגין הטבה מוגדרת לאחר סיום העסקה</t>
  </si>
  <si>
    <t>הפקדה</t>
  </si>
  <si>
    <t>יתרת סגירה - נתון</t>
  </si>
  <si>
    <t>התחייבויות התכנית:</t>
  </si>
  <si>
    <t>עלות שירות עבר</t>
  </si>
  <si>
    <t>ריבית</t>
  </si>
  <si>
    <t>אנחנו עובדים עם דיווח כספי שנתי ולא עם דיווח כספי ביניים.</t>
  </si>
  <si>
    <t>לפיכך ההתייחסות לשיעורי היוון שלא במועדי שינוי הם נתוני סרק.</t>
  </si>
  <si>
    <t>יחד עם זאת בוצעה התחשבות מסוימת במניחים דיווחים רבעוניים ככל שכללו פירוט</t>
  </si>
  <si>
    <t>מספק של ההנחה.</t>
  </si>
  <si>
    <t>פתרון שאלה 4</t>
  </si>
  <si>
    <t>נקודות מרכזיות למענה:</t>
  </si>
  <si>
    <t>הטבה מוגדרת</t>
  </si>
  <si>
    <t>הפקדה מוגדרת</t>
  </si>
  <si>
    <t>הגדרה</t>
  </si>
  <si>
    <t>סיכון אקטוארי</t>
  </si>
  <si>
    <t>התחייבות לפי</t>
  </si>
  <si>
    <t>היבטים עסקיים</t>
  </si>
  <si>
    <t>היבטים חשבונאיים</t>
  </si>
  <si>
    <t>סכום הטבה ידוע מראש</t>
  </si>
  <si>
    <t>סכום הפקדה ידוע מראש</t>
  </si>
  <si>
    <t>על החברה</t>
  </si>
  <si>
    <t>על העובד</t>
  </si>
  <si>
    <t>שווי נוכחי של הטבות בניכוי נכסי תוכנית</t>
  </si>
  <si>
    <t xml:space="preserve">סכום ההפקדות </t>
  </si>
  <si>
    <t>עלות לא ידועה בחלק מהמקרים</t>
  </si>
  <si>
    <t>סיכון אקטוארי גבוה</t>
  </si>
  <si>
    <t>עלות ידועה דטרמיניסטית</t>
  </si>
  <si>
    <t>סיכון אקטוארי נמוך</t>
  </si>
  <si>
    <t>הכרה בהתחייבות נטו</t>
  </si>
  <si>
    <t>מדידת רווח / הפסד אקטוארי</t>
  </si>
  <si>
    <t>הכרה בהתחייבות בגין הפקדות שטרם בוצעו</t>
  </si>
  <si>
    <t>אין רווח / הפסד אקטוארי</t>
  </si>
  <si>
    <t>פתרון שאלה 5</t>
  </si>
  <si>
    <t>חובה</t>
  </si>
  <si>
    <t>זכות</t>
  </si>
  <si>
    <t>הוצאות שכר</t>
  </si>
  <si>
    <t>קרן הון בגין כתבי אופ׳</t>
  </si>
  <si>
    <t>שימו לב: בשונה מהמקרה הכיתתי (שיעור 7), כאן מועד אישור ההסכם הוא טרם אישור הדיווח. כמובן שמדובר</t>
  </si>
  <si>
    <t>באירוע מחייב התאמה, משום שמועד המדידה המדויקת הוא מועד ההענקה. לפיכך יש לבצע מדידה לפי שווי של 70.</t>
  </si>
  <si>
    <t>פתרון שאלה 6</t>
  </si>
  <si>
    <t>דרג א</t>
  </si>
  <si>
    <t>דרג ב</t>
  </si>
  <si>
    <t>דרג ג</t>
  </si>
  <si>
    <t>עובדים</t>
  </si>
  <si>
    <t>פקודות היומן טריביאליות; ניתן ניקוד גם ללא פקודות יומן (אין דרישה מפורשת לרישום פקודות ו/או רישומים</t>
  </si>
  <si>
    <t xml:space="preserve">חשבונאיים). </t>
  </si>
  <si>
    <t>פתרון שאלה 7</t>
  </si>
  <si>
    <t>דגשים:</t>
  </si>
  <si>
    <t>שווי הוגן במועד ההענקה</t>
  </si>
  <si>
    <t>הכרה בהתחייבות בגין שווי הבונוס</t>
  </si>
  <si>
    <t>ההכרה בהוצאה לפי תנאי ההבשלה הנוספים</t>
  </si>
  <si>
    <t>אין עדכון להתחייבות</t>
  </si>
  <si>
    <t>הכרה בהוצאה לפי שווי זה בפריסה מבוססת תנאי הבשלה (לא נתונים, יש להתייחס)</t>
  </si>
  <si>
    <t>מדידת רכיב כתבי אופציה לפי IFRS 2:</t>
  </si>
  <si>
    <t>מדידת רכיב בונוס מזומן לפי IAS 19:</t>
  </si>
  <si>
    <t>פתרון שאלה 8</t>
  </si>
  <si>
    <t>נכס מס נדחה</t>
  </si>
  <si>
    <t>הוצאות מס</t>
  </si>
  <si>
    <t>קרן הון</t>
  </si>
  <si>
    <t>מזומן</t>
  </si>
  <si>
    <t>הון מניות</t>
  </si>
  <si>
    <t>פרמיה</t>
  </si>
  <si>
    <t>כמו כן, התקבל גם פתרון שלא ציין תשלום, אלא:</t>
  </si>
  <si>
    <t>שימו לב שלא מדויק לומר שבשנה הקודמת עברנו את התקרה ולכן מפה ואילך הכל לקרן; שהרי</t>
  </si>
  <si>
    <t xml:space="preserve">בתקופה העוקבת ממשיכים להכיר בהוצאות גם ברמת הספרים. </t>
  </si>
  <si>
    <t xml:space="preserve">התקבלו גם פרשנויות קרובות לסוגיות המס (קיזוז חלקי מהקרן). </t>
  </si>
  <si>
    <t>הסבר לטעות הנפוצה ביותר (ייחוס 5 ימים לחלק מהעובדים)</t>
  </si>
  <si>
    <t>(**)</t>
  </si>
  <si>
    <t>חשיבות גבוהה ניתנה גם למדידת רווח / הפסד ממדידה מחדש, לרבות בשנה</t>
  </si>
  <si>
    <t>הראשונה (עלות שירות שוטף איננה לפי ריבית סגירה).</t>
  </si>
  <si>
    <t xml:space="preserve">ולא הופחת בגינן ניקוד אם נומקו כראוי. </t>
  </si>
  <si>
    <t xml:space="preserve">הערכים בכל מקרה קרובים למופיע לעיל. </t>
  </si>
  <si>
    <t>זה על מנת לייצג את המשמעות בהתאם. במידה ולא בוצע כן, הופחת ניקוד.</t>
  </si>
  <si>
    <t xml:space="preserve">שימו לב, ניתן משקל גדול למענה לעניין, במילים שלכם, באופן ששיקף את הרכיבים המרכזיים של המענה פה. </t>
  </si>
  <si>
    <t>לתשומת הלב: ניקוד הופחת באופן סמלי גם אם המענה לגמרי בכיוון הנכון, אך אין התייחסות לתנאי הבשלה לרבות</t>
  </si>
  <si>
    <t xml:space="preserve">תנאי הבשלה פוטנציאליים, לאופן הסיווג הנגדי כהתחייבות או כרכיב הוני וכיו״ב. </t>
  </si>
  <si>
    <t>מדידה כנגד הון.</t>
  </si>
  <si>
    <t xml:space="preserve">700,000 / 20 * 2 * (1 + 8%)^(-28) = </t>
  </si>
  <si>
    <t>אין על ליר</t>
  </si>
  <si>
    <t>ליר ביסודי</t>
  </si>
  <si>
    <t xml:space="preserve">70 * 20,000 / 2.25 * 0.25 = </t>
  </si>
  <si>
    <t xml:space="preserve">70 * 20,000 / 2.25 = </t>
  </si>
  <si>
    <t>ליר בחנוכה</t>
  </si>
  <si>
    <t>דרג א:</t>
  </si>
  <si>
    <t xml:space="preserve">780 * 500 * 35 / 2 = </t>
  </si>
  <si>
    <t xml:space="preserve">790 * 500 * 35 / 3 * 2 - 6,825,000 = </t>
  </si>
  <si>
    <t xml:space="preserve">770 * 500 * 35 - (6,825,000 + 2,391,667) = </t>
  </si>
  <si>
    <t>דרג ב:</t>
  </si>
  <si>
    <t xml:space="preserve">680 * 200 * 50 / 3 = </t>
  </si>
  <si>
    <t xml:space="preserve">650 * 200 * 44 / 3 * 2 - 2,266,667 = </t>
  </si>
  <si>
    <t xml:space="preserve">620 * 200 * 52  - (2,266,667 - 1,546,667) = </t>
  </si>
  <si>
    <t>דרג ג:</t>
  </si>
  <si>
    <t xml:space="preserve">900 * 500 * 10 / 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</si>
</sst>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sz val="12"/>
      <color theme="0"/>
      <name val="David"/>
    </font>
    <font>
      <sz val="12"/>
      <color rgb="FFFF0000"/>
      <name val="Aptos Narrow"/>
      <family val="2"/>
      <scheme val="minor"/>
    </font>
    <font>
      <sz val="12"/>
      <color rgb="FFFF0000"/>
      <name val="David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Davi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3" fontId="1" fillId="0" borderId="0" xfId="0" applyNumberFormat="1" applyFont="1"/>
    <xf numFmtId="37" fontId="1" fillId="0" borderId="0" xfId="0" applyNumberFormat="1" applyFont="1"/>
    <xf numFmtId="0" fontId="1" fillId="0" borderId="2" xfId="0" applyFont="1" applyBorder="1"/>
    <xf numFmtId="3" fontId="4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3" fontId="4" fillId="0" borderId="1" xfId="0" applyNumberFormat="1" applyFont="1" applyBorder="1"/>
    <xf numFmtId="0" fontId="4" fillId="0" borderId="0" xfId="0" applyFont="1" applyAlignment="1">
      <alignment readingOrder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3" fontId="4" fillId="2" borderId="0" xfId="0" applyNumberFormat="1" applyFont="1" applyFill="1"/>
    <xf numFmtId="37" fontId="4" fillId="0" borderId="0" xfId="0" applyNumberFormat="1" applyFont="1"/>
    <xf numFmtId="37" fontId="4" fillId="0" borderId="1" xfId="0" applyNumberFormat="1" applyFont="1" applyBorder="1"/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readingOrder="1"/>
    </xf>
    <xf numFmtId="0" fontId="9" fillId="0" borderId="0" xfId="0" applyFont="1"/>
    <xf numFmtId="0" fontId="4" fillId="0" borderId="2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676235</xdr:colOff>
      <xdr:row>15</xdr:row>
      <xdr:rowOff>104459</xdr:rowOff>
    </xdr:from>
    <xdr:to>
      <xdr:col>1</xdr:col>
      <xdr:colOff>1905510</xdr:colOff>
      <xdr:row>27</xdr:row>
      <xdr:rowOff>23696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5CFC3-4197-1A40-852E-983E87E0F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027045" y="3155758"/>
          <a:ext cx="2383820" cy="2360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267026</xdr:colOff>
      <xdr:row>13</xdr:row>
      <xdr:rowOff>43051</xdr:rowOff>
    </xdr:from>
    <xdr:to>
      <xdr:col>4</xdr:col>
      <xdr:colOff>322452</xdr:colOff>
      <xdr:row>21</xdr:row>
      <xdr:rowOff>134965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C205C-D75B-EC5A-F02A-74BB7A1CB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6108904" y="2701441"/>
          <a:ext cx="1702121" cy="172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248763</xdr:colOff>
      <xdr:row>10</xdr:row>
      <xdr:rowOff>54505</xdr:rowOff>
    </xdr:from>
    <xdr:to>
      <xdr:col>4</xdr:col>
      <xdr:colOff>493610</xdr:colOff>
      <xdr:row>25</xdr:row>
      <xdr:rowOff>111247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4CDDC-B6D5-D696-1EF8-99EFAF9CC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1019695" y="2071243"/>
          <a:ext cx="2713989" cy="3081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9E18-7299-DE45-BED2-DFE32611AF52}">
  <dimension ref="A1:H24"/>
  <sheetViews>
    <sheetView rightToLeft="1" tabSelected="1" zoomScale="232" zoomScaleNormal="165" workbookViewId="0">
      <selection activeCell="A25" sqref="A25"/>
    </sheetView>
  </sheetViews>
  <sheetFormatPr baseColWidth="10" defaultRowHeight="16" x14ac:dyDescent="0.2"/>
  <cols>
    <col min="1" max="1" width="10.83203125" style="1"/>
    <col min="2" max="2" width="13.1640625" style="1" customWidth="1"/>
    <col min="3" max="16384" width="10.83203125" style="1"/>
  </cols>
  <sheetData>
    <row r="1" spans="1:8" x14ac:dyDescent="0.2">
      <c r="A1" s="2" t="s">
        <v>0</v>
      </c>
      <c r="B1" s="2"/>
      <c r="C1" s="2"/>
      <c r="D1" s="2"/>
      <c r="E1" s="2"/>
      <c r="F1" s="2"/>
      <c r="G1" s="2">
        <v>10</v>
      </c>
      <c r="H1" s="2" t="s">
        <v>23</v>
      </c>
    </row>
    <row r="3" spans="1:8" x14ac:dyDescent="0.2">
      <c r="A3" s="3" t="s">
        <v>11</v>
      </c>
    </row>
    <row r="4" spans="1:8" x14ac:dyDescent="0.2">
      <c r="A4" s="1" t="s">
        <v>2</v>
      </c>
      <c r="C4" s="1" t="s">
        <v>1</v>
      </c>
      <c r="D4" s="1" t="s">
        <v>4</v>
      </c>
      <c r="E4" s="1" t="s">
        <v>5</v>
      </c>
      <c r="F4" s="1" t="s">
        <v>6</v>
      </c>
    </row>
    <row r="5" spans="1:8" s="9" customFormat="1" x14ac:dyDescent="0.2">
      <c r="A5" s="9" t="s">
        <v>3</v>
      </c>
      <c r="C5" s="9">
        <v>12</v>
      </c>
      <c r="D5" s="9">
        <v>0</v>
      </c>
      <c r="E5" s="9">
        <v>400</v>
      </c>
      <c r="F5" s="7">
        <f>C5*D5*E5</f>
        <v>0</v>
      </c>
    </row>
    <row r="6" spans="1:8" s="9" customFormat="1" x14ac:dyDescent="0.2">
      <c r="A6" s="9" t="s">
        <v>7</v>
      </c>
      <c r="C6" s="9">
        <v>10</v>
      </c>
      <c r="D6" s="9">
        <v>0</v>
      </c>
      <c r="E6" s="9">
        <v>400</v>
      </c>
      <c r="F6" s="7">
        <f t="shared" ref="F6:F8" si="0">C6*D6*E6</f>
        <v>0</v>
      </c>
    </row>
    <row r="7" spans="1:8" s="9" customFormat="1" x14ac:dyDescent="0.2">
      <c r="A7" s="9" t="s">
        <v>8</v>
      </c>
      <c r="C7" s="9">
        <v>110</v>
      </c>
      <c r="D7" s="9">
        <v>0</v>
      </c>
      <c r="E7" s="9">
        <v>400</v>
      </c>
      <c r="F7" s="7">
        <f t="shared" si="0"/>
        <v>0</v>
      </c>
    </row>
    <row r="8" spans="1:8" s="9" customFormat="1" x14ac:dyDescent="0.2">
      <c r="A8" s="9" t="s">
        <v>9</v>
      </c>
      <c r="C8" s="9">
        <v>368</v>
      </c>
      <c r="D8" s="9">
        <v>2</v>
      </c>
      <c r="E8" s="9">
        <v>400</v>
      </c>
      <c r="F8" s="7">
        <f>C8*D8*E8</f>
        <v>294400</v>
      </c>
    </row>
    <row r="9" spans="1:8" s="9" customFormat="1" x14ac:dyDescent="0.2">
      <c r="E9" s="9" t="s">
        <v>10</v>
      </c>
      <c r="F9" s="18">
        <f>SUM(F5:F8)</f>
        <v>294400</v>
      </c>
    </row>
    <row r="10" spans="1:8" x14ac:dyDescent="0.2">
      <c r="B10" s="8"/>
      <c r="C10" s="8"/>
      <c r="D10" s="8"/>
      <c r="E10" s="8"/>
      <c r="F10" s="8"/>
    </row>
    <row r="11" spans="1:8" x14ac:dyDescent="0.2">
      <c r="A11" s="3" t="s">
        <v>12</v>
      </c>
      <c r="B11" s="8"/>
      <c r="C11" s="8"/>
      <c r="D11" s="8"/>
      <c r="E11" s="8"/>
      <c r="F11" s="8"/>
    </row>
    <row r="12" spans="1:8" s="9" customFormat="1" x14ac:dyDescent="0.2">
      <c r="A12" s="9" t="s">
        <v>2</v>
      </c>
      <c r="C12" s="9" t="s">
        <v>1</v>
      </c>
      <c r="D12" s="9" t="s">
        <v>4</v>
      </c>
      <c r="E12" s="9" t="s">
        <v>5</v>
      </c>
      <c r="F12" s="9" t="s">
        <v>6</v>
      </c>
    </row>
    <row r="13" spans="1:8" s="9" customFormat="1" x14ac:dyDescent="0.2">
      <c r="A13" s="9" t="s">
        <v>3</v>
      </c>
      <c r="C13" s="9">
        <v>12</v>
      </c>
      <c r="D13" s="9">
        <v>4</v>
      </c>
      <c r="E13" s="9">
        <v>400</v>
      </c>
      <c r="F13" s="7">
        <f>C13*D13*E13</f>
        <v>19200</v>
      </c>
    </row>
    <row r="14" spans="1:8" s="9" customFormat="1" x14ac:dyDescent="0.2">
      <c r="A14" s="9" t="s">
        <v>7</v>
      </c>
      <c r="C14" s="9">
        <v>10</v>
      </c>
      <c r="D14" s="9">
        <v>4</v>
      </c>
      <c r="E14" s="9">
        <v>400</v>
      </c>
      <c r="F14" s="7">
        <f t="shared" ref="F14:F16" si="1">C14*D14*E14</f>
        <v>16000</v>
      </c>
    </row>
    <row r="15" spans="1:8" s="9" customFormat="1" x14ac:dyDescent="0.2">
      <c r="A15" s="9" t="s">
        <v>8</v>
      </c>
      <c r="C15" s="9">
        <v>110</v>
      </c>
      <c r="D15" s="9">
        <v>0</v>
      </c>
      <c r="E15" s="9">
        <v>400</v>
      </c>
      <c r="F15" s="7">
        <f t="shared" si="1"/>
        <v>0</v>
      </c>
    </row>
    <row r="16" spans="1:8" s="9" customFormat="1" x14ac:dyDescent="0.2">
      <c r="A16" s="9" t="s">
        <v>9</v>
      </c>
      <c r="C16" s="9">
        <v>368</v>
      </c>
      <c r="D16" s="9">
        <v>2</v>
      </c>
      <c r="E16" s="9">
        <v>400</v>
      </c>
      <c r="F16" s="7">
        <f t="shared" si="1"/>
        <v>294400</v>
      </c>
    </row>
    <row r="17" spans="1:6" s="9" customFormat="1" x14ac:dyDescent="0.2">
      <c r="E17" s="9" t="s">
        <v>10</v>
      </c>
      <c r="F17" s="18">
        <f>SUM(F13:F16)</f>
        <v>329600</v>
      </c>
    </row>
    <row r="19" spans="1:6" x14ac:dyDescent="0.2">
      <c r="A19" s="3" t="s">
        <v>104</v>
      </c>
    </row>
    <row r="20" spans="1:6" x14ac:dyDescent="0.2">
      <c r="A20" s="16" t="s">
        <v>13</v>
      </c>
    </row>
    <row r="21" spans="1:6" x14ac:dyDescent="0.2">
      <c r="A21" s="16" t="s">
        <v>14</v>
      </c>
    </row>
    <row r="22" spans="1:6" x14ac:dyDescent="0.2">
      <c r="A22" s="16" t="s">
        <v>15</v>
      </c>
    </row>
    <row r="23" spans="1:6" x14ac:dyDescent="0.2">
      <c r="A23" s="16" t="s">
        <v>16</v>
      </c>
    </row>
    <row r="24" spans="1:6" x14ac:dyDescent="0.2">
      <c r="A24" s="16" t="s">
        <v>17</v>
      </c>
    </row>
  </sheetData>
  <pageMargins left="0.7" right="0.7" top="0.75" bottom="0.75" header="0.3" footer="0.3"/>
  <pageSetup paperSize="9" scale="9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6F4D-8C7F-7E42-A7EB-A683534DB05F}">
  <dimension ref="A1:H18"/>
  <sheetViews>
    <sheetView rightToLeft="1" zoomScale="250" zoomScaleNormal="192" workbookViewId="0">
      <selection activeCell="C24" sqref="C24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2" t="s">
        <v>18</v>
      </c>
      <c r="B1" s="2"/>
      <c r="C1" s="2"/>
      <c r="D1" s="2"/>
      <c r="E1" s="2"/>
      <c r="F1" s="2"/>
      <c r="G1" s="2">
        <v>8</v>
      </c>
      <c r="H1" s="2" t="s">
        <v>23</v>
      </c>
    </row>
    <row r="3" spans="1:8" s="9" customFormat="1" x14ac:dyDescent="0.2">
      <c r="A3" s="9" t="s">
        <v>19</v>
      </c>
      <c r="C3" s="19">
        <f>300000000*0.0004%*90</f>
        <v>108000</v>
      </c>
      <c r="E3" s="9" t="str">
        <f ca="1">_xlfn.FORMULATEXT(C3)</f>
        <v>=300000000*0.0004%*90</v>
      </c>
    </row>
    <row r="4" spans="1:8" s="9" customFormat="1" x14ac:dyDescent="0.2">
      <c r="A4" s="9" t="s">
        <v>21</v>
      </c>
      <c r="C4" s="19">
        <f>-800000000*0.0004%*92</f>
        <v>-294400</v>
      </c>
      <c r="E4" s="9" t="str">
        <f ca="1">_xlfn.FORMULATEXT(C4)</f>
        <v>=-800000000*0.0004%*92</v>
      </c>
    </row>
    <row r="5" spans="1:8" s="9" customFormat="1" x14ac:dyDescent="0.2">
      <c r="A5" s="9" t="s">
        <v>22</v>
      </c>
      <c r="C5" s="19">
        <f>C6-C4-C3</f>
        <v>186400</v>
      </c>
      <c r="E5" s="9" t="str">
        <f ca="1">_xlfn.FORMULATEXT(C5)</f>
        <v>=C6-C4-C3</v>
      </c>
    </row>
    <row r="6" spans="1:8" s="9" customFormat="1" x14ac:dyDescent="0.2">
      <c r="A6" s="9" t="s">
        <v>20</v>
      </c>
      <c r="C6" s="20">
        <v>0</v>
      </c>
    </row>
    <row r="7" spans="1:8" s="9" customFormat="1" x14ac:dyDescent="0.2"/>
    <row r="8" spans="1:8" s="9" customFormat="1" x14ac:dyDescent="0.2">
      <c r="A8" s="9" t="s">
        <v>24</v>
      </c>
    </row>
    <row r="9" spans="1:8" s="9" customFormat="1" x14ac:dyDescent="0.2">
      <c r="A9" s="9" t="s">
        <v>110</v>
      </c>
    </row>
    <row r="10" spans="1:8" s="9" customFormat="1" x14ac:dyDescent="0.2">
      <c r="A10" s="9" t="s">
        <v>100</v>
      </c>
    </row>
    <row r="11" spans="1:8" s="9" customFormat="1" x14ac:dyDescent="0.2"/>
    <row r="12" spans="1:8" s="9" customFormat="1" x14ac:dyDescent="0.2">
      <c r="A12" s="9" t="s">
        <v>19</v>
      </c>
      <c r="C12" s="19">
        <f>300000000*0.0004%*90</f>
        <v>108000</v>
      </c>
      <c r="E12" s="9" t="str">
        <f ca="1">_xlfn.FORMULATEXT(C12)</f>
        <v>=300000000*0.0004%*90</v>
      </c>
    </row>
    <row r="13" spans="1:8" s="9" customFormat="1" x14ac:dyDescent="0.2">
      <c r="A13" s="9" t="s">
        <v>22</v>
      </c>
      <c r="C13" s="19">
        <f>C14-C12</f>
        <v>186400</v>
      </c>
      <c r="E13" s="9" t="str">
        <f ca="1">_xlfn.FORMULATEXT(C13)</f>
        <v>=C14-C12</v>
      </c>
    </row>
    <row r="14" spans="1:8" s="9" customFormat="1" x14ac:dyDescent="0.2">
      <c r="A14" s="9" t="s">
        <v>20</v>
      </c>
      <c r="C14" s="20">
        <f>-C4</f>
        <v>294400</v>
      </c>
      <c r="E14" s="9" t="str">
        <f ca="1">_xlfn.FORMULATEXT(C14)</f>
        <v>=-C4</v>
      </c>
    </row>
    <row r="15" spans="1:8" s="9" customFormat="1" x14ac:dyDescent="0.2"/>
    <row r="16" spans="1:8" s="9" customFormat="1" x14ac:dyDescent="0.2"/>
    <row r="17" s="9" customFormat="1" x14ac:dyDescent="0.2"/>
    <row r="18" s="9" customFormat="1" x14ac:dyDescent="0.2"/>
  </sheetData>
  <pageMargins left="0.7" right="0.7" top="0.75" bottom="0.75" header="0.3" footer="0.3"/>
  <pageSetup paperSize="9" scale="9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9A5C-4CD4-FB4E-94FD-0C892721FABD}">
  <dimension ref="A1:J34"/>
  <sheetViews>
    <sheetView rightToLeft="1" topLeftCell="A6" zoomScale="224" zoomScaleNormal="184" zoomScaleSheetLayoutView="114" workbookViewId="0">
      <selection activeCell="E11" sqref="E11:E14"/>
    </sheetView>
  </sheetViews>
  <sheetFormatPr baseColWidth="10" defaultRowHeight="16" x14ac:dyDescent="0.2"/>
  <sheetData>
    <row r="1" spans="1:10" s="1" customFormat="1" x14ac:dyDescent="0.2">
      <c r="A1" s="2" t="s">
        <v>25</v>
      </c>
      <c r="B1" s="2"/>
      <c r="C1" s="2"/>
      <c r="D1" s="2"/>
      <c r="E1" s="2"/>
      <c r="F1" s="2"/>
      <c r="G1" s="2">
        <v>25</v>
      </c>
      <c r="H1" s="2" t="s">
        <v>23</v>
      </c>
    </row>
    <row r="2" spans="1:10" s="24" customFormat="1" x14ac:dyDescent="0.2"/>
    <row r="3" spans="1:10" s="24" customFormat="1" x14ac:dyDescent="0.2">
      <c r="A3" s="9" t="s">
        <v>40</v>
      </c>
    </row>
    <row r="4" spans="1:10" s="24" customFormat="1" x14ac:dyDescent="0.2">
      <c r="A4" s="9"/>
    </row>
    <row r="5" spans="1:10" s="9" customFormat="1" x14ac:dyDescent="0.2">
      <c r="A5" s="25" t="s">
        <v>26</v>
      </c>
      <c r="B5" s="25" t="s">
        <v>27</v>
      </c>
      <c r="C5" s="25"/>
      <c r="D5" s="25"/>
      <c r="E5" s="25" t="s">
        <v>28</v>
      </c>
    </row>
    <row r="6" spans="1:10" s="9" customFormat="1" x14ac:dyDescent="0.2">
      <c r="A6" s="11">
        <v>44197</v>
      </c>
      <c r="B6" s="9" t="s">
        <v>29</v>
      </c>
      <c r="E6" s="7">
        <v>0</v>
      </c>
    </row>
    <row r="7" spans="1:10" s="1" customFormat="1" x14ac:dyDescent="0.2">
      <c r="A7" s="9">
        <v>2021</v>
      </c>
      <c r="B7" s="9" t="s">
        <v>30</v>
      </c>
      <c r="C7" s="9"/>
      <c r="D7" s="9"/>
      <c r="E7" s="7">
        <f>500000/20*1.05^-29</f>
        <v>6073.6580272162746</v>
      </c>
      <c r="F7" s="8"/>
      <c r="G7" s="8"/>
      <c r="H7" s="9"/>
      <c r="J7" s="9" t="str">
        <f ca="1">_xlfn.FORMULATEXT(E7)</f>
        <v>=500000/20*1.05^-29</v>
      </c>
    </row>
    <row r="8" spans="1:10" s="9" customFormat="1" x14ac:dyDescent="0.2">
      <c r="A8" s="9">
        <v>2021</v>
      </c>
      <c r="B8" s="9" t="s">
        <v>31</v>
      </c>
      <c r="E8" s="7">
        <v>0</v>
      </c>
      <c r="F8" s="8"/>
      <c r="G8" s="8"/>
      <c r="H8" s="8"/>
    </row>
    <row r="9" spans="1:10" s="9" customFormat="1" x14ac:dyDescent="0.2">
      <c r="A9" s="9">
        <v>2021</v>
      </c>
      <c r="B9" s="9" t="s">
        <v>32</v>
      </c>
      <c r="E9" s="7">
        <f>E10-E8-E7-E6</f>
        <v>1942.627340092652</v>
      </c>
      <c r="F9" s="10" t="s">
        <v>33</v>
      </c>
      <c r="J9" s="9" t="str">
        <f t="shared" ref="J9:J15" ca="1" si="0">_xlfn.FORMULATEXT(E9)</f>
        <v>=E10-E8-E7-E6</v>
      </c>
    </row>
    <row r="10" spans="1:10" s="9" customFormat="1" x14ac:dyDescent="0.2">
      <c r="A10" s="11">
        <v>44561</v>
      </c>
      <c r="B10" s="9" t="s">
        <v>34</v>
      </c>
      <c r="E10" s="12">
        <f>500000/20*1.04^-29</f>
        <v>8016.2853673089267</v>
      </c>
      <c r="J10" s="9" t="str">
        <f t="shared" ca="1" si="0"/>
        <v>=500000/20*1.04^-29</v>
      </c>
    </row>
    <row r="11" spans="1:10" s="9" customFormat="1" x14ac:dyDescent="0.2">
      <c r="A11" s="9">
        <v>2022</v>
      </c>
      <c r="B11" s="9" t="s">
        <v>30</v>
      </c>
      <c r="C11" s="8"/>
      <c r="D11" s="8"/>
      <c r="E11" s="7">
        <f>500000/20*9/12*(1+4%)^(-28-3/12)+700000/20*3/12*(1+7%)^(-28)</f>
        <v>7507.7126738063689</v>
      </c>
      <c r="F11" s="8"/>
      <c r="G11" s="8"/>
      <c r="H11" s="8"/>
      <c r="J11" s="9" t="str">
        <f t="shared" ca="1" si="0"/>
        <v>=500000/20*9/12*(1+4%)^(-28-3/12)+700000/20*3/12*(1+7%)^(-28)</v>
      </c>
    </row>
    <row r="12" spans="1:10" s="9" customFormat="1" x14ac:dyDescent="0.2">
      <c r="A12" s="9">
        <v>2022</v>
      </c>
      <c r="B12" s="9" t="s">
        <v>41</v>
      </c>
      <c r="E12" s="7">
        <f>700000/20*1.75*1.07^(-28-3/12)-500000/20*1.75*1.07^(-28-3/12)</f>
        <v>2587.8930787442951</v>
      </c>
      <c r="F12" s="8"/>
      <c r="G12" s="8"/>
      <c r="H12" s="8"/>
      <c r="J12" s="9" t="str">
        <f t="shared" ca="1" si="0"/>
        <v>=700000/20*1.75*1.07^(-28-3/12)-500000/20*1.75*1.07^(-28-3/12)</v>
      </c>
    </row>
    <row r="13" spans="1:10" s="9" customFormat="1" x14ac:dyDescent="0.2">
      <c r="A13" s="9">
        <v>2022</v>
      </c>
      <c r="B13" s="9" t="s">
        <v>42</v>
      </c>
      <c r="E13" s="7">
        <f>E10*(1.04^0.75-1)+700000/20*1.75*1.07^(-28-3/12)*(1.07^0.25-1)</f>
        <v>393.815455163053</v>
      </c>
      <c r="J13" s="9" t="str">
        <f t="shared" ca="1" si="0"/>
        <v>=E10*(1.04^0.75-1)+700000/20*1.75*1.07^(-28-3/12)*(1.07^0.25-1)</v>
      </c>
    </row>
    <row r="14" spans="1:10" s="9" customFormat="1" x14ac:dyDescent="0.2">
      <c r="A14" s="9">
        <v>2022</v>
      </c>
      <c r="B14" s="9" t="s">
        <v>35</v>
      </c>
      <c r="E14" s="7">
        <f>E15-E13-E12-E11-E10</f>
        <v>-10391.746126996472</v>
      </c>
      <c r="F14" s="10" t="s">
        <v>33</v>
      </c>
      <c r="G14" s="13"/>
      <c r="J14" s="9" t="str">
        <f t="shared" ca="1" si="0"/>
        <v>=E15-E13-E12-E11-E10</v>
      </c>
    </row>
    <row r="15" spans="1:10" s="9" customFormat="1" x14ac:dyDescent="0.2">
      <c r="A15" s="11">
        <v>44926</v>
      </c>
      <c r="B15" s="9" t="s">
        <v>34</v>
      </c>
      <c r="E15" s="12">
        <f>700000/20*2*1.08^-28</f>
        <v>8113.9604480261723</v>
      </c>
      <c r="H15" s="9" t="s">
        <v>115</v>
      </c>
      <c r="J15" s="9" t="str">
        <f t="shared" ca="1" si="0"/>
        <v>=700000/20*2*1.08^-28</v>
      </c>
    </row>
    <row r="16" spans="1:10" s="1" customFormat="1" x14ac:dyDescent="0.2">
      <c r="A16" s="8"/>
      <c r="B16" s="8"/>
      <c r="C16" s="8"/>
      <c r="D16" s="8"/>
      <c r="E16" s="8"/>
      <c r="F16" s="8"/>
      <c r="G16" s="8"/>
      <c r="H16" s="8"/>
    </row>
    <row r="17" spans="1:10" s="9" customFormat="1" x14ac:dyDescent="0.2">
      <c r="A17" s="26" t="s">
        <v>37</v>
      </c>
    </row>
    <row r="18" spans="1:10" s="9" customFormat="1" x14ac:dyDescent="0.2"/>
    <row r="19" spans="1:10" s="9" customFormat="1" x14ac:dyDescent="0.2">
      <c r="A19" s="25" t="s">
        <v>26</v>
      </c>
      <c r="B19" s="25" t="s">
        <v>27</v>
      </c>
      <c r="C19" s="25"/>
      <c r="D19" s="25"/>
      <c r="E19" s="25" t="s">
        <v>28</v>
      </c>
    </row>
    <row r="20" spans="1:10" s="9" customFormat="1" x14ac:dyDescent="0.2">
      <c r="A20" s="11">
        <v>44197</v>
      </c>
      <c r="B20" s="9" t="s">
        <v>29</v>
      </c>
      <c r="E20" s="7">
        <v>0</v>
      </c>
    </row>
    <row r="21" spans="1:10" s="9" customFormat="1" x14ac:dyDescent="0.2">
      <c r="A21" s="11">
        <v>44561</v>
      </c>
      <c r="B21" s="9" t="s">
        <v>38</v>
      </c>
      <c r="E21" s="7">
        <v>8000</v>
      </c>
    </row>
    <row r="22" spans="1:10" s="9" customFormat="1" x14ac:dyDescent="0.2">
      <c r="A22" s="11">
        <v>44561</v>
      </c>
      <c r="B22" s="9" t="s">
        <v>32</v>
      </c>
      <c r="E22" s="7">
        <v>0</v>
      </c>
      <c r="F22" s="10" t="s">
        <v>33</v>
      </c>
    </row>
    <row r="23" spans="1:10" s="9" customFormat="1" x14ac:dyDescent="0.2">
      <c r="A23" s="11">
        <v>44561</v>
      </c>
      <c r="B23" s="9" t="s">
        <v>34</v>
      </c>
      <c r="E23" s="12">
        <f>SUM(E20:E22)</f>
        <v>8000</v>
      </c>
    </row>
    <row r="24" spans="1:10" s="9" customFormat="1" x14ac:dyDescent="0.2">
      <c r="A24" s="11">
        <v>44743</v>
      </c>
      <c r="B24" s="9" t="s">
        <v>38</v>
      </c>
      <c r="E24" s="7">
        <v>9000</v>
      </c>
    </row>
    <row r="25" spans="1:10" s="9" customFormat="1" x14ac:dyDescent="0.2">
      <c r="A25" s="9">
        <v>2022</v>
      </c>
      <c r="B25" s="9" t="s">
        <v>42</v>
      </c>
      <c r="E25" s="7">
        <f>E23*(1.04^0.75-1)+(E24+E23*(1.04^0.75))*(1.07^0.25-1)</f>
        <v>532.88839586762742</v>
      </c>
      <c r="J25" s="9" t="str">
        <f ca="1">_xlfn.FORMULATEXT(E25)</f>
        <v>=E23*(1.04^0.75-1)+(E24+E23*(1.04^0.75))*(1.07^0.25-1)</v>
      </c>
    </row>
    <row r="26" spans="1:10" s="9" customFormat="1" x14ac:dyDescent="0.2">
      <c r="A26" s="9">
        <v>2018</v>
      </c>
      <c r="B26" s="9" t="s">
        <v>32</v>
      </c>
      <c r="E26" s="7">
        <f>E27-E25-E24-E23</f>
        <v>2467.111604132373</v>
      </c>
      <c r="F26" s="22" t="s">
        <v>33</v>
      </c>
      <c r="G26" s="23"/>
      <c r="H26" s="8"/>
      <c r="J26" s="9" t="str">
        <f ca="1">_xlfn.FORMULATEXT(E26)</f>
        <v>=E27-E25-E24-E23</v>
      </c>
    </row>
    <row r="27" spans="1:10" s="9" customFormat="1" x14ac:dyDescent="0.2">
      <c r="A27" s="11">
        <v>43465</v>
      </c>
      <c r="B27" s="9" t="s">
        <v>39</v>
      </c>
      <c r="E27" s="12">
        <v>20000</v>
      </c>
    </row>
    <row r="28" spans="1:10" s="1" customFormat="1" x14ac:dyDescent="0.2">
      <c r="A28" s="8"/>
      <c r="B28" s="8"/>
      <c r="C28" s="8"/>
      <c r="D28" s="8"/>
      <c r="E28" s="8"/>
      <c r="F28" s="8"/>
      <c r="G28" s="8"/>
      <c r="H28" s="8"/>
    </row>
    <row r="29" spans="1:10" x14ac:dyDescent="0.2">
      <c r="A29" s="22" t="s">
        <v>36</v>
      </c>
      <c r="B29" s="8" t="s">
        <v>43</v>
      </c>
      <c r="C29" s="21"/>
      <c r="D29" s="21"/>
      <c r="E29" s="21"/>
      <c r="F29" s="21"/>
      <c r="G29" s="21"/>
      <c r="H29" s="21"/>
    </row>
    <row r="30" spans="1:10" x14ac:dyDescent="0.2">
      <c r="A30" s="8"/>
      <c r="B30" s="8" t="s">
        <v>44</v>
      </c>
      <c r="C30" s="21"/>
      <c r="D30" s="21"/>
      <c r="E30" s="21"/>
      <c r="F30" s="21"/>
      <c r="G30" s="21"/>
      <c r="H30" s="21"/>
    </row>
    <row r="31" spans="1:10" x14ac:dyDescent="0.2">
      <c r="A31" s="16"/>
      <c r="B31" s="16" t="s">
        <v>45</v>
      </c>
      <c r="C31" s="17"/>
      <c r="D31" s="17"/>
      <c r="E31" s="17"/>
      <c r="F31" s="17"/>
      <c r="G31" s="17"/>
    </row>
    <row r="32" spans="1:10" x14ac:dyDescent="0.2">
      <c r="A32" s="16"/>
      <c r="B32" s="16" t="s">
        <v>46</v>
      </c>
      <c r="C32" s="17"/>
      <c r="D32" s="17"/>
      <c r="E32" s="17"/>
      <c r="F32" s="17"/>
      <c r="G32" s="17"/>
    </row>
    <row r="33" spans="1:7" x14ac:dyDescent="0.2">
      <c r="A33" s="15" t="s">
        <v>105</v>
      </c>
      <c r="B33" s="16" t="s">
        <v>106</v>
      </c>
      <c r="C33" s="17"/>
      <c r="D33" s="17"/>
      <c r="E33" s="17"/>
      <c r="F33" s="17"/>
      <c r="G33" s="17"/>
    </row>
    <row r="34" spans="1:7" x14ac:dyDescent="0.2">
      <c r="A34" s="17"/>
      <c r="B34" s="16" t="s">
        <v>107</v>
      </c>
      <c r="C34" s="17"/>
      <c r="D34" s="17"/>
      <c r="E34" s="17"/>
      <c r="F34" s="17"/>
      <c r="G34" s="17"/>
    </row>
  </sheetData>
  <pageMargins left="0.7" right="0.7" top="0.75" bottom="0.75" header="0.3" footer="0.3"/>
  <pageSetup paperSize="9" scale="76" orientation="portrait" horizontalDpi="0" verticalDpi="0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CAE2-C43D-354A-B37B-66E6469FE08C}">
  <dimension ref="A1:C28"/>
  <sheetViews>
    <sheetView rightToLeft="1" zoomScale="231" zoomScaleNormal="170" workbookViewId="0">
      <selection activeCell="B29" sqref="B29"/>
    </sheetView>
  </sheetViews>
  <sheetFormatPr baseColWidth="10" defaultRowHeight="16" x14ac:dyDescent="0.2"/>
  <cols>
    <col min="1" max="1" width="15.1640625" style="1" customWidth="1"/>
    <col min="2" max="2" width="32.33203125" style="1" customWidth="1"/>
    <col min="3" max="3" width="35.6640625" style="1" customWidth="1"/>
    <col min="4" max="16384" width="10.83203125" style="1"/>
  </cols>
  <sheetData>
    <row r="1" spans="1:3" x14ac:dyDescent="0.2">
      <c r="A1" s="2" t="s">
        <v>47</v>
      </c>
      <c r="B1" s="2">
        <v>7</v>
      </c>
      <c r="C1" s="2" t="s">
        <v>23</v>
      </c>
    </row>
    <row r="3" spans="1:3" x14ac:dyDescent="0.2">
      <c r="A3" s="1" t="s">
        <v>48</v>
      </c>
    </row>
    <row r="5" spans="1:3" x14ac:dyDescent="0.2">
      <c r="A5" s="6" t="s">
        <v>27</v>
      </c>
      <c r="B5" s="6" t="s">
        <v>49</v>
      </c>
      <c r="C5" s="6" t="s">
        <v>50</v>
      </c>
    </row>
    <row r="6" spans="1:3" x14ac:dyDescent="0.2">
      <c r="A6" s="1" t="s">
        <v>51</v>
      </c>
      <c r="B6" s="1" t="s">
        <v>56</v>
      </c>
      <c r="C6" s="1" t="s">
        <v>57</v>
      </c>
    </row>
    <row r="7" spans="1:3" x14ac:dyDescent="0.2">
      <c r="A7" s="1" t="s">
        <v>52</v>
      </c>
      <c r="B7" s="1" t="s">
        <v>58</v>
      </c>
      <c r="C7" s="1" t="s">
        <v>59</v>
      </c>
    </row>
    <row r="8" spans="1:3" x14ac:dyDescent="0.2">
      <c r="A8" s="1" t="s">
        <v>53</v>
      </c>
      <c r="B8" s="1" t="s">
        <v>60</v>
      </c>
      <c r="C8" s="1" t="s">
        <v>61</v>
      </c>
    </row>
    <row r="9" spans="1:3" x14ac:dyDescent="0.2">
      <c r="A9" s="1" t="s">
        <v>54</v>
      </c>
      <c r="B9" s="1" t="s">
        <v>62</v>
      </c>
      <c r="C9" s="1" t="s">
        <v>64</v>
      </c>
    </row>
    <row r="10" spans="1:3" x14ac:dyDescent="0.2">
      <c r="B10" s="1" t="s">
        <v>63</v>
      </c>
      <c r="C10" s="1" t="s">
        <v>65</v>
      </c>
    </row>
    <row r="11" spans="1:3" x14ac:dyDescent="0.2">
      <c r="A11" s="1" t="s">
        <v>55</v>
      </c>
      <c r="B11" s="1" t="s">
        <v>66</v>
      </c>
      <c r="C11" s="1" t="s">
        <v>68</v>
      </c>
    </row>
    <row r="12" spans="1:3" x14ac:dyDescent="0.2">
      <c r="B12" s="1" t="s">
        <v>67</v>
      </c>
      <c r="C12" s="1" t="s">
        <v>69</v>
      </c>
    </row>
    <row r="14" spans="1:3" x14ac:dyDescent="0.2">
      <c r="A14" s="16" t="s">
        <v>111</v>
      </c>
    </row>
    <row r="28" spans="2:2" x14ac:dyDescent="0.2">
      <c r="B28" s="1" t="s">
        <v>116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13C4-3610-404B-8CD8-35FC7F75DDF4}">
  <dimension ref="A1:H23"/>
  <sheetViews>
    <sheetView rightToLeft="1" zoomScale="236" zoomScaleNormal="134" workbookViewId="0">
      <selection activeCell="F18" sqref="F18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2" t="s">
        <v>70</v>
      </c>
      <c r="B1" s="2"/>
      <c r="C1" s="2"/>
      <c r="D1" s="2"/>
      <c r="E1" s="2"/>
      <c r="F1" s="2"/>
      <c r="G1" s="2">
        <v>6</v>
      </c>
      <c r="H1" s="2" t="s">
        <v>23</v>
      </c>
    </row>
    <row r="3" spans="1:8" x14ac:dyDescent="0.2">
      <c r="A3" s="1">
        <v>2022</v>
      </c>
      <c r="D3" s="1" t="s">
        <v>71</v>
      </c>
      <c r="E3" s="1" t="s">
        <v>72</v>
      </c>
    </row>
    <row r="4" spans="1:8" x14ac:dyDescent="0.2">
      <c r="B4" s="1" t="s">
        <v>73</v>
      </c>
      <c r="D4" s="4">
        <f>70*20000/2.25*0.25</f>
        <v>155555.55555555556</v>
      </c>
      <c r="E4" s="4"/>
      <c r="G4" s="1" t="s">
        <v>118</v>
      </c>
    </row>
    <row r="5" spans="1:8" x14ac:dyDescent="0.2">
      <c r="B5" s="1" t="s">
        <v>74</v>
      </c>
      <c r="D5" s="4"/>
      <c r="E5" s="4">
        <f>D4</f>
        <v>155555.55555555556</v>
      </c>
    </row>
    <row r="6" spans="1:8" x14ac:dyDescent="0.2">
      <c r="D6" s="4"/>
      <c r="E6" s="4"/>
    </row>
    <row r="7" spans="1:8" x14ac:dyDescent="0.2">
      <c r="A7" s="1">
        <v>2023</v>
      </c>
      <c r="D7" s="4" t="s">
        <v>71</v>
      </c>
      <c r="E7" s="4" t="s">
        <v>72</v>
      </c>
    </row>
    <row r="8" spans="1:8" x14ac:dyDescent="0.2">
      <c r="B8" s="1" t="s">
        <v>73</v>
      </c>
      <c r="D8" s="4">
        <f>70*20000/2.25</f>
        <v>622222.22222222225</v>
      </c>
      <c r="E8" s="4"/>
      <c r="G8" s="1" t="s">
        <v>119</v>
      </c>
    </row>
    <row r="9" spans="1:8" x14ac:dyDescent="0.2">
      <c r="B9" s="1" t="s">
        <v>74</v>
      </c>
      <c r="D9" s="4"/>
      <c r="E9" s="4">
        <f>D8</f>
        <v>622222.22222222225</v>
      </c>
    </row>
    <row r="11" spans="1:8" x14ac:dyDescent="0.2">
      <c r="A11" s="16" t="s">
        <v>75</v>
      </c>
    </row>
    <row r="12" spans="1:8" x14ac:dyDescent="0.2">
      <c r="A12" s="16" t="s">
        <v>76</v>
      </c>
    </row>
    <row r="23" spans="4:4" x14ac:dyDescent="0.2">
      <c r="D23" s="1" t="s">
        <v>117</v>
      </c>
    </row>
  </sheetData>
  <pageMargins left="0.7" right="0.7" top="0.75" bottom="0.75" header="0.3" footer="0.3"/>
  <pageSetup paperSize="9" scale="95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A23F-C864-F64D-831D-D163DF11BF1E}">
  <dimension ref="A1:H43"/>
  <sheetViews>
    <sheetView rightToLeft="1" topLeftCell="A19" zoomScale="233" zoomScaleNormal="138" zoomScaleSheetLayoutView="212" workbookViewId="0">
      <selection activeCell="A44" sqref="A44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2" t="s">
        <v>77</v>
      </c>
      <c r="B1" s="2"/>
      <c r="C1" s="2"/>
      <c r="D1" s="2"/>
      <c r="E1" s="2"/>
      <c r="F1" s="2"/>
      <c r="G1" s="2">
        <v>25</v>
      </c>
      <c r="H1" s="2" t="s">
        <v>23</v>
      </c>
    </row>
    <row r="3" spans="1:8" x14ac:dyDescent="0.2">
      <c r="B3" s="6" t="s">
        <v>81</v>
      </c>
      <c r="C3" s="6">
        <v>2022</v>
      </c>
      <c r="D3" s="6">
        <v>2023</v>
      </c>
      <c r="E3" s="6">
        <v>2024</v>
      </c>
    </row>
    <row r="4" spans="1:8" x14ac:dyDescent="0.2">
      <c r="B4" s="1" t="s">
        <v>78</v>
      </c>
      <c r="C4" s="5">
        <f>780*500*35/2</f>
        <v>6825000</v>
      </c>
      <c r="D4" s="5">
        <f>790*500*35*2/3-C4</f>
        <v>2391666.666666666</v>
      </c>
      <c r="E4" s="5">
        <f>770*500*35-D4-C4</f>
        <v>4258333.333333334</v>
      </c>
    </row>
    <row r="5" spans="1:8" x14ac:dyDescent="0.2">
      <c r="B5" s="1" t="s">
        <v>79</v>
      </c>
      <c r="C5" s="5">
        <f>680*50*200/3</f>
        <v>2266666.6666666665</v>
      </c>
      <c r="D5" s="5">
        <f>650*200*44*2/3-C5</f>
        <v>1546666.666666667</v>
      </c>
      <c r="E5" s="5">
        <f>620*200*52-C5-D5</f>
        <v>2634666.6666666665</v>
      </c>
    </row>
    <row r="6" spans="1:8" x14ac:dyDescent="0.2">
      <c r="B6" s="1" t="s">
        <v>80</v>
      </c>
      <c r="C6" s="5">
        <f>900*500*10/3</f>
        <v>1500000</v>
      </c>
      <c r="D6" s="5">
        <f>900*500*10/3</f>
        <v>1500000</v>
      </c>
      <c r="E6" s="5">
        <f>900*500*10/3</f>
        <v>1500000</v>
      </c>
    </row>
    <row r="8" spans="1:8" x14ac:dyDescent="0.2">
      <c r="A8" s="16" t="s">
        <v>82</v>
      </c>
    </row>
    <row r="9" spans="1:8" x14ac:dyDescent="0.2">
      <c r="A9" s="16" t="s">
        <v>83</v>
      </c>
    </row>
    <row r="27" spans="1:6" x14ac:dyDescent="0.2">
      <c r="C27" s="1" t="s">
        <v>120</v>
      </c>
    </row>
    <row r="29" spans="1:6" x14ac:dyDescent="0.2">
      <c r="A29" s="1" t="s">
        <v>121</v>
      </c>
    </row>
    <row r="30" spans="1:6" x14ac:dyDescent="0.2">
      <c r="A30" s="1">
        <v>2022</v>
      </c>
      <c r="C30" s="5">
        <f>780*500*35/2</f>
        <v>6825000</v>
      </c>
      <c r="F30" s="1" t="s">
        <v>122</v>
      </c>
    </row>
    <row r="31" spans="1:6" x14ac:dyDescent="0.2">
      <c r="A31" s="1">
        <v>2023</v>
      </c>
      <c r="C31" s="5">
        <f>790*500*35/3*2-C30</f>
        <v>2391666.666666666</v>
      </c>
      <c r="F31" s="1" t="s">
        <v>123</v>
      </c>
    </row>
    <row r="32" spans="1:6" x14ac:dyDescent="0.2">
      <c r="A32" s="1">
        <v>2024</v>
      </c>
      <c r="C32" s="5">
        <f>770*500*35-C30-C31</f>
        <v>4258333.333333334</v>
      </c>
      <c r="F32" s="1" t="s">
        <v>124</v>
      </c>
    </row>
    <row r="34" spans="1:6" x14ac:dyDescent="0.2">
      <c r="A34" s="1" t="s">
        <v>125</v>
      </c>
    </row>
    <row r="35" spans="1:6" x14ac:dyDescent="0.2">
      <c r="A35" s="1">
        <v>2022</v>
      </c>
      <c r="C35" s="5">
        <f>680*200*50/3</f>
        <v>2266666.6666666665</v>
      </c>
      <c r="F35" s="1" t="s">
        <v>126</v>
      </c>
    </row>
    <row r="36" spans="1:6" x14ac:dyDescent="0.2">
      <c r="A36" s="1">
        <v>2023</v>
      </c>
      <c r="C36" s="5">
        <f>650*200*44/3*2-C35</f>
        <v>1546666.666666667</v>
      </c>
      <c r="F36" s="1" t="s">
        <v>127</v>
      </c>
    </row>
    <row r="37" spans="1:6" x14ac:dyDescent="0.2">
      <c r="A37" s="1">
        <v>2024</v>
      </c>
      <c r="C37" s="5">
        <f>620*200*52-C35-C36</f>
        <v>2634666.6666666665</v>
      </c>
      <c r="F37" s="1" t="s">
        <v>128</v>
      </c>
    </row>
    <row r="39" spans="1:6" x14ac:dyDescent="0.2">
      <c r="A39" s="1" t="s">
        <v>129</v>
      </c>
    </row>
    <row r="40" spans="1:6" x14ac:dyDescent="0.2">
      <c r="A40" s="1">
        <v>2022</v>
      </c>
      <c r="C40" s="5">
        <f>900*500*10/3</f>
        <v>1500000</v>
      </c>
      <c r="F40" s="1" t="s">
        <v>130</v>
      </c>
    </row>
    <row r="41" spans="1:6" x14ac:dyDescent="0.2">
      <c r="A41" s="1">
        <v>2023</v>
      </c>
      <c r="C41" s="5">
        <f t="shared" ref="C41:C42" si="0">900*500*10/3</f>
        <v>1500000</v>
      </c>
      <c r="F41" s="1" t="s">
        <v>130</v>
      </c>
    </row>
    <row r="42" spans="1:6" x14ac:dyDescent="0.2">
      <c r="A42" s="1">
        <v>2024</v>
      </c>
      <c r="C42" s="5">
        <f t="shared" si="0"/>
        <v>1500000</v>
      </c>
      <c r="F42" s="1" t="s">
        <v>130</v>
      </c>
    </row>
    <row r="43" spans="1:6" x14ac:dyDescent="0.2">
      <c r="C43" s="5"/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653F-AB4F-2D40-98C3-45DD241E3FAE}">
  <dimension ref="A1:H16"/>
  <sheetViews>
    <sheetView rightToLeft="1" zoomScale="214" zoomScaleNormal="169" zoomScaleSheetLayoutView="213" workbookViewId="0">
      <selection activeCell="A18" sqref="A18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2" t="s">
        <v>84</v>
      </c>
      <c r="B1" s="2"/>
      <c r="C1" s="2"/>
      <c r="D1" s="2"/>
      <c r="E1" s="2"/>
      <c r="F1" s="2"/>
      <c r="G1" s="2">
        <v>7</v>
      </c>
      <c r="H1" s="2" t="s">
        <v>23</v>
      </c>
    </row>
    <row r="3" spans="1:8" x14ac:dyDescent="0.2">
      <c r="A3" s="1" t="s">
        <v>85</v>
      </c>
    </row>
    <row r="5" spans="1:8" x14ac:dyDescent="0.2">
      <c r="A5" s="1" t="s">
        <v>91</v>
      </c>
    </row>
    <row r="6" spans="1:8" x14ac:dyDescent="0.2">
      <c r="B6" s="1" t="s">
        <v>86</v>
      </c>
    </row>
    <row r="7" spans="1:8" x14ac:dyDescent="0.2">
      <c r="B7" s="1" t="s">
        <v>90</v>
      </c>
    </row>
    <row r="8" spans="1:8" x14ac:dyDescent="0.2">
      <c r="B8" s="1" t="s">
        <v>114</v>
      </c>
    </row>
    <row r="10" spans="1:8" x14ac:dyDescent="0.2">
      <c r="A10" s="1" t="s">
        <v>92</v>
      </c>
    </row>
    <row r="11" spans="1:8" x14ac:dyDescent="0.2">
      <c r="B11" s="1" t="s">
        <v>87</v>
      </c>
    </row>
    <row r="12" spans="1:8" x14ac:dyDescent="0.2">
      <c r="B12" s="1" t="s">
        <v>88</v>
      </c>
    </row>
    <row r="13" spans="1:8" x14ac:dyDescent="0.2">
      <c r="B13" s="1" t="s">
        <v>89</v>
      </c>
    </row>
    <row r="15" spans="1:8" x14ac:dyDescent="0.2">
      <c r="A15" s="16" t="s">
        <v>112</v>
      </c>
    </row>
    <row r="16" spans="1:8" x14ac:dyDescent="0.2">
      <c r="A16" s="16" t="s">
        <v>113</v>
      </c>
    </row>
  </sheetData>
  <pageMargins left="0.7" right="0.7" top="0.75" bottom="0.75" header="0.3" footer="0.3"/>
  <pageSetup paperSize="9" scale="9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1EE-8B05-6343-87BB-21FBF1AAB8B0}">
  <sheetPr>
    <pageSetUpPr fitToPage="1"/>
  </sheetPr>
  <dimension ref="A1:H50"/>
  <sheetViews>
    <sheetView rightToLeft="1" view="pageBreakPreview" topLeftCell="C1" zoomScale="165" zoomScaleNormal="150" workbookViewId="0">
      <selection activeCell="O40" sqref="O40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2" t="s">
        <v>93</v>
      </c>
      <c r="B1" s="2"/>
      <c r="C1" s="2"/>
      <c r="D1" s="2"/>
      <c r="E1" s="2"/>
      <c r="F1" s="2"/>
      <c r="G1" s="2">
        <v>12</v>
      </c>
      <c r="H1" s="2" t="s">
        <v>23</v>
      </c>
    </row>
    <row r="3" spans="1:8" x14ac:dyDescent="0.2">
      <c r="A3" s="1">
        <v>2022</v>
      </c>
      <c r="D3" s="1" t="s">
        <v>71</v>
      </c>
      <c r="E3" s="1" t="s">
        <v>72</v>
      </c>
    </row>
    <row r="4" spans="1:8" x14ac:dyDescent="0.2">
      <c r="B4" s="1" t="s">
        <v>73</v>
      </c>
      <c r="D4" s="4">
        <f>100*(12-2-3)/4*25</f>
        <v>4375</v>
      </c>
      <c r="E4" s="4"/>
      <c r="H4" s="1" t="str">
        <f ca="1">_xlfn.FORMULATEXT(D4)</f>
        <v>=100*(12-2-3)/4*25</v>
      </c>
    </row>
    <row r="5" spans="1:8" x14ac:dyDescent="0.2">
      <c r="B5" s="1" t="s">
        <v>74</v>
      </c>
      <c r="D5" s="4"/>
      <c r="E5" s="4">
        <f>D4</f>
        <v>4375</v>
      </c>
    </row>
    <row r="6" spans="1:8" x14ac:dyDescent="0.2">
      <c r="D6" s="4"/>
      <c r="E6" s="4"/>
    </row>
    <row r="7" spans="1:8" x14ac:dyDescent="0.2">
      <c r="B7" s="1" t="s">
        <v>94</v>
      </c>
      <c r="D7" s="4">
        <f>100*(12-2-3)/4*(35-20)*25%</f>
        <v>656.25</v>
      </c>
      <c r="E7" s="4"/>
      <c r="H7" s="1" t="str">
        <f ca="1">_xlfn.FORMULATEXT(D7)</f>
        <v>=100*(12-2-3)/4*(35-20)*25%</v>
      </c>
    </row>
    <row r="8" spans="1:8" x14ac:dyDescent="0.2">
      <c r="B8" s="1" t="s">
        <v>95</v>
      </c>
      <c r="D8" s="4"/>
      <c r="E8" s="4">
        <f>D7</f>
        <v>656.25</v>
      </c>
    </row>
    <row r="9" spans="1:8" x14ac:dyDescent="0.2">
      <c r="D9" s="4"/>
      <c r="E9" s="4"/>
    </row>
    <row r="10" spans="1:8" x14ac:dyDescent="0.2">
      <c r="A10" s="1">
        <v>2023</v>
      </c>
      <c r="B10" s="1" t="s">
        <v>73</v>
      </c>
      <c r="D10" s="4">
        <f>100*(12-2-1)/4*25*2-D4</f>
        <v>6875</v>
      </c>
      <c r="E10" s="4"/>
      <c r="H10" s="1" t="str">
        <f ca="1">_xlfn.FORMULATEXT(D10)</f>
        <v>=100*(12-2-1)/4*25*2-D4</v>
      </c>
    </row>
    <row r="11" spans="1:8" x14ac:dyDescent="0.2">
      <c r="B11" s="1" t="s">
        <v>74</v>
      </c>
      <c r="D11" s="4"/>
      <c r="E11" s="4">
        <f>D10</f>
        <v>6875</v>
      </c>
    </row>
    <row r="12" spans="1:8" x14ac:dyDescent="0.2">
      <c r="D12" s="4"/>
      <c r="E12" s="4"/>
    </row>
    <row r="13" spans="1:8" x14ac:dyDescent="0.2">
      <c r="B13" s="1" t="s">
        <v>94</v>
      </c>
      <c r="D13" s="4">
        <f>(100*(12-2-1)/4*20*2*25%-D7)</f>
        <v>1593.75</v>
      </c>
      <c r="E13" s="4"/>
      <c r="H13" s="1" t="str">
        <f ca="1">_xlfn.FORMULATEXT(D13)</f>
        <v>=(100*(12-2-1)/4*20*2*25%-D7)</v>
      </c>
    </row>
    <row r="14" spans="1:8" x14ac:dyDescent="0.2">
      <c r="B14" s="1" t="s">
        <v>95</v>
      </c>
      <c r="D14" s="4"/>
      <c r="E14" s="4">
        <f>D13</f>
        <v>1593.75</v>
      </c>
    </row>
    <row r="15" spans="1:8" x14ac:dyDescent="0.2">
      <c r="D15" s="4"/>
      <c r="E15" s="4"/>
    </row>
    <row r="16" spans="1:8" x14ac:dyDescent="0.2">
      <c r="A16" s="1">
        <v>2024</v>
      </c>
      <c r="B16" s="1" t="s">
        <v>73</v>
      </c>
      <c r="D16" s="4">
        <f>100*(12-2-1)/4*25*3-D10-D4</f>
        <v>5625</v>
      </c>
      <c r="E16" s="4"/>
      <c r="H16" s="1" t="str">
        <f ca="1">_xlfn.FORMULATEXT(D16)</f>
        <v>=100*(12-2-1)/4*25*3-D10-D4</v>
      </c>
    </row>
    <row r="17" spans="1:8" x14ac:dyDescent="0.2">
      <c r="B17" s="1" t="s">
        <v>74</v>
      </c>
      <c r="D17" s="4"/>
      <c r="E17" s="4">
        <f>D16</f>
        <v>5625</v>
      </c>
    </row>
    <row r="18" spans="1:8" x14ac:dyDescent="0.2">
      <c r="D18" s="4"/>
      <c r="E18" s="4"/>
    </row>
    <row r="19" spans="1:8" x14ac:dyDescent="0.2">
      <c r="B19" s="1" t="s">
        <v>94</v>
      </c>
      <c r="D19" s="4">
        <f>(100*(12-2-1)/4*25*3*25%-D13-D7)</f>
        <v>1968.75</v>
      </c>
      <c r="E19" s="4"/>
      <c r="H19" s="1" t="str">
        <f ca="1">_xlfn.FORMULATEXT(D19)</f>
        <v>=(100*(12-2-1)/4*25*3*25%-D13-D7)</v>
      </c>
    </row>
    <row r="20" spans="1:8" x14ac:dyDescent="0.2">
      <c r="B20" s="1" t="s">
        <v>95</v>
      </c>
      <c r="D20" s="4"/>
      <c r="E20" s="4">
        <f>D19</f>
        <v>1968.75</v>
      </c>
    </row>
    <row r="21" spans="1:8" x14ac:dyDescent="0.2">
      <c r="D21" s="4"/>
      <c r="E21" s="4"/>
    </row>
    <row r="22" spans="1:8" x14ac:dyDescent="0.2">
      <c r="B22" s="1" t="s">
        <v>94</v>
      </c>
      <c r="D22" s="4">
        <f>(100*(12-2-1)/4*28*3*25%-D19-D13-D7)</f>
        <v>506.25</v>
      </c>
      <c r="E22" s="4"/>
      <c r="H22" s="1" t="str">
        <f ca="1">_xlfn.FORMULATEXT(D22)</f>
        <v>=(100*(12-2-1)/4*28*3*25%-D19-D13-D7)</v>
      </c>
    </row>
    <row r="23" spans="1:8" x14ac:dyDescent="0.2">
      <c r="B23" s="1" t="s">
        <v>96</v>
      </c>
      <c r="D23" s="4"/>
      <c r="E23" s="4">
        <f>D22</f>
        <v>506.25</v>
      </c>
    </row>
    <row r="24" spans="1:8" x14ac:dyDescent="0.2">
      <c r="D24" s="4"/>
      <c r="E24" s="4"/>
    </row>
    <row r="25" spans="1:8" x14ac:dyDescent="0.2">
      <c r="A25" s="1">
        <v>2025</v>
      </c>
      <c r="B25" s="1" t="s">
        <v>73</v>
      </c>
      <c r="D25" s="4">
        <f>D16</f>
        <v>5625</v>
      </c>
      <c r="E25" s="4"/>
      <c r="H25" s="1" t="str">
        <f ca="1">_xlfn.FORMULATEXT(D25)</f>
        <v>=D16</v>
      </c>
    </row>
    <row r="26" spans="1:8" x14ac:dyDescent="0.2">
      <c r="B26" s="1" t="s">
        <v>74</v>
      </c>
      <c r="D26" s="4"/>
      <c r="E26" s="4">
        <f>D25</f>
        <v>5625</v>
      </c>
    </row>
    <row r="27" spans="1:8" x14ac:dyDescent="0.2">
      <c r="D27" s="4"/>
      <c r="E27" s="4"/>
    </row>
    <row r="28" spans="1:8" x14ac:dyDescent="0.2">
      <c r="B28" s="1" t="s">
        <v>94</v>
      </c>
      <c r="D28" s="4">
        <f>(100*(12-2-1)/4*25*4*25%-D7-D13-D19-D22)</f>
        <v>900</v>
      </c>
      <c r="E28" s="4"/>
      <c r="H28" s="1" t="str">
        <f ca="1">_xlfn.FORMULATEXT(D28)</f>
        <v>=(100*(12-2-1)/4*25*4*25%-D7-D13-D19-D22)</v>
      </c>
    </row>
    <row r="29" spans="1:8" x14ac:dyDescent="0.2">
      <c r="B29" s="1" t="s">
        <v>95</v>
      </c>
      <c r="D29" s="4"/>
      <c r="E29" s="4">
        <f>D28</f>
        <v>900</v>
      </c>
    </row>
    <row r="30" spans="1:8" x14ac:dyDescent="0.2">
      <c r="D30" s="4"/>
      <c r="E30" s="4"/>
    </row>
    <row r="31" spans="1:8" x14ac:dyDescent="0.2">
      <c r="B31" s="1" t="s">
        <v>94</v>
      </c>
      <c r="D31" s="4">
        <f>(100*(12-2-1)/4*35*4*25%-D7-D13-D19-D22-D28)</f>
        <v>2250</v>
      </c>
      <c r="E31" s="4"/>
      <c r="H31" s="1" t="str">
        <f ca="1">_xlfn.FORMULATEXT(D31)</f>
        <v>=(100*(12-2-1)/4*35*4*25%-D7-D13-D19-D22-D28)</v>
      </c>
    </row>
    <row r="32" spans="1:8" x14ac:dyDescent="0.2">
      <c r="B32" s="1" t="s">
        <v>96</v>
      </c>
      <c r="D32" s="4"/>
      <c r="E32" s="4">
        <f>D31</f>
        <v>2250</v>
      </c>
    </row>
    <row r="33" spans="2:8" x14ac:dyDescent="0.2">
      <c r="D33" s="4"/>
      <c r="E33" s="4"/>
    </row>
    <row r="34" spans="2:8" x14ac:dyDescent="0.2">
      <c r="B34" s="1" t="s">
        <v>101</v>
      </c>
      <c r="D34" s="4"/>
      <c r="E34" s="4"/>
    </row>
    <row r="35" spans="2:8" x14ac:dyDescent="0.2">
      <c r="B35" s="1" t="s">
        <v>102</v>
      </c>
      <c r="D35" s="4"/>
      <c r="E35" s="4"/>
    </row>
    <row r="36" spans="2:8" x14ac:dyDescent="0.2">
      <c r="D36" s="4"/>
      <c r="E36" s="4"/>
    </row>
    <row r="37" spans="2:8" x14ac:dyDescent="0.2">
      <c r="D37" s="4"/>
      <c r="E37" s="4"/>
    </row>
    <row r="38" spans="2:8" x14ac:dyDescent="0.2">
      <c r="D38" s="4"/>
      <c r="E38" s="4"/>
    </row>
    <row r="39" spans="2:8" x14ac:dyDescent="0.2">
      <c r="B39" s="1" t="s">
        <v>74</v>
      </c>
      <c r="D39" s="4">
        <f>E5+E11+E17+E26</f>
        <v>22500</v>
      </c>
      <c r="E39" s="4"/>
      <c r="H39" s="1" t="str">
        <f ca="1">_xlfn.FORMULATEXT(D39)</f>
        <v>=E5+E11+E17+E26</v>
      </c>
    </row>
    <row r="40" spans="2:8" x14ac:dyDescent="0.2">
      <c r="B40" s="1" t="s">
        <v>96</v>
      </c>
      <c r="D40" s="4">
        <f>E32+E23</f>
        <v>2756.25</v>
      </c>
      <c r="E40" s="4"/>
      <c r="H40" s="1" t="str">
        <f ca="1">_xlfn.FORMULATEXT(D40)</f>
        <v>=E32+E23</v>
      </c>
    </row>
    <row r="41" spans="2:8" x14ac:dyDescent="0.2">
      <c r="B41" s="1" t="s">
        <v>97</v>
      </c>
      <c r="D41" s="4">
        <f>(12-2-1)*100*20</f>
        <v>18000</v>
      </c>
      <c r="E41" s="4"/>
      <c r="H41" s="1" t="str">
        <f ca="1">_xlfn.FORMULATEXT(D41)</f>
        <v>=(12-2-1)*100*20</v>
      </c>
    </row>
    <row r="42" spans="2:8" x14ac:dyDescent="0.2">
      <c r="B42" s="1" t="s">
        <v>98</v>
      </c>
      <c r="D42" s="4"/>
      <c r="E42" s="4">
        <f>(12-2-1)*100*1</f>
        <v>900</v>
      </c>
    </row>
    <row r="43" spans="2:8" x14ac:dyDescent="0.2">
      <c r="B43" s="1" t="s">
        <v>99</v>
      </c>
      <c r="D43" s="4"/>
      <c r="E43" s="4">
        <f>D39+D40+D41-E42</f>
        <v>42356.25</v>
      </c>
    </row>
    <row r="44" spans="2:8" x14ac:dyDescent="0.2">
      <c r="D44" s="4"/>
      <c r="E44" s="4"/>
    </row>
    <row r="45" spans="2:8" x14ac:dyDescent="0.2">
      <c r="B45" s="1" t="s">
        <v>95</v>
      </c>
      <c r="D45" s="4">
        <f>D31+D28+D22+D19+D13+D7</f>
        <v>7875</v>
      </c>
      <c r="E45" s="4"/>
      <c r="H45" s="1" t="str">
        <f ca="1">_xlfn.FORMULATEXT(D45)</f>
        <v>=D31+D28+D22+D19+D13+D7</v>
      </c>
    </row>
    <row r="46" spans="2:8" x14ac:dyDescent="0.2">
      <c r="B46" s="1" t="s">
        <v>94</v>
      </c>
      <c r="D46" s="4"/>
      <c r="E46" s="4">
        <f>D45</f>
        <v>7875</v>
      </c>
    </row>
    <row r="48" spans="2:8" x14ac:dyDescent="0.2">
      <c r="B48" s="14" t="s">
        <v>36</v>
      </c>
      <c r="C48" s="3" t="s">
        <v>103</v>
      </c>
      <c r="D48" s="3"/>
      <c r="E48" s="3"/>
      <c r="F48" s="3"/>
      <c r="G48" s="3"/>
    </row>
    <row r="49" spans="2:7" x14ac:dyDescent="0.2">
      <c r="B49" s="15"/>
      <c r="C49" s="3" t="s">
        <v>108</v>
      </c>
      <c r="D49" s="16"/>
      <c r="E49" s="16"/>
      <c r="F49" s="16"/>
      <c r="G49" s="16"/>
    </row>
    <row r="50" spans="2:7" x14ac:dyDescent="0.2">
      <c r="B50" s="16"/>
      <c r="C50" s="3" t="s">
        <v>109</v>
      </c>
      <c r="D50" s="16"/>
      <c r="E50" s="16"/>
      <c r="F50" s="16"/>
      <c r="G50" s="16"/>
    </row>
  </sheetData>
  <pageMargins left="0.7" right="0.7" top="0.75" bottom="0.75" header="0.3" footer="0.3"/>
  <pageSetup paperSize="9" scale="69" fitToHeight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שאלה 1</vt:lpstr>
      <vt:lpstr>שאלה 2</vt:lpstr>
      <vt:lpstr>שאלה 3</vt:lpstr>
      <vt:lpstr>שאלה 4</vt:lpstr>
      <vt:lpstr>שאלה 5</vt:lpstr>
      <vt:lpstr>שאלה 6</vt:lpstr>
      <vt:lpstr>שאלה 7</vt:lpstr>
      <vt:lpstr>שאלה 8</vt:lpstr>
      <vt:lpstr>'שאלה 3'!Print_Area</vt:lpstr>
      <vt:lpstr>'שאלה 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cp:lastPrinted>2024-04-04T14:37:46Z</cp:lastPrinted>
  <dcterms:created xsi:type="dcterms:W3CDTF">2024-03-23T20:42:45Z</dcterms:created>
  <dcterms:modified xsi:type="dcterms:W3CDTF">2025-01-22T16:09:07Z</dcterms:modified>
</cp:coreProperties>
</file>