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vcac-my.sharepoint.com/personal/shayt_yvc_ac_il/Documents/Ariel ACC - Measurement A/"/>
    </mc:Choice>
  </mc:AlternateContent>
  <xr:revisionPtr revIDLastSave="563" documentId="13_ncr:1_{99020B07-E99E-DF4E-AC3F-E4534F0B2213}" xr6:coauthVersionLast="47" xr6:coauthVersionMax="47" xr10:uidLastSave="{5776CA14-84CA-9649-ABF3-6AD6A2883B06}"/>
  <bookViews>
    <workbookView xWindow="0" yWindow="0" windowWidth="51200" windowHeight="32000" activeTab="3" xr2:uid="{B5E2D54B-B2E5-5149-A956-6397279BA539}"/>
  </bookViews>
  <sheets>
    <sheet name="שאלה 1" sheetId="1" r:id="rId1"/>
    <sheet name="שאלה 2" sheetId="2" r:id="rId2"/>
    <sheet name="שאלה 3" sheetId="3" r:id="rId3"/>
    <sheet name="שאלה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D23" i="4"/>
  <c r="D22" i="4"/>
  <c r="D21" i="4"/>
  <c r="D17" i="4"/>
  <c r="C20" i="4"/>
  <c r="D20" i="4" s="1"/>
  <c r="C19" i="4"/>
  <c r="D19" i="4" s="1"/>
  <c r="C18" i="4"/>
  <c r="D18" i="4" s="1"/>
  <c r="E10" i="4"/>
  <c r="E9" i="4"/>
  <c r="E11" i="4" s="1"/>
  <c r="E13" i="4" s="1"/>
  <c r="B45" i="4"/>
  <c r="E3" i="4" s="1"/>
  <c r="E6" i="4" l="1"/>
  <c r="D6" i="3"/>
  <c r="D10" i="3" s="1"/>
  <c r="D13" i="3" s="1"/>
  <c r="D5" i="3"/>
  <c r="B49" i="3"/>
  <c r="F41" i="3"/>
  <c r="D49" i="3" s="1"/>
  <c r="E41" i="3"/>
  <c r="C49" i="3" s="1"/>
  <c r="D38" i="3"/>
  <c r="C41" i="3"/>
  <c r="C39" i="3"/>
  <c r="D39" i="3" s="1"/>
  <c r="E39" i="3" s="1"/>
  <c r="F39" i="3" s="1"/>
  <c r="B37" i="3"/>
  <c r="C37" i="3" s="1"/>
  <c r="D37" i="3" s="1"/>
  <c r="D24" i="3" l="1"/>
  <c r="D40" i="3"/>
  <c r="E37" i="3"/>
  <c r="B45" i="3"/>
  <c r="D25" i="3" s="1"/>
  <c r="C40" i="3"/>
  <c r="D7" i="3" l="1"/>
  <c r="D27" i="3" s="1"/>
  <c r="C45" i="3"/>
  <c r="B48" i="3"/>
  <c r="C48" i="3" s="1"/>
  <c r="D48" i="3" s="1"/>
  <c r="D9" i="3"/>
  <c r="E40" i="3"/>
  <c r="D12" i="3" s="1"/>
  <c r="F37" i="3"/>
  <c r="F40" i="3" s="1"/>
  <c r="D15" i="3" s="1"/>
  <c r="D14" i="3" l="1"/>
  <c r="F26" i="3" s="1"/>
  <c r="D11" i="3"/>
  <c r="E26" i="3" s="1"/>
  <c r="D8" i="3"/>
  <c r="D26" i="3" s="1"/>
  <c r="B50" i="3"/>
  <c r="D20" i="3" s="1"/>
  <c r="D21" i="3" s="1"/>
  <c r="D45" i="3"/>
  <c r="D50" i="3" s="1"/>
  <c r="F20" i="3" s="1"/>
  <c r="F21" i="3" s="1"/>
  <c r="C50" i="3"/>
  <c r="E20" i="3" s="1"/>
  <c r="E21" i="3" s="1"/>
  <c r="J18" i="2" l="1"/>
  <c r="K17" i="2"/>
  <c r="D17" i="2"/>
  <c r="D16" i="2"/>
  <c r="D15" i="2"/>
  <c r="H124" i="2"/>
  <c r="G115" i="2"/>
  <c r="G118" i="2" s="1"/>
  <c r="H113" i="2"/>
  <c r="L14" i="2" s="1"/>
  <c r="G78" i="2"/>
  <c r="H79" i="2" s="1"/>
  <c r="H76" i="2"/>
  <c r="D7" i="2" s="1"/>
  <c r="I12" i="2" s="1"/>
  <c r="K12" i="2" s="1"/>
  <c r="I10" i="2"/>
  <c r="K10" i="2" s="1"/>
  <c r="G66" i="2"/>
  <c r="G69" i="2" s="1"/>
  <c r="H64" i="2"/>
  <c r="H61" i="2"/>
  <c r="H52" i="2"/>
  <c r="L9" i="2" s="1"/>
  <c r="I16" i="2" l="1"/>
  <c r="K16" i="2" s="1"/>
  <c r="H119" i="2"/>
  <c r="H116" i="2"/>
  <c r="L15" i="2" s="1"/>
  <c r="G81" i="2"/>
  <c r="G84" i="2" s="1"/>
  <c r="H85" i="2" s="1"/>
  <c r="I13" i="2" s="1"/>
  <c r="K13" i="2" s="1"/>
  <c r="H70" i="2"/>
  <c r="D13" i="2"/>
  <c r="G72" i="2"/>
  <c r="H73" i="2" s="1"/>
  <c r="I11" i="2" s="1"/>
  <c r="H67" i="2"/>
  <c r="K11" i="2" l="1"/>
  <c r="K18" i="2" s="1"/>
  <c r="H82" i="2"/>
  <c r="D14" i="2"/>
  <c r="H33" i="2" l="1"/>
  <c r="D6" i="2" s="1"/>
  <c r="D12" i="2"/>
  <c r="D18" i="2" s="1"/>
  <c r="G29" i="2"/>
  <c r="H30" i="2" s="1"/>
  <c r="D8" i="2" s="1"/>
  <c r="H27" i="2"/>
  <c r="H24" i="2"/>
  <c r="L7" i="2" s="1"/>
  <c r="C30" i="1"/>
  <c r="C29" i="1"/>
  <c r="C13" i="1"/>
  <c r="D94" i="1"/>
  <c r="D93" i="1"/>
  <c r="C93" i="1"/>
  <c r="C95" i="1" s="1"/>
  <c r="D83" i="1"/>
  <c r="D85" i="1" s="1"/>
  <c r="C83" i="1"/>
  <c r="C85" i="1" s="1"/>
  <c r="C87" i="1" s="1"/>
  <c r="I10" i="1" s="1"/>
  <c r="D86" i="1"/>
  <c r="C20" i="1"/>
  <c r="D77" i="1"/>
  <c r="D78" i="1"/>
  <c r="C77" i="1"/>
  <c r="C79" i="1" s="1"/>
  <c r="I9" i="1" s="1"/>
  <c r="I12" i="1" s="1"/>
  <c r="D68" i="1"/>
  <c r="D69" i="1" s="1"/>
  <c r="C68" i="1"/>
  <c r="C69" i="1" s="1"/>
  <c r="C71" i="1" s="1"/>
  <c r="J8" i="1" s="1"/>
  <c r="D70" i="1"/>
  <c r="E58" i="1"/>
  <c r="E57" i="1"/>
  <c r="C51" i="1"/>
  <c r="D50" i="1"/>
  <c r="D52" i="1" s="1"/>
  <c r="C50" i="1"/>
  <c r="D53" i="1"/>
  <c r="D45" i="1"/>
  <c r="D43" i="1"/>
  <c r="C43" i="1"/>
  <c r="D42" i="1"/>
  <c r="C42" i="1"/>
  <c r="L8" i="2" l="1"/>
  <c r="L18" i="2"/>
  <c r="D9" i="2"/>
  <c r="D20" i="2" s="1"/>
  <c r="I17" i="2" s="1"/>
  <c r="I18" i="2" s="1"/>
  <c r="D95" i="1"/>
  <c r="L11" i="1" s="1"/>
  <c r="C44" i="1"/>
  <c r="D54" i="1"/>
  <c r="L7" i="1" s="1"/>
  <c r="E59" i="1"/>
  <c r="C18" i="1" s="1"/>
  <c r="D71" i="1"/>
  <c r="L8" i="1" s="1"/>
  <c r="D87" i="1"/>
  <c r="K10" i="1" s="1"/>
  <c r="C10" i="1"/>
  <c r="C46" i="1"/>
  <c r="J6" i="1" s="1"/>
  <c r="D79" i="1"/>
  <c r="K9" i="1" s="1"/>
  <c r="D44" i="1"/>
  <c r="D46" i="1" s="1"/>
  <c r="L6" i="1" s="1"/>
  <c r="C9" i="1"/>
  <c r="C21" i="1"/>
  <c r="C52" i="1"/>
  <c r="L12" i="1" l="1"/>
  <c r="K12" i="1"/>
  <c r="C17" i="1"/>
  <c r="C54" i="1"/>
  <c r="J7" i="1" s="1"/>
  <c r="J12" i="1" s="1"/>
  <c r="E62" i="1"/>
  <c r="E63" i="1" s="1"/>
  <c r="C8" i="1" s="1"/>
  <c r="C24" i="1" s="1"/>
  <c r="C28" i="1" s="1"/>
  <c r="C32" i="1" s="1"/>
  <c r="C34" i="1" l="1"/>
  <c r="C36" i="1" s="1"/>
</calcChain>
</file>

<file path=xl/sharedStrings.xml><?xml version="1.0" encoding="utf-8"?>
<sst xmlns="http://schemas.openxmlformats.org/spreadsheetml/2006/main" count="271" uniqueCount="201">
  <si>
    <t>נתון 1 - מכונת נקניק</t>
  </si>
  <si>
    <t>ערך ספרים</t>
  </si>
  <si>
    <t>בסיס המס</t>
  </si>
  <si>
    <t>הפרש זמני ניתן לניכוי</t>
  </si>
  <si>
    <t>הפרש זמני חייב במס</t>
  </si>
  <si>
    <t>שיעור המס</t>
  </si>
  <si>
    <t>התחייבות למס נדחה</t>
  </si>
  <si>
    <t>דוח התאמה למס הכנסה - 2023</t>
  </si>
  <si>
    <t>יתרות מס נדחה</t>
  </si>
  <si>
    <t>נכס מס נדחה</t>
  </si>
  <si>
    <t>רווח חשבונאי לפני מס</t>
  </si>
  <si>
    <t>נתון 2 - מחשבי Macbook</t>
  </si>
  <si>
    <t>הוסף:</t>
  </si>
  <si>
    <t>נכה:</t>
  </si>
  <si>
    <t>פחת מואץ מכונת נקניק</t>
  </si>
  <si>
    <t>נתון 2 - מחשב Macbook</t>
  </si>
  <si>
    <t>בנתון זה מסתתר ״טריק״ שנובע מכך שיש שני סוגי פערים בין רשות המסים לבין החברה:</t>
  </si>
  <si>
    <t>א. הפרשי פחת - החברה רשמה פחת בסך של</t>
  </si>
  <si>
    <t xml:space="preserve">    רשות המסים רשמה פחת בסך של</t>
  </si>
  <si>
    <t xml:space="preserve">    סך הכל עודף פחת לצורך מס (״הפחת״)</t>
  </si>
  <si>
    <t>פחת מואץ מחשבי Mac</t>
  </si>
  <si>
    <t>ב. הפרשי רווח הון - החברה רשמה רווח הון של</t>
  </si>
  <si>
    <t xml:space="preserve">   רווח הון עודף לצורך מס - התאמה חיובית</t>
  </si>
  <si>
    <t xml:space="preserve">    רשות המסים רשמה רווח הון של</t>
  </si>
  <si>
    <t>רווח הון לצורך מס</t>
  </si>
  <si>
    <t>נתון 3 - מבנה משרדים</t>
  </si>
  <si>
    <t>נתון 4 - מלאי</t>
  </si>
  <si>
    <t>רווח מעליית ערך נדל״ן</t>
  </si>
  <si>
    <t>הוצאות פחת נדל״ן</t>
  </si>
  <si>
    <t>נתון 3 - נדל״ן להשקעה</t>
  </si>
  <si>
    <t>ירידת ערך מלאי</t>
  </si>
  <si>
    <t>נתון 5 - הפרשה לחובות מסופקים</t>
  </si>
  <si>
    <t>הוצאות הלח״מ</t>
  </si>
  <si>
    <t>נתון 6 - הכנסות על בסיס מזומן</t>
  </si>
  <si>
    <t>נתון 5 - הלח״מ</t>
  </si>
  <si>
    <t>נתון 6 - הכנסות במזומן</t>
  </si>
  <si>
    <t>הכנסות משירות</t>
  </si>
  <si>
    <t>הכנסה בשיעור מס שונה</t>
  </si>
  <si>
    <t>הוצאות רכב</t>
  </si>
  <si>
    <t>אירוח</t>
  </si>
  <si>
    <t>כיבודים</t>
  </si>
  <si>
    <t>תרומות</t>
  </si>
  <si>
    <t>ה״ח במס חברות</t>
  </si>
  <si>
    <t>שיעור מס חברות</t>
  </si>
  <si>
    <t>מס חברות לתשלום ברוטו</t>
  </si>
  <si>
    <t>מס בגין הכנסות משירות</t>
  </si>
  <si>
    <t>זיכוי בגין תרומות</t>
  </si>
  <si>
    <t>מס שוטף לתשלום</t>
  </si>
  <si>
    <t>תנועה במסים נדחים</t>
  </si>
  <si>
    <t>סה״כ</t>
  </si>
  <si>
    <t>פירוטים:</t>
  </si>
  <si>
    <t>הוצאות מס ברוו״ה</t>
  </si>
  <si>
    <t>דוח על השינויים בנכסים נטו</t>
  </si>
  <si>
    <t>מס׳ פקודה</t>
  </si>
  <si>
    <t>חובה</t>
  </si>
  <si>
    <t>זכות</t>
  </si>
  <si>
    <t>מזומן</t>
  </si>
  <si>
    <t>נכסים נטו שקיימת לגביהם הגבלה</t>
  </si>
  <si>
    <t>הוצאות חלוקת מחשבים</t>
  </si>
  <si>
    <t>הכנסות שחרור מהגבלה</t>
  </si>
  <si>
    <t>דוח על הפעילויות</t>
  </si>
  <si>
    <t>מחזור הפעילות</t>
  </si>
  <si>
    <t>עלות הפעילות</t>
  </si>
  <si>
    <t>עודף הכנסות על הוצאות</t>
  </si>
  <si>
    <t>הכנסות מתרומות</t>
  </si>
  <si>
    <t>הכנסות - קבלת נכסים ללא תמורה</t>
  </si>
  <si>
    <t>חייבים</t>
  </si>
  <si>
    <t>שימו לב! הפרשנות לפיה יש לצאת מנקודת הנחה לפיה העברת הסכומים בעתיד הרחוק נובעת</t>
  </si>
  <si>
    <t>מהגבלה מסוימת של התורם, איננה מחייבת על פי התקן, אך אפשרית. לאור זאת, התקבלו גם</t>
  </si>
  <si>
    <t>נכסים לא מוגבלים</t>
  </si>
  <si>
    <t>שלא יועדו</t>
  </si>
  <si>
    <t>שיועדו</t>
  </si>
  <si>
    <t>ששימשו לר״ק</t>
  </si>
  <si>
    <t>נכסים</t>
  </si>
  <si>
    <t>מוגבלים</t>
  </si>
  <si>
    <t>פרטים</t>
  </si>
  <si>
    <t>נתון 1 - תרומה לטובת מחשבים</t>
  </si>
  <si>
    <t>נתון 2 - מיצוי תרומת מחשבים</t>
  </si>
  <si>
    <t>נתון 4 - תרומה מותנית בזמן</t>
  </si>
  <si>
    <t xml:space="preserve">מדובר בהבטחת תורם שהתנאים לקבלתה טרם התקיימו ולכן אין להכיר בה. </t>
  </si>
  <si>
    <t>מחשבים</t>
  </si>
  <si>
    <t>נכסים נטו לא מוגבלים שלא יועדו</t>
  </si>
  <si>
    <t>נכסים נטו לא מוגבלים ששימשו לרכוש קבוע</t>
  </si>
  <si>
    <t>הוצאות פחת</t>
  </si>
  <si>
    <t>פחת נצבר מחשבים</t>
  </si>
  <si>
    <t>הוצאות פחת מחשבים</t>
  </si>
  <si>
    <t>נתון 7.1 - רכש מחשבים</t>
  </si>
  <si>
    <t>נתון 7.2 - כיסוי הוצאות פחת</t>
  </si>
  <si>
    <t>כלי רכב</t>
  </si>
  <si>
    <t>הכנסות - נכסים ללא תמורה</t>
  </si>
  <si>
    <t>סעיף זה הוא מורכב עקרונית, שהרי ניתן לפרש את ייעוד המכונית לשימוש המנכ״ל כייעוד כללי</t>
  </si>
  <si>
    <t>שאיננו עונה להגדרת מגבלה, במיוחד אם אין הנחיות נוספות או תנאים מגבילים מצד התורם.</t>
  </si>
  <si>
    <t>פרשנות א: ייעוד כללי (ללא מגבלה) - ניתן לטעון שייעוד המכונית לשימוש המנכ״ל הוא למעשה</t>
  </si>
  <si>
    <t>ייעוד כללי לטובת פעילות העמותה, שכן המנכ״ל הוא הדמות המרכזית האחראית על הובלת</t>
  </si>
  <si>
    <t>העמותה ומימוש מטרותיה.</t>
  </si>
  <si>
    <t xml:space="preserve">משום כך, בהיעדר הנחיות ספציפיות נוספות מהתורם, ניתן לראות בכך ייעוד כללי שאיננו </t>
  </si>
  <si>
    <t xml:space="preserve">מגביל את השימוש בנכס. במקרה כזה, יש להכיר בשווי המכונית כהכנסה ולהציג את הנכס </t>
  </si>
  <si>
    <t>במסגרת הנכסים נטו שלא קיימת לגביהם הגבלה.</t>
  </si>
  <si>
    <t>פרשנות ב: ייעוד ספציפי (מגבלה) - ניתן לפרש את ייעוד המכונית לשימוש המנכ״ל כהגבלה,</t>
  </si>
  <si>
    <t xml:space="preserve">שכן התורם ציין במפורש את ייעוד הנכס לשימוש ספציפי (המנכ״ל) ולא לשימוש כללי </t>
  </si>
  <si>
    <t xml:space="preserve">של העמותה. במקרה כזה, יש להתייחס לתרומה כנכסים נטו מוגבלים. </t>
  </si>
  <si>
    <t>הפרשנות הסבירה יותר תלויה בנסיבות הספציפיות ובכוונת התורם. בהיעדר פרטים נוספים,</t>
  </si>
  <si>
    <t xml:space="preserve">נראה כי הפרשנות הראשונה עשויה להיות סבירה יותר, שכן ייעוד הנכס לשימוש המנכ״ל </t>
  </si>
  <si>
    <t>משרת בסופו של דבר את מטרות העמותה באופן כללי.</t>
  </si>
  <si>
    <t>עם זאת, אם היו אינדיקציות נוספות המצביעות על כוונה של התורם להגביל את השימוש בנכס,</t>
  </si>
  <si>
    <t>יש מקום לפרשנות השניה.</t>
  </si>
  <si>
    <t xml:space="preserve">בכל מקרה, חשוב שהעמותה תפעיל שיקול דעת ותבחן את מכלול הנסיבות והמידע הזמין </t>
  </si>
  <si>
    <t>בקבלת החלטה לגבי הטיפול החשבונאי המתאים.</t>
  </si>
  <si>
    <t>נתון 8.1 - קבלת מכונית</t>
  </si>
  <si>
    <t>פחת נצבר כלי רכב</t>
  </si>
  <si>
    <t>הוצאות פחת רכב</t>
  </si>
  <si>
    <t>נתון 8.2 - כיסוי הוצאות פחת</t>
  </si>
  <si>
    <t>מבנה משרדים</t>
  </si>
  <si>
    <t>נכסים נטו שקיימת לגביהם הגבלה / מוגבלים</t>
  </si>
  <si>
    <t>נכסים נטו מוגבלים</t>
  </si>
  <si>
    <t>נתון 9.1 - קבלת מבנה משרדים</t>
  </si>
  <si>
    <t>נתון 9.2 - שחרור יחסי מהגבלה</t>
  </si>
  <si>
    <t>נכיסם נטו לא מוגבלים ששימשו לר״ק</t>
  </si>
  <si>
    <t>נתון 9.3 - סיווג לרכוש קבוע</t>
  </si>
  <si>
    <t>הוצאות שכר ומשכורות</t>
  </si>
  <si>
    <t>הוצאות תפעול</t>
  </si>
  <si>
    <t>הוצאות שיווק</t>
  </si>
  <si>
    <t>סך ההכנסות</t>
  </si>
  <si>
    <t>סך עלות הפעילות</t>
  </si>
  <si>
    <t>סעיף 50 בתקן קובע את התנאים הבאים להכרה בתרומה כהכנסה:</t>
  </si>
  <si>
    <t>א. למלכ״ר צפויה הזכות לקבל את התרומה.</t>
  </si>
  <si>
    <t>ב. ניתן לאמוד את סכום התרומה באופן סביר.</t>
  </si>
  <si>
    <t xml:space="preserve">ג. צפוי שהתרומה תתקבל. </t>
  </si>
  <si>
    <t xml:space="preserve">במקרה הנדון, נחתם הסכם מחייב ביום 1.7.2023 בין המיליונר לעמותה, לפיו המליונר </t>
  </si>
  <si>
    <t>התחייב להעביר סכום של 90,000 ש״ח לטובת הפעילויות השוטפות של העמותה. לכן,</t>
  </si>
  <si>
    <t>מתקיימים שני התנאים הראשונים:</t>
  </si>
  <si>
    <t>א. לעמותה יש זכות חוזית לקבל את התרומה מכח ההסכם.</t>
  </si>
  <si>
    <t>ב. סכום התרומה ידוע ומוגדר - 90,000 ש״ח.</t>
  </si>
  <si>
    <t>לגבי התנאי השלישי, למרות שהמזומן טרם התקבל בפועל עד לתום השנה, העובדה שמדובר</t>
  </si>
  <si>
    <t>בהתחייבות חוזית של תורם בעל יכולת פיננסית (מיליונר) מספקת ביטחון סביר שהתרומה</t>
  </si>
  <si>
    <t xml:space="preserve">אכן תתקבל בעתיד הנראה לעין. </t>
  </si>
  <si>
    <t>יתירה מכך, סעיף 81 בתקן מורה: ״תרומות שהובטחו למלכ״ר עד לתאריך המאזן אך טרם נתקבלו,</t>
  </si>
  <si>
    <t xml:space="preserve">יוכרו כהכנסות בתקופה שבה הובטחו ויירשמו כחייבים״. </t>
  </si>
  <si>
    <t>לפיכך יש להכיר בהכנסה, ולא ניתן לקבל פרשנות חלופית.</t>
  </si>
  <si>
    <t>בכל מקרה לא התקבלה פרשנות המתעלמת מהאירוע. המכונית לא נתרמה ישירות למנכ״ל</t>
  </si>
  <si>
    <t xml:space="preserve">אלא לעמותה וחייבים להביא אותה לידי ביטוי. </t>
  </si>
  <si>
    <r>
      <t xml:space="preserve">לפיכך, התקבלו שתי פרשנויות אפשריות, </t>
    </r>
    <r>
      <rPr>
        <b/>
        <u/>
        <sz val="12"/>
        <color theme="1"/>
        <rFont val="David"/>
      </rPr>
      <t>כתלות בהנמקה/הנחת הפתרון המפורשת של הפותר/ת</t>
    </r>
    <r>
      <rPr>
        <sz val="12"/>
        <color theme="1"/>
        <rFont val="David"/>
      </rPr>
      <t>:</t>
    </r>
  </si>
  <si>
    <t xml:space="preserve">פרשנויות שייחסו את הערך להכנסות מתרומה. בכל מקרה אין להתעלם. </t>
  </si>
  <si>
    <t>ריכוז המענה - שאלה 1: מסים על ההכנסה</t>
  </si>
  <si>
    <t>ריכוז המענה - שאלה 2: מלכ״רים</t>
  </si>
  <si>
    <t>ריכוז המענה - שאלה 3 - חכירות</t>
  </si>
  <si>
    <t xml:space="preserve">חכירה מימונית - לאור תקופת ההסכם ביחס לאורך החיים. </t>
  </si>
  <si>
    <t xml:space="preserve">כמו כן, המחכיר סוחר, והנכס חוזר לבעלותו בתום תקופת החכירה. </t>
  </si>
  <si>
    <t>rate</t>
  </si>
  <si>
    <t>nper</t>
  </si>
  <si>
    <t>pmt</t>
  </si>
  <si>
    <t>pv</t>
  </si>
  <si>
    <t>fv</t>
  </si>
  <si>
    <t>לפני שינוי</t>
  </si>
  <si>
    <t>אחרי שינוי</t>
  </si>
  <si>
    <t>יתרות השקעה:</t>
  </si>
  <si>
    <t>פיצול לשוטף ולא שוטף:</t>
  </si>
  <si>
    <t>per</t>
  </si>
  <si>
    <t>ppmt</t>
  </si>
  <si>
    <t>תנועה בהשקעה נטו בחכירה:</t>
  </si>
  <si>
    <t>השקעה נטו בחכירה</t>
  </si>
  <si>
    <t>תקבול</t>
  </si>
  <si>
    <t>הפסד מירידת ערך שייר</t>
  </si>
  <si>
    <t>הכנסות מימון</t>
  </si>
  <si>
    <t>דיווח כספי:</t>
  </si>
  <si>
    <t>הדוח על המצב הכספי</t>
  </si>
  <si>
    <t>השקעה נטו בחכירה כנכס שוטף</t>
  </si>
  <si>
    <t>השקעה נטו בחכירה כנכס לא שוטף</t>
  </si>
  <si>
    <t>דוח רווחח והפסד</t>
  </si>
  <si>
    <t>מכירות</t>
  </si>
  <si>
    <t>עלות המכר</t>
  </si>
  <si>
    <t>מידע נוסף:</t>
  </si>
  <si>
    <t>ריכוז המענה - שאלה 4 - היוון עלויות אשראי</t>
  </si>
  <si>
    <t>תאריך</t>
  </si>
  <si>
    <t>יציאה</t>
  </si>
  <si>
    <t>הוסף: היוון בגין אשראי ספציפי</t>
  </si>
  <si>
    <t>עלות הנכס לפני היוון עלויות אשראי:</t>
  </si>
  <si>
    <t>סך עלות הנכס ליום 31/12/2023</t>
  </si>
  <si>
    <t>סך עלות אשראי לא ספציפי:</t>
  </si>
  <si>
    <t>הלוואה מיום 1/1/2023</t>
  </si>
  <si>
    <t>סך הוצאות המימון בגין אשראי לא ספציפי</t>
  </si>
  <si>
    <t>צריך להישען על גישת הריבית האפקטיבית.</t>
  </si>
  <si>
    <r>
      <t xml:space="preserve">כמו כן, לגבי הלוואה מסעיף 6, לא ניתן להניח שהיא ספציפית. כאשר לא ידוע או לא ניתן לקבוע </t>
    </r>
    <r>
      <rPr>
        <b/>
        <sz val="12"/>
        <color theme="1"/>
        <rFont val="David"/>
      </rPr>
      <t>בבירור</t>
    </r>
    <r>
      <rPr>
        <sz val="12"/>
        <color theme="1"/>
        <rFont val="David"/>
      </rPr>
      <t xml:space="preserve"> שההלוואה</t>
    </r>
  </si>
  <si>
    <t>נלקחה ספציפית לטובת הנכס הכשיר, יש להניח שמדובר בהלוואה כללית ולחשב את עלויות האשראי הניתנות</t>
  </si>
  <si>
    <t>להיוון בהתאם לשיעור ההיוון הממוצע המשוקלל של החברה.</t>
  </si>
  <si>
    <r>
      <t xml:space="preserve">רק אם ניתן </t>
    </r>
    <r>
      <rPr>
        <b/>
        <sz val="12"/>
        <color theme="1"/>
        <rFont val="David"/>
      </rPr>
      <t>להוכיח</t>
    </r>
    <r>
      <rPr>
        <sz val="12"/>
        <color theme="1"/>
        <rFont val="David"/>
      </rPr>
      <t xml:space="preserve"> קשר ברור וישיר בין ההלוואה לבין מימון הנכס הכשיר, ניתן לטפל בהלוואה כספציפית.</t>
    </r>
  </si>
  <si>
    <t>שיעור היוון משוקלל:</t>
  </si>
  <si>
    <t>זמן</t>
  </si>
  <si>
    <t>משוקלל</t>
  </si>
  <si>
    <t>בניכוי אשראי לא ספציפי</t>
  </si>
  <si>
    <t>עלות הנכס</t>
  </si>
  <si>
    <t>לגבי עלות הנכס הכוללת, הרי שלמרות שלשם קביעת סכומי אשראי משוקללים אין צורך להתייחס לערכים</t>
  </si>
  <si>
    <t>שאינם במזומן, לרבות התחייבות לספק שירותי ההקמה, הרי שבאופן כללי, כמובן שיש לייחס לנכס עלויות</t>
  </si>
  <si>
    <t>שנתהוו בגין הקמתו, גם אם טרם שולמו. לכן, העלות הכוללת של הנכס לפני היוון עלויות אשראי כוללת</t>
  </si>
  <si>
    <t>את הערכים להלן:</t>
  </si>
  <si>
    <t>הוסף: היוון בגין אשראי לא ספציפי (*)</t>
  </si>
  <si>
    <t>הלוואה מיום 1/10/2023 (*)</t>
  </si>
  <si>
    <t>לתשומת הלב (*) כי בשונה מהשאלה הכיתתית, כאן לא נאמר שכל חישובי הריבית פשוטים. לפיכך חישוב הריבית</t>
  </si>
  <si>
    <t>לגבי מענק ההשקעה, בוצעה התגמשות רבה יותר בניקוד. למרות שמענק ההשקעה ברמת ההקשר שייך</t>
  </si>
  <si>
    <t>להקמה של נכס שהחברה החלה בהקמתו, קיבלתי גם פרשנות אלטרנטיבית המתייחסת לכך כאל מענק</t>
  </si>
  <si>
    <t>השקעה כללי כל עוד צויין במפורש.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</si>
</sst>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sz val="12"/>
      <color theme="1"/>
      <name val="Aptos Narrow"/>
      <family val="2"/>
      <scheme val="minor"/>
    </font>
    <font>
      <b/>
      <u/>
      <sz val="12"/>
      <color theme="1"/>
      <name val="Davi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dashed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9" fontId="1" fillId="0" borderId="0" xfId="0" applyNumberFormat="1" applyFont="1"/>
    <xf numFmtId="37" fontId="1" fillId="0" borderId="0" xfId="0" applyNumberFormat="1" applyFont="1"/>
    <xf numFmtId="14" fontId="1" fillId="0" borderId="1" xfId="0" applyNumberFormat="1" applyFont="1" applyBorder="1"/>
    <xf numFmtId="37" fontId="1" fillId="0" borderId="2" xfId="0" applyNumberFormat="1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right"/>
    </xf>
    <xf numFmtId="37" fontId="1" fillId="0" borderId="7" xfId="0" applyNumberFormat="1" applyFont="1" applyBorder="1"/>
    <xf numFmtId="0" fontId="1" fillId="0" borderId="7" xfId="0" applyFont="1" applyBorder="1"/>
    <xf numFmtId="37" fontId="1" fillId="2" borderId="0" xfId="0" applyNumberFormat="1" applyFont="1" applyFill="1"/>
    <xf numFmtId="0" fontId="1" fillId="0" borderId="8" xfId="0" applyFont="1" applyBorder="1"/>
    <xf numFmtId="0" fontId="1" fillId="0" borderId="9" xfId="0" applyFont="1" applyBorder="1"/>
    <xf numFmtId="37" fontId="1" fillId="2" borderId="9" xfId="0" applyNumberFormat="1" applyFont="1" applyFill="1" applyBorder="1"/>
    <xf numFmtId="0" fontId="1" fillId="0" borderId="10" xfId="0" applyFont="1" applyBorder="1"/>
    <xf numFmtId="0" fontId="2" fillId="0" borderId="3" xfId="0" applyFont="1" applyBorder="1"/>
    <xf numFmtId="3" fontId="1" fillId="0" borderId="0" xfId="0" applyNumberFormat="1" applyFont="1"/>
    <xf numFmtId="0" fontId="1" fillId="0" borderId="11" xfId="0" applyFont="1" applyBorder="1"/>
    <xf numFmtId="37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3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37" fontId="2" fillId="2" borderId="11" xfId="0" applyNumberFormat="1" applyFont="1" applyFill="1" applyBorder="1"/>
    <xf numFmtId="3" fontId="1" fillId="0" borderId="7" xfId="0" applyNumberFormat="1" applyFont="1" applyBorder="1"/>
    <xf numFmtId="3" fontId="1" fillId="0" borderId="15" xfId="0" applyNumberFormat="1" applyFont="1" applyBorder="1"/>
    <xf numFmtId="3" fontId="1" fillId="2" borderId="16" xfId="0" applyNumberFormat="1" applyFont="1" applyFill="1" applyBorder="1"/>
    <xf numFmtId="14" fontId="1" fillId="0" borderId="0" xfId="0" applyNumberFormat="1" applyFont="1"/>
    <xf numFmtId="10" fontId="1" fillId="0" borderId="0" xfId="0" applyNumberFormat="1" applyFont="1"/>
    <xf numFmtId="10" fontId="1" fillId="2" borderId="0" xfId="0" applyNumberFormat="1" applyFont="1" applyFill="1"/>
    <xf numFmtId="3" fontId="1" fillId="2" borderId="0" xfId="0" applyNumberFormat="1" applyFont="1" applyFill="1"/>
    <xf numFmtId="14" fontId="1" fillId="0" borderId="6" xfId="0" applyNumberFormat="1" applyFont="1" applyBorder="1"/>
    <xf numFmtId="14" fontId="1" fillId="0" borderId="8" xfId="0" applyNumberFormat="1" applyFont="1" applyBorder="1"/>
    <xf numFmtId="3" fontId="1" fillId="0" borderId="16" xfId="0" applyNumberFormat="1" applyFont="1" applyBorder="1"/>
    <xf numFmtId="3" fontId="1" fillId="0" borderId="9" xfId="0" applyNumberFormat="1" applyFont="1" applyBorder="1"/>
    <xf numFmtId="14" fontId="1" fillId="0" borderId="9" xfId="0" applyNumberFormat="1" applyFont="1" applyBorder="1"/>
    <xf numFmtId="14" fontId="1" fillId="0" borderId="10" xfId="0" applyNumberFormat="1" applyFont="1" applyBorder="1"/>
    <xf numFmtId="2" fontId="1" fillId="0" borderId="0" xfId="0" applyNumberFormat="1" applyFont="1"/>
    <xf numFmtId="0" fontId="1" fillId="0" borderId="1" xfId="0" applyFont="1" applyBorder="1"/>
    <xf numFmtId="164" fontId="1" fillId="0" borderId="0" xfId="1" applyNumberFormat="1" applyFont="1"/>
    <xf numFmtId="37" fontId="1" fillId="0" borderId="5" xfId="0" applyNumberFormat="1" applyFont="1" applyBorder="1"/>
    <xf numFmtId="37" fontId="1" fillId="2" borderId="10" xfId="0" applyNumberFormat="1" applyFont="1" applyFill="1" applyBorder="1"/>
    <xf numFmtId="14" fontId="1" fillId="0" borderId="0" xfId="0" applyNumberFormat="1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2507C2C-1D0D-5849-AE7D-CEC4E177AFCA}">
  <we:reference id="wa200006575" version="1.0.0.1" store="en-US" storeType="OMEX"/>
  <we:alternateReferences>
    <we:reference id="wa200006575" version="1.0.0.1" store="en-U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D473C92-18CD-9645-B8EA-E3430DCC3F01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DA6DDDF7-4717-8C49-AD57-2A4F1525D28F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rzww3YfSDJrGPx0R6Ba6r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9FCE-9CDE-304B-AEDF-BD193AC7C369}">
  <dimension ref="A1:L95"/>
  <sheetViews>
    <sheetView showGridLines="0" rightToLeft="1" zoomScale="125" workbookViewId="0">
      <selection activeCell="A2" sqref="A2"/>
    </sheetView>
  </sheetViews>
  <sheetFormatPr baseColWidth="10" defaultRowHeight="16" x14ac:dyDescent="0.2"/>
  <cols>
    <col min="1" max="8" width="10.83203125" style="1"/>
    <col min="9" max="9" width="15.1640625" style="1" customWidth="1"/>
    <col min="10" max="10" width="16.1640625" style="1" customWidth="1"/>
    <col min="11" max="11" width="15.1640625" style="1" customWidth="1"/>
    <col min="12" max="12" width="16.6640625" style="1" customWidth="1"/>
    <col min="13" max="16384" width="10.83203125" style="1"/>
  </cols>
  <sheetData>
    <row r="1" spans="1:12" x14ac:dyDescent="0.2">
      <c r="A1" s="6" t="s">
        <v>143</v>
      </c>
    </row>
    <row r="2" spans="1:12" ht="17" thickBot="1" x14ac:dyDescent="0.25"/>
    <row r="3" spans="1:12" x14ac:dyDescent="0.2">
      <c r="A3" s="22" t="s">
        <v>7</v>
      </c>
      <c r="B3" s="8"/>
      <c r="C3" s="8"/>
      <c r="D3" s="8"/>
      <c r="E3" s="8"/>
      <c r="F3" s="8"/>
      <c r="G3" s="9" t="s">
        <v>8</v>
      </c>
      <c r="H3" s="8"/>
      <c r="I3" s="8"/>
      <c r="J3" s="8"/>
      <c r="K3" s="8"/>
      <c r="L3" s="10"/>
    </row>
    <row r="4" spans="1:12" x14ac:dyDescent="0.2">
      <c r="A4" s="11"/>
      <c r="G4" s="12"/>
      <c r="H4" s="12"/>
      <c r="I4" s="52">
        <v>44926</v>
      </c>
      <c r="J4" s="52"/>
      <c r="K4" s="52">
        <v>45291</v>
      </c>
      <c r="L4" s="53"/>
    </row>
    <row r="5" spans="1:12" x14ac:dyDescent="0.2">
      <c r="A5" s="11" t="s">
        <v>10</v>
      </c>
      <c r="C5" s="3">
        <v>2400000</v>
      </c>
      <c r="H5" s="12"/>
      <c r="I5" s="12" t="s">
        <v>9</v>
      </c>
      <c r="J5" s="12" t="s">
        <v>6</v>
      </c>
      <c r="K5" s="12" t="s">
        <v>9</v>
      </c>
      <c r="L5" s="13" t="s">
        <v>6</v>
      </c>
    </row>
    <row r="6" spans="1:12" x14ac:dyDescent="0.2">
      <c r="A6" s="11"/>
      <c r="G6" s="14" t="s">
        <v>0</v>
      </c>
      <c r="J6" s="3">
        <f>C46</f>
        <v>11500</v>
      </c>
      <c r="L6" s="15">
        <f>D46</f>
        <v>23000</v>
      </c>
    </row>
    <row r="7" spans="1:12" x14ac:dyDescent="0.2">
      <c r="A7" s="11" t="s">
        <v>12</v>
      </c>
      <c r="G7" s="1" t="s">
        <v>11</v>
      </c>
      <c r="J7" s="3">
        <f>C54</f>
        <v>6900</v>
      </c>
      <c r="L7" s="15">
        <f>D54</f>
        <v>4600</v>
      </c>
    </row>
    <row r="8" spans="1:12" x14ac:dyDescent="0.2">
      <c r="A8" s="11" t="s">
        <v>24</v>
      </c>
      <c r="C8" s="3">
        <f>E63</f>
        <v>16250</v>
      </c>
      <c r="G8" s="1" t="s">
        <v>29</v>
      </c>
      <c r="J8" s="3">
        <f>C71</f>
        <v>71300</v>
      </c>
      <c r="L8" s="15">
        <f>D71</f>
        <v>103500</v>
      </c>
    </row>
    <row r="9" spans="1:12" x14ac:dyDescent="0.2">
      <c r="A9" s="11" t="s">
        <v>30</v>
      </c>
      <c r="C9" s="3">
        <f>D77-C77</f>
        <v>60000</v>
      </c>
      <c r="G9" s="1" t="s">
        <v>26</v>
      </c>
      <c r="I9" s="3">
        <f>C79</f>
        <v>0</v>
      </c>
      <c r="K9" s="3">
        <f>D79</f>
        <v>13800</v>
      </c>
      <c r="L9" s="16"/>
    </row>
    <row r="10" spans="1:12" x14ac:dyDescent="0.2">
      <c r="A10" s="11" t="s">
        <v>32</v>
      </c>
      <c r="C10" s="3">
        <f>D85-C85</f>
        <v>27500</v>
      </c>
      <c r="G10" s="1" t="s">
        <v>34</v>
      </c>
      <c r="I10" s="3">
        <f>C87</f>
        <v>9200</v>
      </c>
      <c r="K10" s="3">
        <f>D87</f>
        <v>15525</v>
      </c>
      <c r="L10" s="16"/>
    </row>
    <row r="11" spans="1:12" x14ac:dyDescent="0.2">
      <c r="A11" s="11" t="s">
        <v>38</v>
      </c>
      <c r="C11" s="3">
        <v>200000</v>
      </c>
      <c r="G11" s="1" t="s">
        <v>35</v>
      </c>
      <c r="L11" s="15">
        <f>D95</f>
        <v>52900</v>
      </c>
    </row>
    <row r="12" spans="1:12" x14ac:dyDescent="0.2">
      <c r="A12" s="11" t="s">
        <v>39</v>
      </c>
      <c r="C12" s="3">
        <v>30000</v>
      </c>
      <c r="G12" s="1" t="s">
        <v>49</v>
      </c>
      <c r="I12" s="3">
        <f>SUM(I6:I11)</f>
        <v>9200</v>
      </c>
      <c r="J12" s="3">
        <f>SUM(J6:J11)</f>
        <v>89700</v>
      </c>
      <c r="K12" s="3">
        <f>SUM(K6:K11)</f>
        <v>29325</v>
      </c>
      <c r="L12" s="15">
        <f>SUM(L6:L11)</f>
        <v>184000</v>
      </c>
    </row>
    <row r="13" spans="1:12" x14ac:dyDescent="0.2">
      <c r="A13" s="11" t="s">
        <v>40</v>
      </c>
      <c r="C13" s="3">
        <f>50000*20%</f>
        <v>10000</v>
      </c>
      <c r="L13" s="16"/>
    </row>
    <row r="14" spans="1:12" x14ac:dyDescent="0.2">
      <c r="A14" s="11" t="s">
        <v>41</v>
      </c>
      <c r="C14" s="3">
        <v>180000</v>
      </c>
      <c r="L14" s="16"/>
    </row>
    <row r="15" spans="1:12" x14ac:dyDescent="0.2">
      <c r="A15" s="11"/>
      <c r="L15" s="16"/>
    </row>
    <row r="16" spans="1:12" x14ac:dyDescent="0.2">
      <c r="A16" s="11" t="s">
        <v>13</v>
      </c>
      <c r="L16" s="16"/>
    </row>
    <row r="17" spans="1:12" x14ac:dyDescent="0.2">
      <c r="A17" s="11" t="s">
        <v>14</v>
      </c>
      <c r="C17" s="3">
        <f>C44-D44</f>
        <v>-50000</v>
      </c>
      <c r="L17" s="16"/>
    </row>
    <row r="18" spans="1:12" x14ac:dyDescent="0.2">
      <c r="A18" s="11" t="s">
        <v>20</v>
      </c>
      <c r="C18" s="3">
        <f>-E59</f>
        <v>-6250</v>
      </c>
      <c r="L18" s="16"/>
    </row>
    <row r="19" spans="1:12" x14ac:dyDescent="0.2">
      <c r="A19" s="11" t="s">
        <v>27</v>
      </c>
      <c r="C19" s="3">
        <v>-90000</v>
      </c>
      <c r="L19" s="16"/>
    </row>
    <row r="20" spans="1:12" x14ac:dyDescent="0.2">
      <c r="A20" s="11" t="s">
        <v>28</v>
      </c>
      <c r="C20" s="3">
        <f>-2000000/40</f>
        <v>-50000</v>
      </c>
      <c r="L20" s="16"/>
    </row>
    <row r="21" spans="1:12" x14ac:dyDescent="0.2">
      <c r="A21" s="11" t="s">
        <v>36</v>
      </c>
      <c r="C21" s="3">
        <f>-(D93-C93)</f>
        <v>-230000</v>
      </c>
      <c r="L21" s="16"/>
    </row>
    <row r="22" spans="1:12" x14ac:dyDescent="0.2">
      <c r="A22" s="11" t="s">
        <v>37</v>
      </c>
      <c r="C22" s="3">
        <v>-220000</v>
      </c>
      <c r="L22" s="16"/>
    </row>
    <row r="23" spans="1:12" x14ac:dyDescent="0.2">
      <c r="A23" s="11"/>
      <c r="L23" s="16"/>
    </row>
    <row r="24" spans="1:12" x14ac:dyDescent="0.2">
      <c r="A24" s="11" t="s">
        <v>42</v>
      </c>
      <c r="C24" s="3">
        <f>SUM(C5:C22)</f>
        <v>2277500</v>
      </c>
      <c r="L24" s="16"/>
    </row>
    <row r="25" spans="1:12" x14ac:dyDescent="0.2">
      <c r="A25" s="11"/>
      <c r="L25" s="16"/>
    </row>
    <row r="26" spans="1:12" x14ac:dyDescent="0.2">
      <c r="A26" s="11" t="s">
        <v>43</v>
      </c>
      <c r="C26" s="2">
        <v>0.23</v>
      </c>
      <c r="L26" s="16"/>
    </row>
    <row r="27" spans="1:12" x14ac:dyDescent="0.2">
      <c r="A27" s="11"/>
      <c r="L27" s="16"/>
    </row>
    <row r="28" spans="1:12" x14ac:dyDescent="0.2">
      <c r="A28" s="11" t="s">
        <v>44</v>
      </c>
      <c r="C28" s="3">
        <f>C24*C26</f>
        <v>523825</v>
      </c>
      <c r="L28" s="16"/>
    </row>
    <row r="29" spans="1:12" x14ac:dyDescent="0.2">
      <c r="A29" s="11" t="s">
        <v>45</v>
      </c>
      <c r="C29" s="1">
        <f>-C22*15%</f>
        <v>33000</v>
      </c>
      <c r="L29" s="16"/>
    </row>
    <row r="30" spans="1:12" x14ac:dyDescent="0.2">
      <c r="A30" s="11" t="s">
        <v>46</v>
      </c>
      <c r="C30" s="1">
        <f>-40%*C14</f>
        <v>-72000</v>
      </c>
      <c r="L30" s="16"/>
    </row>
    <row r="31" spans="1:12" x14ac:dyDescent="0.2">
      <c r="A31" s="11"/>
      <c r="L31" s="16"/>
    </row>
    <row r="32" spans="1:12" x14ac:dyDescent="0.2">
      <c r="A32" s="11" t="s">
        <v>47</v>
      </c>
      <c r="C32" s="17">
        <f>SUM(C28:C30)</f>
        <v>484825</v>
      </c>
      <c r="L32" s="16"/>
    </row>
    <row r="33" spans="1:12" x14ac:dyDescent="0.2">
      <c r="A33" s="11"/>
      <c r="L33" s="16"/>
    </row>
    <row r="34" spans="1:12" x14ac:dyDescent="0.2">
      <c r="A34" s="11" t="s">
        <v>48</v>
      </c>
      <c r="C34" s="17">
        <f>-(K12-I12)+L12-J12</f>
        <v>74175</v>
      </c>
      <c r="L34" s="16"/>
    </row>
    <row r="35" spans="1:12" x14ac:dyDescent="0.2">
      <c r="A35" s="11"/>
      <c r="C35" s="3"/>
      <c r="L35" s="16"/>
    </row>
    <row r="36" spans="1:12" ht="17" thickBot="1" x14ac:dyDescent="0.25">
      <c r="A36" s="18" t="s">
        <v>51</v>
      </c>
      <c r="B36" s="19"/>
      <c r="C36" s="20">
        <f>C32+C34</f>
        <v>559000</v>
      </c>
      <c r="D36" s="19"/>
      <c r="E36" s="19"/>
      <c r="F36" s="19"/>
      <c r="G36" s="19"/>
      <c r="H36" s="19"/>
      <c r="I36" s="19"/>
      <c r="J36" s="19"/>
      <c r="K36" s="19"/>
      <c r="L36" s="21"/>
    </row>
    <row r="38" spans="1:12" x14ac:dyDescent="0.2">
      <c r="A38" s="6" t="s">
        <v>50</v>
      </c>
    </row>
    <row r="40" spans="1:12" x14ac:dyDescent="0.2">
      <c r="A40" s="1" t="s">
        <v>0</v>
      </c>
    </row>
    <row r="41" spans="1:12" x14ac:dyDescent="0.2">
      <c r="C41" s="4">
        <v>44926</v>
      </c>
      <c r="D41" s="4">
        <v>45291</v>
      </c>
    </row>
    <row r="42" spans="1:12" x14ac:dyDescent="0.2">
      <c r="A42" s="1" t="s">
        <v>1</v>
      </c>
      <c r="C42" s="3">
        <f>500000-500000/10</f>
        <v>450000</v>
      </c>
      <c r="D42" s="3">
        <f>500000-500000/10*2</f>
        <v>400000</v>
      </c>
    </row>
    <row r="43" spans="1:12" x14ac:dyDescent="0.2">
      <c r="A43" s="1" t="s">
        <v>2</v>
      </c>
      <c r="C43" s="3">
        <f>500000-500000/5</f>
        <v>400000</v>
      </c>
      <c r="D43" s="3">
        <f>500000-500000/5*2</f>
        <v>300000</v>
      </c>
    </row>
    <row r="44" spans="1:12" x14ac:dyDescent="0.2">
      <c r="A44" s="1" t="s">
        <v>4</v>
      </c>
      <c r="C44" s="5">
        <f>C42-C43</f>
        <v>50000</v>
      </c>
      <c r="D44" s="5">
        <f>D42-D43</f>
        <v>100000</v>
      </c>
    </row>
    <row r="45" spans="1:12" x14ac:dyDescent="0.2">
      <c r="A45" s="1" t="s">
        <v>5</v>
      </c>
      <c r="C45" s="2">
        <v>0.23</v>
      </c>
      <c r="D45" s="2">
        <f>C45</f>
        <v>0.23</v>
      </c>
    </row>
    <row r="46" spans="1:12" x14ac:dyDescent="0.2">
      <c r="A46" s="1" t="s">
        <v>6</v>
      </c>
      <c r="C46" s="5">
        <f>C44*C45</f>
        <v>11500</v>
      </c>
      <c r="D46" s="5">
        <f>D44*D45</f>
        <v>23000</v>
      </c>
    </row>
    <row r="48" spans="1:12" x14ac:dyDescent="0.2">
      <c r="A48" s="1" t="s">
        <v>15</v>
      </c>
    </row>
    <row r="49" spans="1:5" x14ac:dyDescent="0.2">
      <c r="C49" s="4">
        <v>44926</v>
      </c>
      <c r="D49" s="4">
        <v>45291</v>
      </c>
    </row>
    <row r="50" spans="1:5" x14ac:dyDescent="0.2">
      <c r="A50" s="1" t="s">
        <v>1</v>
      </c>
      <c r="C50" s="3">
        <f>200000/5*2</f>
        <v>80000</v>
      </c>
      <c r="D50" s="3">
        <f>200000*0.5/5*1</f>
        <v>20000</v>
      </c>
    </row>
    <row r="51" spans="1:5" x14ac:dyDescent="0.2">
      <c r="A51" s="1" t="s">
        <v>2</v>
      </c>
      <c r="C51" s="3">
        <f>200000/4*1</f>
        <v>50000</v>
      </c>
      <c r="D51" s="3">
        <v>0</v>
      </c>
    </row>
    <row r="52" spans="1:5" x14ac:dyDescent="0.2">
      <c r="A52" s="1" t="s">
        <v>4</v>
      </c>
      <c r="C52" s="5">
        <f>C50-C51</f>
        <v>30000</v>
      </c>
      <c r="D52" s="5">
        <f>D50-D51</f>
        <v>20000</v>
      </c>
    </row>
    <row r="53" spans="1:5" x14ac:dyDescent="0.2">
      <c r="A53" s="1" t="s">
        <v>5</v>
      </c>
      <c r="C53" s="2">
        <v>0.23</v>
      </c>
      <c r="D53" s="2">
        <f>C53</f>
        <v>0.23</v>
      </c>
    </row>
    <row r="54" spans="1:5" x14ac:dyDescent="0.2">
      <c r="A54" s="1" t="s">
        <v>6</v>
      </c>
      <c r="C54" s="5">
        <f>C52*C53</f>
        <v>6900</v>
      </c>
      <c r="D54" s="5">
        <f>D52*D53</f>
        <v>4600</v>
      </c>
    </row>
    <row r="56" spans="1:5" x14ac:dyDescent="0.2">
      <c r="A56" s="1" t="s">
        <v>16</v>
      </c>
    </row>
    <row r="57" spans="1:5" x14ac:dyDescent="0.2">
      <c r="A57" s="1" t="s">
        <v>17</v>
      </c>
      <c r="E57" s="3">
        <f>200000/5*0.25+100000/5*0.75</f>
        <v>25000</v>
      </c>
    </row>
    <row r="58" spans="1:5" x14ac:dyDescent="0.2">
      <c r="A58" s="1" t="s">
        <v>18</v>
      </c>
      <c r="E58" s="3">
        <f>200000/4*0.25+100000/4*0.75</f>
        <v>31250</v>
      </c>
    </row>
    <row r="59" spans="1:5" x14ac:dyDescent="0.2">
      <c r="A59" s="1" t="s">
        <v>19</v>
      </c>
      <c r="E59" s="5">
        <f>E58-E57</f>
        <v>6250</v>
      </c>
    </row>
    <row r="61" spans="1:5" x14ac:dyDescent="0.2">
      <c r="A61" s="1" t="s">
        <v>21</v>
      </c>
      <c r="E61" s="3">
        <v>15000</v>
      </c>
    </row>
    <row r="62" spans="1:5" x14ac:dyDescent="0.2">
      <c r="A62" s="1" t="s">
        <v>23</v>
      </c>
      <c r="E62" s="3">
        <f>E61+C52/2+(100000/4*0.25-100000/5*0.25)</f>
        <v>31250</v>
      </c>
    </row>
    <row r="63" spans="1:5" x14ac:dyDescent="0.2">
      <c r="A63" s="1" t="s">
        <v>22</v>
      </c>
      <c r="E63" s="5">
        <f>E62-E61</f>
        <v>16250</v>
      </c>
    </row>
    <row r="65" spans="1:4" x14ac:dyDescent="0.2">
      <c r="A65" s="1" t="s">
        <v>25</v>
      </c>
    </row>
    <row r="66" spans="1:4" x14ac:dyDescent="0.2">
      <c r="C66" s="4">
        <v>44926</v>
      </c>
      <c r="D66" s="4">
        <v>45291</v>
      </c>
    </row>
    <row r="67" spans="1:4" x14ac:dyDescent="0.2">
      <c r="A67" s="1" t="s">
        <v>1</v>
      </c>
      <c r="C67" s="3">
        <v>3210000</v>
      </c>
      <c r="D67" s="3">
        <v>3300000</v>
      </c>
    </row>
    <row r="68" spans="1:4" x14ac:dyDescent="0.2">
      <c r="A68" s="1" t="s">
        <v>2</v>
      </c>
      <c r="C68" s="3">
        <f>3000000-2000000/40*2</f>
        <v>2900000</v>
      </c>
      <c r="D68" s="3">
        <f>3000000-2000000/40*3</f>
        <v>2850000</v>
      </c>
    </row>
    <row r="69" spans="1:4" x14ac:dyDescent="0.2">
      <c r="A69" s="1" t="s">
        <v>4</v>
      </c>
      <c r="C69" s="5">
        <f>C67-C68</f>
        <v>310000</v>
      </c>
      <c r="D69" s="5">
        <f>D67-D68</f>
        <v>450000</v>
      </c>
    </row>
    <row r="70" spans="1:4" x14ac:dyDescent="0.2">
      <c r="A70" s="1" t="s">
        <v>5</v>
      </c>
      <c r="C70" s="2">
        <v>0.23</v>
      </c>
      <c r="D70" s="2">
        <f>C70</f>
        <v>0.23</v>
      </c>
    </row>
    <row r="71" spans="1:4" x14ac:dyDescent="0.2">
      <c r="A71" s="1" t="s">
        <v>6</v>
      </c>
      <c r="C71" s="5">
        <f>C69*C70</f>
        <v>71300</v>
      </c>
      <c r="D71" s="5">
        <f>D69*D70</f>
        <v>103500</v>
      </c>
    </row>
    <row r="73" spans="1:4" x14ac:dyDescent="0.2">
      <c r="A73" s="1" t="s">
        <v>26</v>
      </c>
    </row>
    <row r="74" spans="1:4" x14ac:dyDescent="0.2">
      <c r="C74" s="4">
        <v>44926</v>
      </c>
      <c r="D74" s="4">
        <v>45291</v>
      </c>
    </row>
    <row r="75" spans="1:4" x14ac:dyDescent="0.2">
      <c r="A75" s="1" t="s">
        <v>1</v>
      </c>
      <c r="C75" s="3">
        <v>400000</v>
      </c>
      <c r="D75" s="3">
        <v>380000</v>
      </c>
    </row>
    <row r="76" spans="1:4" x14ac:dyDescent="0.2">
      <c r="A76" s="1" t="s">
        <v>2</v>
      </c>
      <c r="C76" s="3">
        <v>400000</v>
      </c>
      <c r="D76" s="3">
        <v>440000</v>
      </c>
    </row>
    <row r="77" spans="1:4" x14ac:dyDescent="0.2">
      <c r="A77" s="1" t="s">
        <v>3</v>
      </c>
      <c r="C77" s="5">
        <f>C75-C76</f>
        <v>0</v>
      </c>
      <c r="D77" s="5">
        <f>D76-D75</f>
        <v>60000</v>
      </c>
    </row>
    <row r="78" spans="1:4" x14ac:dyDescent="0.2">
      <c r="A78" s="1" t="s">
        <v>5</v>
      </c>
      <c r="C78" s="2">
        <v>0.23</v>
      </c>
      <c r="D78" s="2">
        <f>C78</f>
        <v>0.23</v>
      </c>
    </row>
    <row r="79" spans="1:4" x14ac:dyDescent="0.2">
      <c r="A79" s="1" t="s">
        <v>9</v>
      </c>
      <c r="C79" s="5">
        <f>C77*C78</f>
        <v>0</v>
      </c>
      <c r="D79" s="5">
        <f>D77*D78</f>
        <v>13800</v>
      </c>
    </row>
    <row r="81" spans="1:4" x14ac:dyDescent="0.2">
      <c r="A81" s="1" t="s">
        <v>31</v>
      </c>
    </row>
    <row r="82" spans="1:4" x14ac:dyDescent="0.2">
      <c r="C82" s="4">
        <v>44926</v>
      </c>
      <c r="D82" s="4">
        <v>45291</v>
      </c>
    </row>
    <row r="83" spans="1:4" x14ac:dyDescent="0.2">
      <c r="A83" s="1" t="s">
        <v>1</v>
      </c>
      <c r="C83" s="3">
        <f>800000*5%</f>
        <v>40000</v>
      </c>
      <c r="D83" s="3">
        <f>200000*15%+750000*5%</f>
        <v>67500</v>
      </c>
    </row>
    <row r="84" spans="1:4" x14ac:dyDescent="0.2">
      <c r="A84" s="1" t="s">
        <v>2</v>
      </c>
      <c r="C84" s="3">
        <v>0</v>
      </c>
      <c r="D84" s="3">
        <v>0</v>
      </c>
    </row>
    <row r="85" spans="1:4" x14ac:dyDescent="0.2">
      <c r="A85" s="1" t="s">
        <v>3</v>
      </c>
      <c r="C85" s="5">
        <f>C83-C84</f>
        <v>40000</v>
      </c>
      <c r="D85" s="5">
        <f>D83-D84</f>
        <v>67500</v>
      </c>
    </row>
    <row r="86" spans="1:4" x14ac:dyDescent="0.2">
      <c r="A86" s="1" t="s">
        <v>5</v>
      </c>
      <c r="C86" s="2">
        <v>0.23</v>
      </c>
      <c r="D86" s="2">
        <f>C86</f>
        <v>0.23</v>
      </c>
    </row>
    <row r="87" spans="1:4" x14ac:dyDescent="0.2">
      <c r="A87" s="1" t="s">
        <v>9</v>
      </c>
      <c r="C87" s="5">
        <f>C85*C86</f>
        <v>9200</v>
      </c>
      <c r="D87" s="5">
        <f>D85*D86</f>
        <v>15525</v>
      </c>
    </row>
    <row r="89" spans="1:4" x14ac:dyDescent="0.2">
      <c r="A89" s="1" t="s">
        <v>33</v>
      </c>
    </row>
    <row r="90" spans="1:4" x14ac:dyDescent="0.2">
      <c r="C90" s="4">
        <v>44926</v>
      </c>
      <c r="D90" s="4">
        <v>45291</v>
      </c>
    </row>
    <row r="91" spans="1:4" x14ac:dyDescent="0.2">
      <c r="A91" s="1" t="s">
        <v>1</v>
      </c>
      <c r="C91" s="3">
        <v>0</v>
      </c>
      <c r="D91" s="3">
        <v>230000</v>
      </c>
    </row>
    <row r="92" spans="1:4" x14ac:dyDescent="0.2">
      <c r="A92" s="1" t="s">
        <v>2</v>
      </c>
      <c r="C92" s="3">
        <v>0</v>
      </c>
      <c r="D92" s="3">
        <v>0</v>
      </c>
    </row>
    <row r="93" spans="1:4" x14ac:dyDescent="0.2">
      <c r="A93" s="1" t="s">
        <v>4</v>
      </c>
      <c r="C93" s="5">
        <f>C91-C92</f>
        <v>0</v>
      </c>
      <c r="D93" s="5">
        <f>D91-D92</f>
        <v>230000</v>
      </c>
    </row>
    <row r="94" spans="1:4" x14ac:dyDescent="0.2">
      <c r="A94" s="1" t="s">
        <v>5</v>
      </c>
      <c r="C94" s="2">
        <v>0.23</v>
      </c>
      <c r="D94" s="2">
        <f>C94</f>
        <v>0.23</v>
      </c>
    </row>
    <row r="95" spans="1:4" x14ac:dyDescent="0.2">
      <c r="A95" s="1" t="s">
        <v>6</v>
      </c>
      <c r="C95" s="5">
        <f>C93*C94</f>
        <v>0</v>
      </c>
      <c r="D95" s="5">
        <f>D93*D94</f>
        <v>52900</v>
      </c>
    </row>
  </sheetData>
  <mergeCells count="2">
    <mergeCell ref="I4:J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2312-5001-A148-A0C2-B1B2B569A491}">
  <dimension ref="A1:L124"/>
  <sheetViews>
    <sheetView showGridLines="0" rightToLeft="1" zoomScale="150" workbookViewId="0">
      <selection activeCell="F35" sqref="F35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6" t="s">
        <v>144</v>
      </c>
    </row>
    <row r="2" spans="1:12" ht="17" thickBot="1" x14ac:dyDescent="0.25"/>
    <row r="3" spans="1:12" x14ac:dyDescent="0.2">
      <c r="A3" s="22" t="s">
        <v>60</v>
      </c>
      <c r="B3" s="8"/>
      <c r="C3" s="8"/>
      <c r="D3" s="10"/>
      <c r="I3" s="6" t="s">
        <v>52</v>
      </c>
    </row>
    <row r="4" spans="1:12" x14ac:dyDescent="0.2">
      <c r="A4" s="11"/>
      <c r="D4" s="16"/>
    </row>
    <row r="5" spans="1:12" x14ac:dyDescent="0.2">
      <c r="A5" s="11" t="s">
        <v>61</v>
      </c>
      <c r="D5" s="16"/>
      <c r="F5" s="54" t="s">
        <v>75</v>
      </c>
      <c r="G5" s="54"/>
      <c r="H5" s="54"/>
      <c r="I5" s="54" t="s">
        <v>69</v>
      </c>
      <c r="J5" s="54"/>
      <c r="K5" s="54"/>
      <c r="L5" s="29" t="s">
        <v>73</v>
      </c>
    </row>
    <row r="6" spans="1:12" x14ac:dyDescent="0.2">
      <c r="A6" s="11" t="s">
        <v>64</v>
      </c>
      <c r="D6" s="34">
        <f>H33+H61</f>
        <v>890000</v>
      </c>
      <c r="F6" s="54"/>
      <c r="G6" s="54"/>
      <c r="H6" s="54"/>
      <c r="I6" s="29" t="s">
        <v>70</v>
      </c>
      <c r="J6" s="29" t="s">
        <v>71</v>
      </c>
      <c r="K6" s="29" t="s">
        <v>72</v>
      </c>
      <c r="L6" s="29" t="s">
        <v>74</v>
      </c>
    </row>
    <row r="7" spans="1:12" x14ac:dyDescent="0.2">
      <c r="A7" s="11" t="s">
        <v>65</v>
      </c>
      <c r="D7" s="34">
        <f>H76</f>
        <v>900000</v>
      </c>
      <c r="F7" s="24" t="s">
        <v>76</v>
      </c>
      <c r="G7" s="24"/>
      <c r="H7" s="24"/>
      <c r="I7" s="25"/>
      <c r="J7" s="25"/>
      <c r="K7" s="25"/>
      <c r="L7" s="25">
        <f>H24</f>
        <v>100000</v>
      </c>
    </row>
    <row r="8" spans="1:12" x14ac:dyDescent="0.2">
      <c r="A8" s="11" t="s">
        <v>59</v>
      </c>
      <c r="D8" s="34">
        <f>H30+H116</f>
        <v>141666.66666666666</v>
      </c>
      <c r="F8" s="26" t="s">
        <v>77</v>
      </c>
      <c r="G8" s="27"/>
      <c r="H8" s="28"/>
      <c r="I8" s="25"/>
      <c r="J8" s="25"/>
      <c r="K8" s="25"/>
      <c r="L8" s="25">
        <f>-L7</f>
        <v>-100000</v>
      </c>
    </row>
    <row r="9" spans="1:12" x14ac:dyDescent="0.2">
      <c r="A9" s="11" t="s">
        <v>122</v>
      </c>
      <c r="D9" s="35">
        <f>SUM(D6:D8)</f>
        <v>1931666.6666666667</v>
      </c>
      <c r="F9" s="26" t="s">
        <v>78</v>
      </c>
      <c r="G9" s="27"/>
      <c r="H9" s="28"/>
      <c r="I9" s="25"/>
      <c r="J9" s="25"/>
      <c r="K9" s="25"/>
      <c r="L9" s="25">
        <f>H52</f>
        <v>90000</v>
      </c>
    </row>
    <row r="10" spans="1:12" x14ac:dyDescent="0.2">
      <c r="A10" s="11"/>
      <c r="D10" s="34"/>
      <c r="F10" s="26" t="s">
        <v>86</v>
      </c>
      <c r="G10" s="27"/>
      <c r="H10" s="28"/>
      <c r="I10" s="25">
        <f>-G63</f>
        <v>-400000</v>
      </c>
      <c r="J10" s="25"/>
      <c r="K10" s="25">
        <f>-I10</f>
        <v>400000</v>
      </c>
      <c r="L10" s="25"/>
    </row>
    <row r="11" spans="1:12" x14ac:dyDescent="0.2">
      <c r="A11" s="11" t="s">
        <v>62</v>
      </c>
      <c r="D11" s="34"/>
      <c r="F11" s="26" t="s">
        <v>87</v>
      </c>
      <c r="G11" s="27"/>
      <c r="H11" s="28"/>
      <c r="I11" s="25">
        <f>H73</f>
        <v>10000</v>
      </c>
      <c r="J11" s="25"/>
      <c r="K11" s="25">
        <f>-I11</f>
        <v>-10000</v>
      </c>
      <c r="L11" s="25"/>
    </row>
    <row r="12" spans="1:12" x14ac:dyDescent="0.2">
      <c r="A12" s="11" t="s">
        <v>58</v>
      </c>
      <c r="D12" s="34">
        <f>G26</f>
        <v>130000</v>
      </c>
      <c r="F12" s="26" t="s">
        <v>108</v>
      </c>
      <c r="G12" s="27"/>
      <c r="H12" s="28"/>
      <c r="I12" s="25">
        <f>-D7</f>
        <v>-900000</v>
      </c>
      <c r="J12" s="25"/>
      <c r="K12" s="25">
        <f>-I12</f>
        <v>900000</v>
      </c>
      <c r="L12" s="25"/>
    </row>
    <row r="13" spans="1:12" x14ac:dyDescent="0.2">
      <c r="A13" s="11" t="s">
        <v>85</v>
      </c>
      <c r="D13" s="34">
        <f>G69</f>
        <v>10000</v>
      </c>
      <c r="F13" s="26" t="s">
        <v>111</v>
      </c>
      <c r="G13" s="27"/>
      <c r="H13" s="28"/>
      <c r="I13" s="25">
        <f>H85</f>
        <v>25000</v>
      </c>
      <c r="J13" s="25"/>
      <c r="K13" s="25">
        <f>-I13</f>
        <v>-25000</v>
      </c>
      <c r="L13" s="25"/>
    </row>
    <row r="14" spans="1:12" x14ac:dyDescent="0.2">
      <c r="A14" s="11" t="s">
        <v>110</v>
      </c>
      <c r="D14" s="34">
        <f>G81</f>
        <v>25000</v>
      </c>
      <c r="F14" s="26" t="s">
        <v>115</v>
      </c>
      <c r="G14" s="27"/>
      <c r="H14" s="28"/>
      <c r="I14" s="25"/>
      <c r="J14" s="25"/>
      <c r="K14" s="25"/>
      <c r="L14" s="25">
        <f>H113</f>
        <v>1000000</v>
      </c>
    </row>
    <row r="15" spans="1:12" x14ac:dyDescent="0.2">
      <c r="A15" s="11" t="s">
        <v>119</v>
      </c>
      <c r="D15" s="34">
        <f>G121</f>
        <v>150000</v>
      </c>
      <c r="F15" s="26" t="s">
        <v>116</v>
      </c>
      <c r="G15" s="27"/>
      <c r="H15" s="28"/>
      <c r="I15" s="25"/>
      <c r="J15" s="25"/>
      <c r="K15" s="25"/>
      <c r="L15" s="25">
        <f>-H116</f>
        <v>-41666.666666666664</v>
      </c>
    </row>
    <row r="16" spans="1:12" x14ac:dyDescent="0.2">
      <c r="A16" s="11" t="s">
        <v>120</v>
      </c>
      <c r="D16" s="34">
        <f>G122</f>
        <v>200000</v>
      </c>
      <c r="F16" s="26" t="s">
        <v>118</v>
      </c>
      <c r="G16" s="27"/>
      <c r="H16" s="28"/>
      <c r="I16" s="25">
        <f>-G118</f>
        <v>-41666.666666666664</v>
      </c>
      <c r="J16" s="25"/>
      <c r="K16" s="25">
        <f>-I16</f>
        <v>41666.666666666664</v>
      </c>
      <c r="L16" s="25"/>
    </row>
    <row r="17" spans="1:12" x14ac:dyDescent="0.2">
      <c r="A17" s="11" t="s">
        <v>121</v>
      </c>
      <c r="D17" s="34">
        <f>G123</f>
        <v>70000</v>
      </c>
      <c r="F17" s="26" t="s">
        <v>63</v>
      </c>
      <c r="G17" s="27"/>
      <c r="H17" s="28"/>
      <c r="I17" s="25">
        <f>D20</f>
        <v>1346666.6666666667</v>
      </c>
      <c r="J17" s="25"/>
      <c r="K17" s="25">
        <f>F20</f>
        <v>0</v>
      </c>
      <c r="L17" s="25"/>
    </row>
    <row r="18" spans="1:12" x14ac:dyDescent="0.2">
      <c r="A18" s="11" t="s">
        <v>123</v>
      </c>
      <c r="D18" s="35">
        <f>SUM(D12:D17)</f>
        <v>585000</v>
      </c>
      <c r="F18" s="30" t="s">
        <v>49</v>
      </c>
      <c r="G18" s="31"/>
      <c r="H18" s="32"/>
      <c r="I18" s="33">
        <f>SUM(I7:I17)</f>
        <v>40000</v>
      </c>
      <c r="J18" s="33">
        <f>SUM(J7:J17)</f>
        <v>0</v>
      </c>
      <c r="K18" s="33">
        <f>SUM(K7:K17)</f>
        <v>1306666.6666666667</v>
      </c>
      <c r="L18" s="33">
        <f>SUM(L7:L17)</f>
        <v>1048333.3333333334</v>
      </c>
    </row>
    <row r="19" spans="1:12" x14ac:dyDescent="0.2">
      <c r="A19" s="11"/>
      <c r="D19" s="34"/>
    </row>
    <row r="20" spans="1:12" ht="17" thickBot="1" x14ac:dyDescent="0.25">
      <c r="A20" s="18" t="s">
        <v>63</v>
      </c>
      <c r="B20" s="19"/>
      <c r="C20" s="19"/>
      <c r="D20" s="36">
        <f>D9-D18</f>
        <v>1346666.6666666667</v>
      </c>
    </row>
    <row r="22" spans="1:12" x14ac:dyDescent="0.2">
      <c r="A22" s="1" t="s">
        <v>53</v>
      </c>
      <c r="G22" s="1" t="s">
        <v>54</v>
      </c>
      <c r="H22" s="1" t="s">
        <v>55</v>
      </c>
    </row>
    <row r="23" spans="1:12" x14ac:dyDescent="0.2">
      <c r="A23" s="1">
        <v>1</v>
      </c>
      <c r="B23" s="1" t="s">
        <v>56</v>
      </c>
      <c r="G23" s="23">
        <v>100000</v>
      </c>
      <c r="H23" s="23"/>
    </row>
    <row r="24" spans="1:12" x14ac:dyDescent="0.2">
      <c r="B24" s="1" t="s">
        <v>57</v>
      </c>
      <c r="G24" s="23"/>
      <c r="H24" s="23">
        <f>G23</f>
        <v>100000</v>
      </c>
    </row>
    <row r="25" spans="1:12" x14ac:dyDescent="0.2">
      <c r="G25" s="23"/>
      <c r="H25" s="23"/>
    </row>
    <row r="26" spans="1:12" x14ac:dyDescent="0.2">
      <c r="A26" s="1">
        <v>2</v>
      </c>
      <c r="B26" s="1" t="s">
        <v>58</v>
      </c>
      <c r="G26" s="23">
        <v>130000</v>
      </c>
      <c r="H26" s="23"/>
    </row>
    <row r="27" spans="1:12" x14ac:dyDescent="0.2">
      <c r="B27" s="1" t="s">
        <v>56</v>
      </c>
      <c r="G27" s="23"/>
      <c r="H27" s="23">
        <f>G26</f>
        <v>130000</v>
      </c>
    </row>
    <row r="28" spans="1:12" x14ac:dyDescent="0.2">
      <c r="G28" s="23"/>
      <c r="H28" s="23"/>
    </row>
    <row r="29" spans="1:12" x14ac:dyDescent="0.2">
      <c r="B29" s="1" t="s">
        <v>57</v>
      </c>
      <c r="G29" s="23">
        <f>G23</f>
        <v>100000</v>
      </c>
      <c r="H29" s="23"/>
    </row>
    <row r="30" spans="1:12" x14ac:dyDescent="0.2">
      <c r="B30" s="1" t="s">
        <v>59</v>
      </c>
      <c r="G30" s="23"/>
      <c r="H30" s="23">
        <f>G29</f>
        <v>100000</v>
      </c>
    </row>
    <row r="31" spans="1:12" x14ac:dyDescent="0.2">
      <c r="G31" s="23"/>
      <c r="H31" s="23"/>
    </row>
    <row r="32" spans="1:12" x14ac:dyDescent="0.2">
      <c r="A32" s="1">
        <v>3</v>
      </c>
      <c r="B32" s="1" t="s">
        <v>66</v>
      </c>
      <c r="G32" s="23">
        <v>90000</v>
      </c>
      <c r="H32" s="23"/>
    </row>
    <row r="33" spans="2:8" x14ac:dyDescent="0.2">
      <c r="B33" s="1" t="s">
        <v>64</v>
      </c>
      <c r="G33" s="23"/>
      <c r="H33" s="23">
        <f>G32</f>
        <v>90000</v>
      </c>
    </row>
    <row r="34" spans="2:8" x14ac:dyDescent="0.2">
      <c r="G34" s="23"/>
      <c r="H34" s="23"/>
    </row>
    <row r="35" spans="2:8" x14ac:dyDescent="0.2">
      <c r="B35" s="1" t="s">
        <v>124</v>
      </c>
      <c r="G35" s="23"/>
      <c r="H35" s="23"/>
    </row>
    <row r="36" spans="2:8" x14ac:dyDescent="0.2">
      <c r="B36" s="1" t="s">
        <v>125</v>
      </c>
      <c r="G36" s="23"/>
      <c r="H36" s="23"/>
    </row>
    <row r="37" spans="2:8" x14ac:dyDescent="0.2">
      <c r="B37" s="1" t="s">
        <v>126</v>
      </c>
      <c r="G37" s="23"/>
      <c r="H37" s="23"/>
    </row>
    <row r="38" spans="2:8" x14ac:dyDescent="0.2">
      <c r="B38" s="1" t="s">
        <v>127</v>
      </c>
      <c r="G38" s="23"/>
      <c r="H38" s="23"/>
    </row>
    <row r="39" spans="2:8" x14ac:dyDescent="0.2">
      <c r="B39" s="1" t="s">
        <v>128</v>
      </c>
      <c r="G39" s="23"/>
      <c r="H39" s="23"/>
    </row>
    <row r="40" spans="2:8" x14ac:dyDescent="0.2">
      <c r="B40" s="1" t="s">
        <v>129</v>
      </c>
      <c r="G40" s="23"/>
      <c r="H40" s="23"/>
    </row>
    <row r="41" spans="2:8" x14ac:dyDescent="0.2">
      <c r="B41" s="1" t="s">
        <v>130</v>
      </c>
      <c r="G41" s="23"/>
      <c r="H41" s="23"/>
    </row>
    <row r="42" spans="2:8" x14ac:dyDescent="0.2">
      <c r="B42" s="1" t="s">
        <v>131</v>
      </c>
      <c r="G42" s="23"/>
      <c r="H42" s="23"/>
    </row>
    <row r="43" spans="2:8" x14ac:dyDescent="0.2">
      <c r="B43" s="1" t="s">
        <v>132</v>
      </c>
      <c r="G43" s="23"/>
      <c r="H43" s="23"/>
    </row>
    <row r="44" spans="2:8" x14ac:dyDescent="0.2">
      <c r="B44" s="1" t="s">
        <v>133</v>
      </c>
      <c r="G44" s="23"/>
      <c r="H44" s="23"/>
    </row>
    <row r="45" spans="2:8" x14ac:dyDescent="0.2">
      <c r="B45" s="1" t="s">
        <v>134</v>
      </c>
      <c r="G45" s="23"/>
      <c r="H45" s="23"/>
    </row>
    <row r="46" spans="2:8" x14ac:dyDescent="0.2">
      <c r="B46" s="1" t="s">
        <v>135</v>
      </c>
      <c r="G46" s="23"/>
      <c r="H46" s="23"/>
    </row>
    <row r="47" spans="2:8" x14ac:dyDescent="0.2">
      <c r="B47" s="1" t="s">
        <v>136</v>
      </c>
      <c r="G47" s="23"/>
      <c r="H47" s="23"/>
    </row>
    <row r="48" spans="2:8" x14ac:dyDescent="0.2">
      <c r="B48" s="1" t="s">
        <v>137</v>
      </c>
      <c r="G48" s="23"/>
      <c r="H48" s="23"/>
    </row>
    <row r="49" spans="1:8" x14ac:dyDescent="0.2">
      <c r="B49" s="1" t="s">
        <v>138</v>
      </c>
      <c r="G49" s="23"/>
      <c r="H49" s="23"/>
    </row>
    <row r="50" spans="1:8" x14ac:dyDescent="0.2">
      <c r="G50" s="23"/>
      <c r="H50" s="23"/>
    </row>
    <row r="51" spans="1:8" x14ac:dyDescent="0.2">
      <c r="A51" s="1">
        <v>4</v>
      </c>
      <c r="B51" s="1" t="s">
        <v>66</v>
      </c>
      <c r="G51" s="23">
        <v>90000</v>
      </c>
      <c r="H51" s="23"/>
    </row>
    <row r="52" spans="1:8" x14ac:dyDescent="0.2">
      <c r="B52" s="1" t="s">
        <v>57</v>
      </c>
      <c r="G52" s="23"/>
      <c r="H52" s="23">
        <f>G51</f>
        <v>90000</v>
      </c>
    </row>
    <row r="53" spans="1:8" x14ac:dyDescent="0.2">
      <c r="G53" s="23"/>
      <c r="H53" s="23"/>
    </row>
    <row r="54" spans="1:8" x14ac:dyDescent="0.2">
      <c r="B54" s="1" t="s">
        <v>67</v>
      </c>
      <c r="G54" s="23"/>
      <c r="H54" s="23"/>
    </row>
    <row r="55" spans="1:8" x14ac:dyDescent="0.2">
      <c r="B55" s="1" t="s">
        <v>68</v>
      </c>
      <c r="G55" s="23"/>
      <c r="H55" s="23"/>
    </row>
    <row r="56" spans="1:8" x14ac:dyDescent="0.2">
      <c r="B56" s="1" t="s">
        <v>142</v>
      </c>
      <c r="G56" s="23"/>
      <c r="H56" s="23"/>
    </row>
    <row r="57" spans="1:8" x14ac:dyDescent="0.2">
      <c r="G57" s="23"/>
      <c r="H57" s="23"/>
    </row>
    <row r="58" spans="1:8" x14ac:dyDescent="0.2">
      <c r="A58" s="1">
        <v>5</v>
      </c>
      <c r="B58" s="1" t="s">
        <v>79</v>
      </c>
      <c r="G58" s="23"/>
      <c r="H58" s="23"/>
    </row>
    <row r="59" spans="1:8" x14ac:dyDescent="0.2">
      <c r="G59" s="23"/>
      <c r="H59" s="23"/>
    </row>
    <row r="60" spans="1:8" x14ac:dyDescent="0.2">
      <c r="A60" s="1">
        <v>6</v>
      </c>
      <c r="B60" s="1" t="s">
        <v>56</v>
      </c>
      <c r="G60" s="23">
        <v>800000</v>
      </c>
      <c r="H60" s="23"/>
    </row>
    <row r="61" spans="1:8" x14ac:dyDescent="0.2">
      <c r="B61" s="1" t="s">
        <v>64</v>
      </c>
      <c r="G61" s="23"/>
      <c r="H61" s="23">
        <f>G60</f>
        <v>800000</v>
      </c>
    </row>
    <row r="62" spans="1:8" x14ac:dyDescent="0.2">
      <c r="G62" s="23"/>
      <c r="H62" s="23"/>
    </row>
    <row r="63" spans="1:8" x14ac:dyDescent="0.2">
      <c r="A63" s="1">
        <v>7</v>
      </c>
      <c r="B63" s="1" t="s">
        <v>80</v>
      </c>
      <c r="G63" s="23">
        <v>400000</v>
      </c>
      <c r="H63" s="23"/>
    </row>
    <row r="64" spans="1:8" x14ac:dyDescent="0.2">
      <c r="B64" s="1" t="s">
        <v>56</v>
      </c>
      <c r="G64" s="23"/>
      <c r="H64" s="23">
        <f>G63</f>
        <v>400000</v>
      </c>
    </row>
    <row r="65" spans="1:8" x14ac:dyDescent="0.2">
      <c r="G65" s="23"/>
      <c r="H65" s="23"/>
    </row>
    <row r="66" spans="1:8" x14ac:dyDescent="0.2">
      <c r="B66" s="1" t="s">
        <v>81</v>
      </c>
      <c r="G66" s="23">
        <f>G63</f>
        <v>400000</v>
      </c>
      <c r="H66" s="23"/>
    </row>
    <row r="67" spans="1:8" x14ac:dyDescent="0.2">
      <c r="B67" s="1" t="s">
        <v>82</v>
      </c>
      <c r="G67" s="23"/>
      <c r="H67" s="23">
        <f>G66</f>
        <v>400000</v>
      </c>
    </row>
    <row r="68" spans="1:8" x14ac:dyDescent="0.2">
      <c r="G68" s="23"/>
      <c r="H68" s="23"/>
    </row>
    <row r="69" spans="1:8" x14ac:dyDescent="0.2">
      <c r="B69" s="1" t="s">
        <v>83</v>
      </c>
      <c r="G69" s="23">
        <f>G66/10*0.25</f>
        <v>10000</v>
      </c>
      <c r="H69" s="23"/>
    </row>
    <row r="70" spans="1:8" x14ac:dyDescent="0.2">
      <c r="B70" s="1" t="s">
        <v>84</v>
      </c>
      <c r="G70" s="23"/>
      <c r="H70" s="23">
        <f>G69</f>
        <v>10000</v>
      </c>
    </row>
    <row r="71" spans="1:8" x14ac:dyDescent="0.2">
      <c r="G71" s="23"/>
      <c r="H71" s="23"/>
    </row>
    <row r="72" spans="1:8" x14ac:dyDescent="0.2">
      <c r="B72" s="1" t="s">
        <v>82</v>
      </c>
      <c r="G72" s="23">
        <f>G69</f>
        <v>10000</v>
      </c>
      <c r="H72" s="23"/>
    </row>
    <row r="73" spans="1:8" x14ac:dyDescent="0.2">
      <c r="B73" s="1" t="s">
        <v>81</v>
      </c>
      <c r="G73" s="23"/>
      <c r="H73" s="23">
        <f>G72</f>
        <v>10000</v>
      </c>
    </row>
    <row r="74" spans="1:8" x14ac:dyDescent="0.2">
      <c r="G74" s="23"/>
      <c r="H74" s="23"/>
    </row>
    <row r="75" spans="1:8" x14ac:dyDescent="0.2">
      <c r="A75" s="1">
        <v>8</v>
      </c>
      <c r="B75" s="1" t="s">
        <v>88</v>
      </c>
      <c r="G75" s="23">
        <v>900000</v>
      </c>
      <c r="H75" s="23"/>
    </row>
    <row r="76" spans="1:8" x14ac:dyDescent="0.2">
      <c r="B76" s="1" t="s">
        <v>89</v>
      </c>
      <c r="G76" s="23"/>
      <c r="H76" s="23">
        <f>G75</f>
        <v>900000</v>
      </c>
    </row>
    <row r="77" spans="1:8" x14ac:dyDescent="0.2">
      <c r="G77" s="23"/>
      <c r="H77" s="23"/>
    </row>
    <row r="78" spans="1:8" x14ac:dyDescent="0.2">
      <c r="B78" s="1" t="s">
        <v>81</v>
      </c>
      <c r="G78" s="23">
        <f>G75</f>
        <v>900000</v>
      </c>
      <c r="H78" s="23"/>
    </row>
    <row r="79" spans="1:8" x14ac:dyDescent="0.2">
      <c r="B79" s="1" t="s">
        <v>82</v>
      </c>
      <c r="G79" s="23"/>
      <c r="H79" s="23">
        <f>G78</f>
        <v>900000</v>
      </c>
    </row>
    <row r="80" spans="1:8" x14ac:dyDescent="0.2">
      <c r="G80" s="23"/>
      <c r="H80" s="23"/>
    </row>
    <row r="81" spans="2:8" x14ac:dyDescent="0.2">
      <c r="B81" s="1" t="s">
        <v>83</v>
      </c>
      <c r="G81" s="23">
        <f>G78/9*0.25</f>
        <v>25000</v>
      </c>
      <c r="H81" s="23"/>
    </row>
    <row r="82" spans="2:8" x14ac:dyDescent="0.2">
      <c r="B82" s="1" t="s">
        <v>109</v>
      </c>
      <c r="G82" s="23"/>
      <c r="H82" s="23">
        <f>G81</f>
        <v>25000</v>
      </c>
    </row>
    <row r="83" spans="2:8" x14ac:dyDescent="0.2">
      <c r="G83" s="23"/>
      <c r="H83" s="23"/>
    </row>
    <row r="84" spans="2:8" x14ac:dyDescent="0.2">
      <c r="B84" s="1" t="s">
        <v>82</v>
      </c>
      <c r="G84" s="23">
        <f>G81</f>
        <v>25000</v>
      </c>
      <c r="H84" s="23"/>
    </row>
    <row r="85" spans="2:8" x14ac:dyDescent="0.2">
      <c r="B85" s="1" t="s">
        <v>81</v>
      </c>
      <c r="G85" s="23"/>
      <c r="H85" s="23">
        <f>G84</f>
        <v>25000</v>
      </c>
    </row>
    <row r="86" spans="2:8" x14ac:dyDescent="0.2">
      <c r="G86" s="23"/>
      <c r="H86" s="23"/>
    </row>
    <row r="87" spans="2:8" x14ac:dyDescent="0.2">
      <c r="B87" s="1" t="s">
        <v>90</v>
      </c>
      <c r="G87" s="23"/>
      <c r="H87" s="23"/>
    </row>
    <row r="88" spans="2:8" x14ac:dyDescent="0.2">
      <c r="B88" s="1" t="s">
        <v>91</v>
      </c>
      <c r="G88" s="23"/>
      <c r="H88" s="23"/>
    </row>
    <row r="89" spans="2:8" x14ac:dyDescent="0.2">
      <c r="B89" s="1" t="s">
        <v>141</v>
      </c>
      <c r="G89" s="23"/>
      <c r="H89" s="23"/>
    </row>
    <row r="90" spans="2:8" x14ac:dyDescent="0.2">
      <c r="B90" s="1" t="s">
        <v>92</v>
      </c>
      <c r="G90" s="23"/>
      <c r="H90" s="23"/>
    </row>
    <row r="91" spans="2:8" x14ac:dyDescent="0.2">
      <c r="B91" s="1" t="s">
        <v>93</v>
      </c>
      <c r="G91" s="23"/>
      <c r="H91" s="23"/>
    </row>
    <row r="92" spans="2:8" x14ac:dyDescent="0.2">
      <c r="B92" s="1" t="s">
        <v>94</v>
      </c>
      <c r="G92" s="23"/>
      <c r="H92" s="23"/>
    </row>
    <row r="93" spans="2:8" x14ac:dyDescent="0.2">
      <c r="B93" s="1" t="s">
        <v>95</v>
      </c>
      <c r="G93" s="23"/>
      <c r="H93" s="23"/>
    </row>
    <row r="94" spans="2:8" x14ac:dyDescent="0.2">
      <c r="B94" s="1" t="s">
        <v>96</v>
      </c>
      <c r="G94" s="23"/>
      <c r="H94" s="23"/>
    </row>
    <row r="95" spans="2:8" x14ac:dyDescent="0.2">
      <c r="B95" s="1" t="s">
        <v>97</v>
      </c>
      <c r="G95" s="23"/>
      <c r="H95" s="23"/>
    </row>
    <row r="96" spans="2:8" x14ac:dyDescent="0.2">
      <c r="G96" s="23"/>
      <c r="H96" s="23"/>
    </row>
    <row r="97" spans="1:8" x14ac:dyDescent="0.2">
      <c r="B97" s="1" t="s">
        <v>98</v>
      </c>
      <c r="G97" s="23"/>
      <c r="H97" s="23"/>
    </row>
    <row r="98" spans="1:8" x14ac:dyDescent="0.2">
      <c r="B98" s="1" t="s">
        <v>99</v>
      </c>
      <c r="G98" s="23"/>
      <c r="H98" s="23"/>
    </row>
    <row r="99" spans="1:8" x14ac:dyDescent="0.2">
      <c r="B99" s="1" t="s">
        <v>100</v>
      </c>
      <c r="G99" s="23"/>
      <c r="H99" s="23"/>
    </row>
    <row r="100" spans="1:8" x14ac:dyDescent="0.2">
      <c r="G100" s="23"/>
      <c r="H100" s="23"/>
    </row>
    <row r="101" spans="1:8" x14ac:dyDescent="0.2">
      <c r="B101" s="1" t="s">
        <v>101</v>
      </c>
      <c r="G101" s="23"/>
      <c r="H101" s="23"/>
    </row>
    <row r="102" spans="1:8" x14ac:dyDescent="0.2">
      <c r="B102" s="1" t="s">
        <v>102</v>
      </c>
      <c r="G102" s="23"/>
      <c r="H102" s="23"/>
    </row>
    <row r="103" spans="1:8" x14ac:dyDescent="0.2">
      <c r="B103" s="1" t="s">
        <v>103</v>
      </c>
      <c r="G103" s="23"/>
      <c r="H103" s="23"/>
    </row>
    <row r="104" spans="1:8" x14ac:dyDescent="0.2">
      <c r="B104" s="1" t="s">
        <v>104</v>
      </c>
      <c r="G104" s="23"/>
      <c r="H104" s="23"/>
    </row>
    <row r="105" spans="1:8" x14ac:dyDescent="0.2">
      <c r="B105" s="1" t="s">
        <v>105</v>
      </c>
      <c r="G105" s="23"/>
      <c r="H105" s="23"/>
    </row>
    <row r="106" spans="1:8" x14ac:dyDescent="0.2">
      <c r="B106" s="1" t="s">
        <v>106</v>
      </c>
      <c r="G106" s="23"/>
      <c r="H106" s="23"/>
    </row>
    <row r="107" spans="1:8" x14ac:dyDescent="0.2">
      <c r="B107" s="1" t="s">
        <v>107</v>
      </c>
      <c r="G107" s="23"/>
      <c r="H107" s="23"/>
    </row>
    <row r="108" spans="1:8" x14ac:dyDescent="0.2">
      <c r="G108" s="23"/>
      <c r="H108" s="23"/>
    </row>
    <row r="109" spans="1:8" x14ac:dyDescent="0.2">
      <c r="B109" s="1" t="s">
        <v>139</v>
      </c>
      <c r="G109" s="23"/>
      <c r="H109" s="23"/>
    </row>
    <row r="110" spans="1:8" x14ac:dyDescent="0.2">
      <c r="B110" s="1" t="s">
        <v>140</v>
      </c>
      <c r="G110" s="23"/>
      <c r="H110" s="23"/>
    </row>
    <row r="111" spans="1:8" x14ac:dyDescent="0.2">
      <c r="G111" s="23"/>
      <c r="H111" s="23"/>
    </row>
    <row r="112" spans="1:8" x14ac:dyDescent="0.2">
      <c r="A112" s="1">
        <v>9</v>
      </c>
      <c r="B112" s="1" t="s">
        <v>112</v>
      </c>
      <c r="G112" s="23">
        <v>1000000</v>
      </c>
      <c r="H112" s="23"/>
    </row>
    <row r="113" spans="1:8" x14ac:dyDescent="0.2">
      <c r="B113" s="1" t="s">
        <v>113</v>
      </c>
      <c r="G113" s="23"/>
      <c r="H113" s="23">
        <f>G112</f>
        <v>1000000</v>
      </c>
    </row>
    <row r="114" spans="1:8" x14ac:dyDescent="0.2">
      <c r="G114" s="23"/>
      <c r="H114" s="23"/>
    </row>
    <row r="115" spans="1:8" x14ac:dyDescent="0.2">
      <c r="B115" s="1" t="s">
        <v>114</v>
      </c>
      <c r="G115" s="23">
        <f>G112/4*2/12</f>
        <v>41666.666666666664</v>
      </c>
      <c r="H115" s="23"/>
    </row>
    <row r="116" spans="1:8" x14ac:dyDescent="0.2">
      <c r="B116" s="1" t="s">
        <v>59</v>
      </c>
      <c r="G116" s="23"/>
      <c r="H116" s="23">
        <f>G115</f>
        <v>41666.666666666664</v>
      </c>
    </row>
    <row r="117" spans="1:8" x14ac:dyDescent="0.2">
      <c r="G117" s="23"/>
      <c r="H117" s="23"/>
    </row>
    <row r="118" spans="1:8" x14ac:dyDescent="0.2">
      <c r="B118" s="1" t="s">
        <v>81</v>
      </c>
      <c r="G118" s="23">
        <f>G115</f>
        <v>41666.666666666664</v>
      </c>
      <c r="H118" s="23"/>
    </row>
    <row r="119" spans="1:8" x14ac:dyDescent="0.2">
      <c r="B119" s="1" t="s">
        <v>117</v>
      </c>
      <c r="G119" s="23"/>
      <c r="H119" s="23">
        <f>G118</f>
        <v>41666.666666666664</v>
      </c>
    </row>
    <row r="120" spans="1:8" x14ac:dyDescent="0.2">
      <c r="G120" s="23"/>
      <c r="H120" s="23"/>
    </row>
    <row r="121" spans="1:8" x14ac:dyDescent="0.2">
      <c r="A121" s="1">
        <v>10</v>
      </c>
      <c r="B121" s="1" t="s">
        <v>119</v>
      </c>
      <c r="G121" s="23">
        <v>150000</v>
      </c>
      <c r="H121" s="23"/>
    </row>
    <row r="122" spans="1:8" x14ac:dyDescent="0.2">
      <c r="B122" s="1" t="s">
        <v>120</v>
      </c>
      <c r="G122" s="23">
        <v>200000</v>
      </c>
      <c r="H122" s="23"/>
    </row>
    <row r="123" spans="1:8" x14ac:dyDescent="0.2">
      <c r="B123" s="1" t="s">
        <v>121</v>
      </c>
      <c r="G123" s="23">
        <v>70000</v>
      </c>
      <c r="H123" s="23"/>
    </row>
    <row r="124" spans="1:8" x14ac:dyDescent="0.2">
      <c r="B124" s="1" t="s">
        <v>56</v>
      </c>
      <c r="G124" s="23"/>
      <c r="H124" s="23">
        <f>SUM(G121:G123)</f>
        <v>420000</v>
      </c>
    </row>
  </sheetData>
  <mergeCells count="2">
    <mergeCell ref="I5:K5"/>
    <mergeCell ref="F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7517-FFDA-2043-95CD-A67A1ABD38A3}">
  <dimension ref="A1:F50"/>
  <sheetViews>
    <sheetView rightToLeft="1" zoomScale="174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1.6640625" style="1" bestFit="1" customWidth="1"/>
    <col min="4" max="16384" width="10.83203125" style="1"/>
  </cols>
  <sheetData>
    <row r="1" spans="1:4" x14ac:dyDescent="0.2">
      <c r="A1" s="6" t="s">
        <v>145</v>
      </c>
    </row>
    <row r="2" spans="1:4" ht="17" thickBot="1" x14ac:dyDescent="0.25"/>
    <row r="3" spans="1:4" x14ac:dyDescent="0.2">
      <c r="A3" s="7" t="s">
        <v>159</v>
      </c>
      <c r="B3" s="8"/>
      <c r="C3" s="8"/>
      <c r="D3" s="10"/>
    </row>
    <row r="4" spans="1:4" x14ac:dyDescent="0.2">
      <c r="A4" s="11"/>
      <c r="D4" s="16"/>
    </row>
    <row r="5" spans="1:4" x14ac:dyDescent="0.2">
      <c r="A5" s="41">
        <v>44927</v>
      </c>
      <c r="B5" s="1" t="s">
        <v>160</v>
      </c>
      <c r="D5" s="34">
        <f>-B40</f>
        <v>300000</v>
      </c>
    </row>
    <row r="6" spans="1:4" x14ac:dyDescent="0.2">
      <c r="A6" s="11">
        <v>2023</v>
      </c>
      <c r="B6" s="1" t="s">
        <v>161</v>
      </c>
      <c r="D6" s="34">
        <f>-B39</f>
        <v>-50000</v>
      </c>
    </row>
    <row r="7" spans="1:4" x14ac:dyDescent="0.2">
      <c r="A7" s="11">
        <v>2023</v>
      </c>
      <c r="B7" s="1" t="s">
        <v>162</v>
      </c>
      <c r="D7" s="34">
        <f>C40-D40</f>
        <v>-2992.67554596829</v>
      </c>
    </row>
    <row r="8" spans="1:4" x14ac:dyDescent="0.2">
      <c r="A8" s="11">
        <v>2023</v>
      </c>
      <c r="B8" s="1" t="s">
        <v>163</v>
      </c>
      <c r="D8" s="34">
        <f>D9-D7-D6-D5</f>
        <v>22823.835581111198</v>
      </c>
    </row>
    <row r="9" spans="1:4" x14ac:dyDescent="0.2">
      <c r="A9" s="41">
        <v>45291</v>
      </c>
      <c r="B9" s="1" t="s">
        <v>160</v>
      </c>
      <c r="D9" s="35">
        <f>-D40</f>
        <v>269831.16003514291</v>
      </c>
    </row>
    <row r="10" spans="1:4" x14ac:dyDescent="0.2">
      <c r="A10" s="11">
        <v>2024</v>
      </c>
      <c r="B10" s="1" t="s">
        <v>161</v>
      </c>
      <c r="D10" s="34">
        <f>D6</f>
        <v>-50000</v>
      </c>
    </row>
    <row r="11" spans="1:4" x14ac:dyDescent="0.2">
      <c r="A11" s="11">
        <v>2024</v>
      </c>
      <c r="B11" s="1" t="s">
        <v>163</v>
      </c>
      <c r="D11" s="34">
        <f>D12-D10-D9</f>
        <v>20528.60677104292</v>
      </c>
    </row>
    <row r="12" spans="1:4" x14ac:dyDescent="0.2">
      <c r="A12" s="41">
        <v>45657</v>
      </c>
      <c r="B12" s="1" t="s">
        <v>160</v>
      </c>
      <c r="D12" s="35">
        <f>-E40</f>
        <v>240359.7668061858</v>
      </c>
    </row>
    <row r="13" spans="1:4" x14ac:dyDescent="0.2">
      <c r="A13" s="11">
        <v>2025</v>
      </c>
      <c r="B13" s="1" t="s">
        <v>161</v>
      </c>
      <c r="D13" s="34">
        <f>D10</f>
        <v>-50000</v>
      </c>
    </row>
    <row r="14" spans="1:4" x14ac:dyDescent="0.2">
      <c r="A14" s="11">
        <v>2025</v>
      </c>
      <c r="B14" s="1" t="s">
        <v>163</v>
      </c>
      <c r="D14" s="34">
        <f>D15-D13-D12</f>
        <v>18286.439326359279</v>
      </c>
    </row>
    <row r="15" spans="1:4" ht="17" thickBot="1" x14ac:dyDescent="0.25">
      <c r="A15" s="42">
        <v>46022</v>
      </c>
      <c r="B15" s="19" t="s">
        <v>160</v>
      </c>
      <c r="C15" s="19"/>
      <c r="D15" s="43">
        <f>-F40</f>
        <v>208646.20613254508</v>
      </c>
    </row>
    <row r="16" spans="1:4" ht="17" thickBot="1" x14ac:dyDescent="0.25"/>
    <row r="17" spans="1:6" x14ac:dyDescent="0.2">
      <c r="A17" s="7" t="s">
        <v>164</v>
      </c>
      <c r="B17" s="8"/>
      <c r="C17" s="8"/>
      <c r="D17" s="8"/>
      <c r="E17" s="8"/>
      <c r="F17" s="10"/>
    </row>
    <row r="18" spans="1:6" x14ac:dyDescent="0.2">
      <c r="A18" s="11"/>
      <c r="F18" s="16"/>
    </row>
    <row r="19" spans="1:6" ht="17" thickBot="1" x14ac:dyDescent="0.25">
      <c r="A19" s="11" t="s">
        <v>165</v>
      </c>
      <c r="D19" s="45">
        <v>45291</v>
      </c>
      <c r="E19" s="45">
        <v>45657</v>
      </c>
      <c r="F19" s="46">
        <v>46022</v>
      </c>
    </row>
    <row r="20" spans="1:6" x14ac:dyDescent="0.2">
      <c r="A20" s="11" t="s">
        <v>166</v>
      </c>
      <c r="D20" s="23">
        <f>B50</f>
        <v>29471.39322895704</v>
      </c>
      <c r="E20" s="23">
        <f>C50</f>
        <v>31713.56067364075</v>
      </c>
      <c r="F20" s="34">
        <f>D50</f>
        <v>34126.310988667348</v>
      </c>
    </row>
    <row r="21" spans="1:6" x14ac:dyDescent="0.2">
      <c r="A21" s="11" t="s">
        <v>167</v>
      </c>
      <c r="D21" s="23">
        <f>D9-D20</f>
        <v>240359.76680618586</v>
      </c>
      <c r="E21" s="23">
        <f>D12-E20</f>
        <v>208646.20613254505</v>
      </c>
      <c r="F21" s="34">
        <f>D15-F20</f>
        <v>174519.89514387771</v>
      </c>
    </row>
    <row r="22" spans="1:6" x14ac:dyDescent="0.2">
      <c r="A22" s="11"/>
      <c r="F22" s="16"/>
    </row>
    <row r="23" spans="1:6" x14ac:dyDescent="0.2">
      <c r="A23" s="11" t="s">
        <v>168</v>
      </c>
      <c r="F23" s="16"/>
    </row>
    <row r="24" spans="1:6" x14ac:dyDescent="0.2">
      <c r="A24" s="11" t="s">
        <v>169</v>
      </c>
      <c r="D24" s="23">
        <f>MIN(300000,ABS(PV(B37,B38,B39,10000)))</f>
        <v>297218.90838021395</v>
      </c>
      <c r="F24" s="16"/>
    </row>
    <row r="25" spans="1:6" x14ac:dyDescent="0.2">
      <c r="A25" s="11" t="s">
        <v>170</v>
      </c>
      <c r="D25" s="23">
        <f>290000-5000*(1+B45)^-8</f>
        <v>287218.90838024934</v>
      </c>
      <c r="F25" s="16"/>
    </row>
    <row r="26" spans="1:6" x14ac:dyDescent="0.2">
      <c r="A26" s="11" t="s">
        <v>163</v>
      </c>
      <c r="D26" s="23">
        <f>D8</f>
        <v>22823.835581111198</v>
      </c>
      <c r="E26" s="23">
        <f>D11</f>
        <v>20528.60677104292</v>
      </c>
      <c r="F26" s="34">
        <f>D14</f>
        <v>18286.439326359279</v>
      </c>
    </row>
    <row r="27" spans="1:6" ht="17" thickBot="1" x14ac:dyDescent="0.25">
      <c r="A27" s="18" t="s">
        <v>162</v>
      </c>
      <c r="B27" s="19"/>
      <c r="C27" s="19"/>
      <c r="D27" s="44">
        <f>-D7</f>
        <v>2992.67554596829</v>
      </c>
      <c r="E27" s="19"/>
      <c r="F27" s="21"/>
    </row>
    <row r="29" spans="1:6" x14ac:dyDescent="0.2">
      <c r="A29" s="1" t="s">
        <v>171</v>
      </c>
    </row>
    <row r="31" spans="1:6" x14ac:dyDescent="0.2">
      <c r="A31" s="1" t="s">
        <v>146</v>
      </c>
    </row>
    <row r="32" spans="1:6" x14ac:dyDescent="0.2">
      <c r="A32" s="1" t="s">
        <v>147</v>
      </c>
    </row>
    <row r="34" spans="1:6" x14ac:dyDescent="0.2">
      <c r="A34" s="1" t="s">
        <v>155</v>
      </c>
    </row>
    <row r="35" spans="1:6" x14ac:dyDescent="0.2">
      <c r="C35" s="1" t="s">
        <v>153</v>
      </c>
      <c r="D35" s="1" t="s">
        <v>154</v>
      </c>
    </row>
    <row r="36" spans="1:6" x14ac:dyDescent="0.2">
      <c r="B36" s="37">
        <v>44927</v>
      </c>
      <c r="C36" s="37">
        <v>45291</v>
      </c>
      <c r="D36" s="37">
        <v>45291</v>
      </c>
      <c r="E36" s="37">
        <v>45657</v>
      </c>
      <c r="F36" s="37">
        <v>46022</v>
      </c>
    </row>
    <row r="37" spans="1:6" x14ac:dyDescent="0.2">
      <c r="A37" s="1" t="s">
        <v>148</v>
      </c>
      <c r="B37" s="39">
        <f>RATE(B38,B39,B40,B41)</f>
        <v>7.6079451937164394E-2</v>
      </c>
      <c r="C37" s="38">
        <f>B37</f>
        <v>7.6079451937164394E-2</v>
      </c>
      <c r="D37" s="38">
        <f>C37</f>
        <v>7.6079451937164394E-2</v>
      </c>
      <c r="E37" s="38">
        <f>D37</f>
        <v>7.6079451937164394E-2</v>
      </c>
      <c r="F37" s="38">
        <f>E37</f>
        <v>7.6079451937164394E-2</v>
      </c>
    </row>
    <row r="38" spans="1:6" x14ac:dyDescent="0.2">
      <c r="A38" s="1" t="s">
        <v>149</v>
      </c>
      <c r="B38" s="1">
        <v>8</v>
      </c>
      <c r="C38" s="1">
        <v>7</v>
      </c>
      <c r="D38" s="1">
        <f>C38</f>
        <v>7</v>
      </c>
      <c r="E38" s="1">
        <v>6</v>
      </c>
      <c r="F38" s="1">
        <v>5</v>
      </c>
    </row>
    <row r="39" spans="1:6" x14ac:dyDescent="0.2">
      <c r="A39" s="1" t="s">
        <v>150</v>
      </c>
      <c r="B39" s="23">
        <v>50000</v>
      </c>
      <c r="C39" s="23">
        <f>B39</f>
        <v>50000</v>
      </c>
      <c r="D39" s="23">
        <f>C39</f>
        <v>50000</v>
      </c>
      <c r="E39" s="23">
        <f>D39</f>
        <v>50000</v>
      </c>
      <c r="F39" s="23">
        <f>E39</f>
        <v>50000</v>
      </c>
    </row>
    <row r="40" spans="1:6" x14ac:dyDescent="0.2">
      <c r="A40" s="1" t="s">
        <v>151</v>
      </c>
      <c r="B40" s="23">
        <v>-300000</v>
      </c>
      <c r="C40" s="23">
        <f>PV(C37,C38,C39,C41)</f>
        <v>-272823.8355811112</v>
      </c>
      <c r="D40" s="40">
        <f>PV(D37,D38,D39,D41)</f>
        <v>-269831.16003514291</v>
      </c>
      <c r="E40" s="40">
        <f>PV(E37,E38,E39,E41)</f>
        <v>-240359.7668061858</v>
      </c>
      <c r="F40" s="40">
        <f>PV(F37,F38,F39,F41)</f>
        <v>-208646.20613254508</v>
      </c>
    </row>
    <row r="41" spans="1:6" x14ac:dyDescent="0.2">
      <c r="A41" s="1" t="s">
        <v>152</v>
      </c>
      <c r="B41" s="23">
        <v>15000</v>
      </c>
      <c r="C41" s="23">
        <f>B41</f>
        <v>15000</v>
      </c>
      <c r="D41" s="23">
        <v>10000</v>
      </c>
      <c r="E41" s="23">
        <f>D41</f>
        <v>10000</v>
      </c>
      <c r="F41" s="23">
        <f>D41</f>
        <v>10000</v>
      </c>
    </row>
    <row r="43" spans="1:6" x14ac:dyDescent="0.2">
      <c r="A43" s="1" t="s">
        <v>156</v>
      </c>
    </row>
    <row r="44" spans="1:6" x14ac:dyDescent="0.2">
      <c r="B44" s="37">
        <v>45291</v>
      </c>
      <c r="C44" s="37">
        <v>45657</v>
      </c>
      <c r="D44" s="37">
        <v>46022</v>
      </c>
    </row>
    <row r="45" spans="1:6" x14ac:dyDescent="0.2">
      <c r="A45" s="1" t="s">
        <v>148</v>
      </c>
      <c r="B45" s="38">
        <f>C37</f>
        <v>7.6079451937164394E-2</v>
      </c>
      <c r="C45" s="38">
        <f>B45</f>
        <v>7.6079451937164394E-2</v>
      </c>
      <c r="D45" s="38">
        <f>C45</f>
        <v>7.6079451937164394E-2</v>
      </c>
    </row>
    <row r="46" spans="1:6" x14ac:dyDescent="0.2">
      <c r="A46" s="1" t="s">
        <v>157</v>
      </c>
      <c r="B46" s="1">
        <v>1</v>
      </c>
      <c r="C46" s="1">
        <v>2</v>
      </c>
      <c r="D46" s="1">
        <v>3</v>
      </c>
    </row>
    <row r="47" spans="1:6" x14ac:dyDescent="0.2">
      <c r="A47" s="1" t="s">
        <v>149</v>
      </c>
      <c r="B47" s="1">
        <v>7</v>
      </c>
      <c r="C47" s="1">
        <v>7</v>
      </c>
      <c r="D47" s="1">
        <v>7</v>
      </c>
    </row>
    <row r="48" spans="1:6" x14ac:dyDescent="0.2">
      <c r="A48" s="1" t="s">
        <v>151</v>
      </c>
      <c r="B48" s="23">
        <f>D40</f>
        <v>-269831.16003514291</v>
      </c>
      <c r="C48" s="23">
        <f>B48</f>
        <v>-269831.16003514291</v>
      </c>
      <c r="D48" s="23">
        <f>C48</f>
        <v>-269831.16003514291</v>
      </c>
    </row>
    <row r="49" spans="1:4" x14ac:dyDescent="0.2">
      <c r="A49" s="1" t="s">
        <v>152</v>
      </c>
      <c r="B49" s="23">
        <f>D41</f>
        <v>10000</v>
      </c>
      <c r="C49" s="23">
        <f>E41</f>
        <v>10000</v>
      </c>
      <c r="D49" s="23">
        <f>F41</f>
        <v>10000</v>
      </c>
    </row>
    <row r="50" spans="1:4" x14ac:dyDescent="0.2">
      <c r="A50" s="1" t="s">
        <v>158</v>
      </c>
      <c r="B50" s="40">
        <f>PPMT(B45,B46,B47,B48,B49)</f>
        <v>29471.39322895704</v>
      </c>
      <c r="C50" s="40">
        <f>PPMT(C45,C46,C47,C48,C49)</f>
        <v>31713.56067364075</v>
      </c>
      <c r="D50" s="40">
        <f>PPMT(D45,D46,D47,D48,D49)</f>
        <v>34126.310988667348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F01B-85B8-CC40-8E8C-7029CBB84D3D}">
  <dimension ref="A1:E49"/>
  <sheetViews>
    <sheetView rightToLeft="1" tabSelected="1" zoomScale="134" workbookViewId="0">
      <selection activeCell="G22" sqref="G22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6" t="s">
        <v>172</v>
      </c>
    </row>
    <row r="2" spans="1:5" ht="17" thickBot="1" x14ac:dyDescent="0.25"/>
    <row r="3" spans="1:5" x14ac:dyDescent="0.2">
      <c r="A3" s="7" t="s">
        <v>190</v>
      </c>
      <c r="B3" s="8"/>
      <c r="C3" s="8"/>
      <c r="D3" s="8"/>
      <c r="E3" s="50">
        <f>B45</f>
        <v>1270000</v>
      </c>
    </row>
    <row r="4" spans="1:5" x14ac:dyDescent="0.2">
      <c r="A4" s="11" t="s">
        <v>175</v>
      </c>
      <c r="E4" s="15">
        <v>18000</v>
      </c>
    </row>
    <row r="5" spans="1:5" x14ac:dyDescent="0.2">
      <c r="A5" s="11" t="s">
        <v>195</v>
      </c>
      <c r="E5" s="15">
        <f>MIN(E13*D23,E11)</f>
        <v>21931.185628992826</v>
      </c>
    </row>
    <row r="6" spans="1:5" ht="17" thickBot="1" x14ac:dyDescent="0.25">
      <c r="A6" s="18" t="s">
        <v>177</v>
      </c>
      <c r="B6" s="19"/>
      <c r="C6" s="19"/>
      <c r="D6" s="19"/>
      <c r="E6" s="51">
        <f>SUM(E3:E5)</f>
        <v>1309931.1856289927</v>
      </c>
    </row>
    <row r="7" spans="1:5" x14ac:dyDescent="0.2">
      <c r="E7" s="3"/>
    </row>
    <row r="8" spans="1:5" x14ac:dyDescent="0.2">
      <c r="A8" s="1" t="s">
        <v>178</v>
      </c>
      <c r="E8" s="3"/>
    </row>
    <row r="9" spans="1:5" x14ac:dyDescent="0.2">
      <c r="A9" s="1" t="s">
        <v>179</v>
      </c>
      <c r="E9" s="3">
        <f>280000*7%</f>
        <v>19600.000000000004</v>
      </c>
    </row>
    <row r="10" spans="1:5" x14ac:dyDescent="0.2">
      <c r="A10" s="1" t="s">
        <v>196</v>
      </c>
      <c r="E10" s="3">
        <f>120000*(1.08^0.25-1)</f>
        <v>2331.1856289928201</v>
      </c>
    </row>
    <row r="11" spans="1:5" x14ac:dyDescent="0.2">
      <c r="A11" s="1" t="s">
        <v>180</v>
      </c>
      <c r="E11" s="3">
        <f>E9+E10</f>
        <v>21931.185628992826</v>
      </c>
    </row>
    <row r="13" spans="1:5" x14ac:dyDescent="0.2">
      <c r="A13" s="1" t="s">
        <v>186</v>
      </c>
      <c r="E13" s="49">
        <f>E11/(280000+120000*3/12)</f>
        <v>7.0745760093525248E-2</v>
      </c>
    </row>
    <row r="16" spans="1:5" x14ac:dyDescent="0.2">
      <c r="A16" s="48" t="s">
        <v>173</v>
      </c>
      <c r="B16" s="48" t="s">
        <v>174</v>
      </c>
      <c r="C16" s="48" t="s">
        <v>187</v>
      </c>
      <c r="D16" s="48" t="s">
        <v>188</v>
      </c>
    </row>
    <row r="17" spans="1:4" x14ac:dyDescent="0.2">
      <c r="A17" s="37">
        <v>44927</v>
      </c>
      <c r="B17" s="1">
        <v>500000</v>
      </c>
      <c r="C17" s="1">
        <v>1</v>
      </c>
      <c r="D17" s="3">
        <f>B17*C17</f>
        <v>500000</v>
      </c>
    </row>
    <row r="18" spans="1:4" x14ac:dyDescent="0.2">
      <c r="A18" s="37">
        <v>45047</v>
      </c>
      <c r="B18" s="1">
        <v>200000</v>
      </c>
      <c r="C18" s="47">
        <f>8/12</f>
        <v>0.66666666666666663</v>
      </c>
      <c r="D18" s="3">
        <f t="shared" ref="D18:D21" si="0">B18*C18</f>
        <v>133333.33333333331</v>
      </c>
    </row>
    <row r="19" spans="1:4" x14ac:dyDescent="0.2">
      <c r="A19" s="37">
        <v>45108</v>
      </c>
      <c r="B19" s="1">
        <v>250000</v>
      </c>
      <c r="C19" s="1">
        <f>6/12</f>
        <v>0.5</v>
      </c>
      <c r="D19" s="3">
        <f t="shared" si="0"/>
        <v>125000</v>
      </c>
    </row>
    <row r="20" spans="1:4" x14ac:dyDescent="0.2">
      <c r="A20" s="37">
        <v>45200</v>
      </c>
      <c r="B20" s="1">
        <v>-90000</v>
      </c>
      <c r="C20" s="1">
        <f>3/12</f>
        <v>0.25</v>
      </c>
      <c r="D20" s="3">
        <f t="shared" si="0"/>
        <v>-22500</v>
      </c>
    </row>
    <row r="21" spans="1:4" x14ac:dyDescent="0.2">
      <c r="A21" s="37">
        <v>45291</v>
      </c>
      <c r="B21" s="1">
        <v>320000</v>
      </c>
      <c r="C21" s="1">
        <v>0</v>
      </c>
      <c r="D21" s="3">
        <f t="shared" si="0"/>
        <v>0</v>
      </c>
    </row>
    <row r="22" spans="1:4" x14ac:dyDescent="0.2">
      <c r="A22" s="37" t="s">
        <v>189</v>
      </c>
      <c r="D22" s="3">
        <f>-45%*500000</f>
        <v>-225000</v>
      </c>
    </row>
    <row r="23" spans="1:4" x14ac:dyDescent="0.2">
      <c r="A23" s="37"/>
      <c r="D23" s="5">
        <f>SUM(D17:D22)</f>
        <v>510833.33333333326</v>
      </c>
    </row>
    <row r="25" spans="1:4" x14ac:dyDescent="0.2">
      <c r="A25" s="1" t="s">
        <v>197</v>
      </c>
    </row>
    <row r="26" spans="1:4" x14ac:dyDescent="0.2">
      <c r="A26" s="1" t="s">
        <v>181</v>
      </c>
    </row>
    <row r="27" spans="1:4" x14ac:dyDescent="0.2">
      <c r="A27" s="1" t="s">
        <v>182</v>
      </c>
    </row>
    <row r="28" spans="1:4" x14ac:dyDescent="0.2">
      <c r="A28" s="1" t="s">
        <v>183</v>
      </c>
    </row>
    <row r="29" spans="1:4" x14ac:dyDescent="0.2">
      <c r="A29" s="1" t="s">
        <v>184</v>
      </c>
    </row>
    <row r="30" spans="1:4" x14ac:dyDescent="0.2">
      <c r="A30" s="1" t="s">
        <v>185</v>
      </c>
    </row>
    <row r="32" spans="1:4" x14ac:dyDescent="0.2">
      <c r="A32" s="1" t="s">
        <v>191</v>
      </c>
    </row>
    <row r="33" spans="1:2" x14ac:dyDescent="0.2">
      <c r="A33" s="1" t="s">
        <v>192</v>
      </c>
    </row>
    <row r="34" spans="1:2" x14ac:dyDescent="0.2">
      <c r="A34" s="1" t="s">
        <v>193</v>
      </c>
    </row>
    <row r="35" spans="1:2" x14ac:dyDescent="0.2">
      <c r="A35" s="1" t="s">
        <v>194</v>
      </c>
    </row>
    <row r="37" spans="1:2" x14ac:dyDescent="0.2">
      <c r="A37" s="1" t="s">
        <v>176</v>
      </c>
    </row>
    <row r="38" spans="1:2" x14ac:dyDescent="0.2">
      <c r="A38" s="48" t="s">
        <v>173</v>
      </c>
      <c r="B38" s="48" t="s">
        <v>174</v>
      </c>
    </row>
    <row r="39" spans="1:2" x14ac:dyDescent="0.2">
      <c r="A39" s="37">
        <v>44927</v>
      </c>
      <c r="B39" s="3">
        <v>500000</v>
      </c>
    </row>
    <row r="40" spans="1:2" x14ac:dyDescent="0.2">
      <c r="A40" s="37">
        <v>45047</v>
      </c>
      <c r="B40" s="3">
        <v>200000</v>
      </c>
    </row>
    <row r="41" spans="1:2" x14ac:dyDescent="0.2">
      <c r="A41" s="37">
        <v>45108</v>
      </c>
      <c r="B41" s="3">
        <v>250000</v>
      </c>
    </row>
    <row r="42" spans="1:2" x14ac:dyDescent="0.2">
      <c r="A42" s="37">
        <v>45200</v>
      </c>
      <c r="B42" s="3">
        <v>-90000</v>
      </c>
    </row>
    <row r="43" spans="1:2" x14ac:dyDescent="0.2">
      <c r="A43" s="37">
        <v>45231</v>
      </c>
      <c r="B43" s="3">
        <v>90000</v>
      </c>
    </row>
    <row r="44" spans="1:2" x14ac:dyDescent="0.2">
      <c r="A44" s="37">
        <v>45291</v>
      </c>
      <c r="B44" s="3">
        <v>320000</v>
      </c>
    </row>
    <row r="45" spans="1:2" x14ac:dyDescent="0.2">
      <c r="A45" s="1" t="s">
        <v>49</v>
      </c>
      <c r="B45" s="5">
        <f>SUM(B39:B44)</f>
        <v>1270000</v>
      </c>
    </row>
    <row r="47" spans="1:2" x14ac:dyDescent="0.2">
      <c r="A47" s="1" t="s">
        <v>198</v>
      </c>
    </row>
    <row r="48" spans="1:2" x14ac:dyDescent="0.2">
      <c r="A48" s="1" t="s">
        <v>199</v>
      </c>
    </row>
    <row r="49" spans="1:1" x14ac:dyDescent="0.2">
      <c r="A49" s="1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שאלה 3</vt:lpstr>
      <vt:lpstr>שאלה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2024-04-04T17:58:27Z</dcterms:created>
  <dcterms:modified xsi:type="dcterms:W3CDTF">2024-04-07T05:15:49Z</dcterms:modified>
</cp:coreProperties>
</file>