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אופק לימודים\"/>
    </mc:Choice>
  </mc:AlternateContent>
  <xr:revisionPtr revIDLastSave="0" documentId="13_ncr:1_{58A65C6C-7EE8-41DF-849E-43F40D88B984}" xr6:coauthVersionLast="47" xr6:coauthVersionMax="47" xr10:uidLastSave="{00000000-0000-0000-0000-000000000000}"/>
  <bookViews>
    <workbookView xWindow="-108" yWindow="-108" windowWidth="23256" windowHeight="12576" xr2:uid="{6F0D290F-0414-472B-954D-D2AB775DB930}"/>
  </bookViews>
  <sheets>
    <sheet name="שאלה 1" sheetId="2" r:id="rId1"/>
    <sheet name="שאלה 2" sheetId="3" r:id="rId2"/>
    <sheet name="שאלה 3" sheetId="4" r:id="rId3"/>
    <sheet name="שאלה 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5" l="1"/>
  <c r="A17" i="4" l="1"/>
  <c r="E13" i="4"/>
  <c r="B28" i="4"/>
  <c r="B29" i="4"/>
  <c r="B24" i="4"/>
  <c r="B23" i="4"/>
  <c r="B27" i="4"/>
  <c r="A29" i="4"/>
  <c r="A28" i="4"/>
  <c r="A27" i="4"/>
  <c r="A26" i="4"/>
  <c r="A21" i="4"/>
  <c r="I23" i="4"/>
  <c r="I22" i="4"/>
  <c r="B22" i="4"/>
  <c r="B21" i="4"/>
  <c r="D13" i="4"/>
  <c r="B26" i="4"/>
  <c r="B25" i="4" l="1"/>
  <c r="I27" i="4" l="1"/>
  <c r="D18" i="4"/>
  <c r="E17" i="4" l="1"/>
  <c r="B14" i="2" l="1"/>
  <c r="B27" i="2"/>
  <c r="C81" i="2"/>
  <c r="I72" i="2"/>
  <c r="I71" i="2"/>
  <c r="D74" i="2"/>
  <c r="M71" i="2"/>
  <c r="L72" i="2"/>
  <c r="L71" i="2"/>
  <c r="D71" i="2"/>
  <c r="K72" i="2"/>
  <c r="M72" i="2" s="1"/>
  <c r="K71" i="2"/>
  <c r="J72" i="2"/>
  <c r="J71" i="2"/>
  <c r="C103" i="2"/>
  <c r="D81" i="2"/>
  <c r="H33" i="2"/>
  <c r="B63" i="2"/>
  <c r="D51" i="2"/>
  <c r="D44" i="2"/>
  <c r="C70" i="5"/>
  <c r="C69" i="5"/>
  <c r="C68" i="5"/>
  <c r="C62" i="5" l="1"/>
  <c r="C60" i="5"/>
  <c r="C58" i="5"/>
  <c r="C57" i="5"/>
  <c r="C53" i="5"/>
  <c r="C52" i="5"/>
  <c r="B53" i="5"/>
  <c r="B52" i="5"/>
  <c r="C48" i="5"/>
  <c r="C50" i="5" s="1"/>
  <c r="G48" i="5"/>
  <c r="C44" i="5"/>
  <c r="C43" i="5"/>
  <c r="C41" i="5"/>
  <c r="C40" i="5"/>
  <c r="C39" i="5"/>
  <c r="C38" i="5"/>
  <c r="C36" i="5"/>
  <c r="G37" i="5"/>
  <c r="G36" i="5"/>
  <c r="B36" i="5"/>
  <c r="C29" i="5"/>
  <c r="C28" i="5"/>
  <c r="B28" i="5"/>
  <c r="C27" i="5"/>
  <c r="B27" i="5"/>
  <c r="C18" i="5"/>
  <c r="C24" i="5"/>
  <c r="C17" i="5"/>
  <c r="C16" i="5" l="1"/>
  <c r="C15" i="5"/>
  <c r="C14" i="5"/>
  <c r="C13" i="5"/>
  <c r="D17" i="4" l="1"/>
  <c r="I24" i="4"/>
  <c r="I25" i="4" s="1"/>
  <c r="O38" i="3"/>
  <c r="Q38" i="3"/>
  <c r="Q36" i="3"/>
  <c r="O36" i="3"/>
  <c r="R35" i="3"/>
  <c r="R34" i="3"/>
  <c r="E85" i="3"/>
  <c r="D84" i="3"/>
  <c r="C85" i="3"/>
  <c r="C84" i="3"/>
  <c r="N7" i="3"/>
  <c r="E82" i="3"/>
  <c r="D81" i="3"/>
  <c r="C81" i="3"/>
  <c r="E79" i="3"/>
  <c r="C79" i="3"/>
  <c r="R33" i="3"/>
  <c r="R32" i="3"/>
  <c r="O31" i="3"/>
  <c r="O30" i="3"/>
  <c r="R29" i="3"/>
  <c r="R28" i="3"/>
  <c r="R27" i="3"/>
  <c r="Q26" i="3"/>
  <c r="O26" i="3"/>
  <c r="Q25" i="3"/>
  <c r="O25" i="3"/>
  <c r="P38" i="3"/>
  <c r="O34" i="3"/>
  <c r="Q34" i="3" s="1"/>
  <c r="Q31" i="3"/>
  <c r="Q30" i="3"/>
  <c r="N19" i="3"/>
  <c r="O37" i="3" s="1"/>
  <c r="N17" i="3"/>
  <c r="N16" i="3"/>
  <c r="L16" i="3"/>
  <c r="N14" i="3"/>
  <c r="N15" i="3"/>
  <c r="N13" i="3"/>
  <c r="L14" i="3"/>
  <c r="L15" i="3"/>
  <c r="L13" i="3"/>
  <c r="N12" i="3"/>
  <c r="N11" i="3"/>
  <c r="L11" i="3"/>
  <c r="N8" i="3"/>
  <c r="N5" i="3"/>
  <c r="N6" i="3"/>
  <c r="L6" i="3"/>
  <c r="E75" i="3"/>
  <c r="C75" i="3"/>
  <c r="E72" i="3"/>
  <c r="D71" i="3"/>
  <c r="C72" i="3"/>
  <c r="C71" i="3"/>
  <c r="E69" i="3"/>
  <c r="E63" i="3"/>
  <c r="D62" i="3"/>
  <c r="C63" i="3"/>
  <c r="C62" i="3"/>
  <c r="E60" i="3"/>
  <c r="D59" i="3"/>
  <c r="E57" i="3"/>
  <c r="D56" i="3"/>
  <c r="C57" i="3"/>
  <c r="C56" i="3"/>
  <c r="D54" i="3"/>
  <c r="E49" i="3"/>
  <c r="D48" i="3"/>
  <c r="C48" i="3"/>
  <c r="E46" i="3"/>
  <c r="D45" i="3"/>
  <c r="E42" i="3"/>
  <c r="C42" i="3"/>
  <c r="E34" i="3"/>
  <c r="D24" i="3"/>
  <c r="E21" i="3"/>
  <c r="E15" i="3"/>
  <c r="D14" i="3"/>
  <c r="C15" i="3"/>
  <c r="C14" i="3"/>
  <c r="E12" i="3"/>
  <c r="D11" i="3"/>
  <c r="E9" i="3"/>
  <c r="D8" i="3"/>
  <c r="E6" i="3"/>
  <c r="S9" i="2"/>
  <c r="Q9" i="2"/>
  <c r="N9" i="2"/>
  <c r="B26" i="2"/>
  <c r="C26" i="2"/>
  <c r="B121" i="2"/>
  <c r="B81" i="2"/>
  <c r="S8" i="2"/>
  <c r="R8" i="2"/>
  <c r="P8" i="2"/>
  <c r="O8" i="2"/>
  <c r="N8" i="2"/>
  <c r="C116" i="2"/>
  <c r="C115" i="2"/>
  <c r="D115" i="2"/>
  <c r="B115" i="2"/>
  <c r="D113" i="2"/>
  <c r="C113" i="2"/>
  <c r="D112" i="2"/>
  <c r="B113" i="2"/>
  <c r="C114" i="2"/>
  <c r="B13" i="2"/>
  <c r="B107" i="2"/>
  <c r="B11" i="2"/>
  <c r="A11" i="2"/>
  <c r="B10" i="2"/>
  <c r="C98" i="2"/>
  <c r="C97" i="2"/>
  <c r="B9" i="2"/>
  <c r="C92" i="2"/>
  <c r="B8" i="2"/>
  <c r="D14" i="4" l="1"/>
  <c r="I26" i="4"/>
  <c r="E18" i="4" s="1"/>
  <c r="R38" i="3"/>
  <c r="B88" i="2"/>
  <c r="D82" i="2"/>
  <c r="D84" i="2" s="1"/>
  <c r="R7" i="2" s="1"/>
  <c r="B82" i="2"/>
  <c r="B84" i="2" s="1"/>
  <c r="B7" i="2"/>
  <c r="B29" i="2" s="1"/>
  <c r="B31" i="2" s="1"/>
  <c r="C80" i="2"/>
  <c r="C83" i="2"/>
  <c r="R6" i="2"/>
  <c r="P6" i="2"/>
  <c r="S6" i="2" s="1"/>
  <c r="O6" i="2"/>
  <c r="N6" i="2"/>
  <c r="B6" i="2"/>
  <c r="B25" i="2"/>
  <c r="C75" i="2"/>
  <c r="C74" i="2"/>
  <c r="B74" i="2"/>
  <c r="C72" i="2"/>
  <c r="D72" i="2"/>
  <c r="B72" i="2"/>
  <c r="C71" i="2"/>
  <c r="C70" i="2"/>
  <c r="D70" i="2"/>
  <c r="B70" i="2"/>
  <c r="B71" i="2"/>
  <c r="C73" i="2"/>
  <c r="N5" i="2"/>
  <c r="I28" i="4" l="1"/>
  <c r="E14" i="4" s="1"/>
  <c r="C82" i="2"/>
  <c r="C84" i="2" s="1"/>
  <c r="O7" i="2" s="1"/>
  <c r="C85" i="2"/>
  <c r="P7" i="2" s="1"/>
  <c r="N7" i="2"/>
  <c r="S7" i="2" l="1"/>
  <c r="B59" i="2"/>
  <c r="B58" i="2"/>
  <c r="B60" i="2" s="1"/>
  <c r="B24" i="2" s="1"/>
  <c r="C51" i="2"/>
  <c r="B51" i="2"/>
  <c r="B50" i="2"/>
  <c r="B52" i="2" s="1"/>
  <c r="B65" i="2" l="1"/>
  <c r="B5" i="2" s="1"/>
  <c r="B54" i="2"/>
  <c r="C50" i="2"/>
  <c r="C41" i="2"/>
  <c r="B23" i="2" s="1"/>
  <c r="B44" i="2"/>
  <c r="C53" i="2"/>
  <c r="D40" i="2"/>
  <c r="D42" i="2" s="1"/>
  <c r="R4" i="2" s="1"/>
  <c r="B40" i="2"/>
  <c r="B42" i="2" s="1"/>
  <c r="C42" i="2" l="1"/>
  <c r="C44" i="2" s="1"/>
  <c r="O4" i="2" s="1"/>
  <c r="C45" i="2"/>
  <c r="P4" i="2" s="1"/>
  <c r="N4" i="2"/>
  <c r="S4" i="2" s="1"/>
  <c r="C40" i="2"/>
  <c r="B22" i="2" s="1"/>
  <c r="D52" i="2"/>
  <c r="D54" i="2" s="1"/>
  <c r="R5" i="2" l="1"/>
  <c r="R9" i="2" s="1"/>
  <c r="B32" i="2" s="1"/>
  <c r="B34" i="2" s="1"/>
  <c r="C52" i="2"/>
  <c r="C54" i="2" s="1"/>
  <c r="O5" i="2" s="1"/>
  <c r="O9" i="2" l="1"/>
  <c r="S5" i="2"/>
  <c r="C55" i="2"/>
  <c r="P5" i="2" s="1"/>
  <c r="P9" i="2" s="1"/>
</calcChain>
</file>

<file path=xl/sharedStrings.xml><?xml version="1.0" encoding="utf-8"?>
<sst xmlns="http://schemas.openxmlformats.org/spreadsheetml/2006/main" count="262" uniqueCount="187">
  <si>
    <t>דוח התאמה למס 2023</t>
  </si>
  <si>
    <t>רווח חשבונאי לפני מס</t>
  </si>
  <si>
    <t>שיעורי מס</t>
  </si>
  <si>
    <t>2025 ואילך</t>
  </si>
  <si>
    <t>הוסף:</t>
  </si>
  <si>
    <t>הפחת:</t>
  </si>
  <si>
    <t>לפי הספרים</t>
  </si>
  <si>
    <t>הפרש עיתוי</t>
  </si>
  <si>
    <t>מס נדחה</t>
  </si>
  <si>
    <t>31.12.22</t>
  </si>
  <si>
    <t>31.12.23</t>
  </si>
  <si>
    <t>לפי מס הכנסה</t>
  </si>
  <si>
    <t>שיעור מס</t>
  </si>
  <si>
    <t>הוצאות פחת נדל"ש</t>
  </si>
  <si>
    <t>רווח מע"ע נדל"ש</t>
  </si>
  <si>
    <t>פחת מואץ שולחנות עבודה</t>
  </si>
  <si>
    <t>רווח הון מכירת שולחנות</t>
  </si>
  <si>
    <t>נתון 1-מבנה להשכרה</t>
  </si>
  <si>
    <t>נתון 2-שולחנות עבודה</t>
  </si>
  <si>
    <t>שינוי</t>
  </si>
  <si>
    <t>שינוי בגין מס</t>
  </si>
  <si>
    <t>מחוץ לרוו"ה</t>
  </si>
  <si>
    <t>ביאור מס נדחה:</t>
  </si>
  <si>
    <t>מבנה להשכרה</t>
  </si>
  <si>
    <t>שולחנות עבודה</t>
  </si>
  <si>
    <t>הפרש שנובע מגובה הפחת:</t>
  </si>
  <si>
    <t>הפרש בגין פחת</t>
  </si>
  <si>
    <t>הפרש שנובע מרווח ההון:</t>
  </si>
  <si>
    <t>הפרש בגין רווח הון</t>
  </si>
  <si>
    <t>נתון 3-מכונת הדפסת מדבקות</t>
  </si>
  <si>
    <t>פחת מואץ מכונת מדבקות</t>
  </si>
  <si>
    <t>פחת מכונת מדבקות</t>
  </si>
  <si>
    <t>מכונת מדבקות</t>
  </si>
  <si>
    <t>נתון 4-הפרשה לחומ"ס</t>
  </si>
  <si>
    <t>הוצאה שרשומה בספרים</t>
  </si>
  <si>
    <t>הפרש קבוע</t>
  </si>
  <si>
    <t>הפרשה לחומ"ס</t>
  </si>
  <si>
    <t>הוצאות לחובות מסופקים</t>
  </si>
  <si>
    <t>חובות אבודים</t>
  </si>
  <si>
    <t>נתון 5-מלאי</t>
  </si>
  <si>
    <t>הוצאה לא מוכרת שנרשמה בספרים</t>
  </si>
  <si>
    <t>ירידת ערך מלאי</t>
  </si>
  <si>
    <t>נתון 6-כיבודים</t>
  </si>
  <si>
    <t>הוצאות כיבודים שלא מותרות כלל</t>
  </si>
  <si>
    <t>הוצאות כיבודים ש30% לא מותר</t>
  </si>
  <si>
    <t>הוצאות כיבודים</t>
  </si>
  <si>
    <t>נתון 7-תרומות</t>
  </si>
  <si>
    <t>תרומות לא מוכרות</t>
  </si>
  <si>
    <t xml:space="preserve">תרומות </t>
  </si>
  <si>
    <t>תרומות</t>
  </si>
  <si>
    <t>זיכוי</t>
  </si>
  <si>
    <t>נתון 8-הוצאות לא מוכרות בגין רכב</t>
  </si>
  <si>
    <t>הוצאות רכב</t>
  </si>
  <si>
    <t>נתון 9-הכנסות על בסיס מזומן</t>
  </si>
  <si>
    <t>הכנסות על בסיס מזומן</t>
  </si>
  <si>
    <t>נתון 10-הכנסה החייבת בשיעור מס שונה:</t>
  </si>
  <si>
    <t>גובה ההכנסה בשיעור מס שונה</t>
  </si>
  <si>
    <t>הכנסה בשיעור מס שונה</t>
  </si>
  <si>
    <t>שיעור מס שונה</t>
  </si>
  <si>
    <t>סה"כ הכנסה חייבת במס</t>
  </si>
  <si>
    <t>הוצאות מס שוטפות 2023</t>
  </si>
  <si>
    <t>סה"כ</t>
  </si>
  <si>
    <t xml:space="preserve">הוצאות מס נדחה </t>
  </si>
  <si>
    <t>סה"כ הוצאות מס ברווח והפסד</t>
  </si>
  <si>
    <t>נדרש ג</t>
  </si>
  <si>
    <t>תנועה במיסים הנדחים</t>
  </si>
  <si>
    <t>נדרש א-פקודות יומן:</t>
  </si>
  <si>
    <t>סעיף 1:</t>
  </si>
  <si>
    <t>חובה</t>
  </si>
  <si>
    <t>זכות</t>
  </si>
  <si>
    <t>ריהוט</t>
  </si>
  <si>
    <t>נכסים נטו לא מוגבלים שלא יועדו</t>
  </si>
  <si>
    <t>נכסים נטו לא מוגבלים ששימשו לרכוש קבוע</t>
  </si>
  <si>
    <t>מזומן</t>
  </si>
  <si>
    <t>הוצאות פחת</t>
  </si>
  <si>
    <t>פחת נצבר</t>
  </si>
  <si>
    <t>סעיף 2:</t>
  </si>
  <si>
    <t>הכנסות מתרומות</t>
  </si>
  <si>
    <t>חייבים</t>
  </si>
  <si>
    <t>נכסים נטו שקיימת לגביהם הגבלה</t>
  </si>
  <si>
    <t>סעיף 3:</t>
  </si>
  <si>
    <t>הנחה-מכיוון שהם לטווח הרחוק זה בגין הגבלה</t>
  </si>
  <si>
    <t>סעיף 4:</t>
  </si>
  <si>
    <t>הוצאות שכר</t>
  </si>
  <si>
    <t>הוצאות תפעול</t>
  </si>
  <si>
    <t>הוצאות פרסום</t>
  </si>
  <si>
    <t>סעיף 5:</t>
  </si>
  <si>
    <t>אין להכיר בבסכום מכיוון שהוא לא התקיים עד תום תקופת הדיווח</t>
  </si>
  <si>
    <t>סעיף 6:</t>
  </si>
  <si>
    <t>סעיף 7:</t>
  </si>
  <si>
    <t>הוצאות בגין ספרי לימוד</t>
  </si>
  <si>
    <t>סעיף 8:</t>
  </si>
  <si>
    <t>כלי רכב</t>
  </si>
  <si>
    <t>הכנסות מתרומות בגין נכסים ללא תמורה</t>
  </si>
  <si>
    <t>סעיף 9:</t>
  </si>
  <si>
    <t>החברה הצליחה לעמוד בתנאי לכן נכיר בהכנסות</t>
  </si>
  <si>
    <t>מקדמה הניתנת להחזרה</t>
  </si>
  <si>
    <t>דוח על הפעילות:</t>
  </si>
  <si>
    <t>מחזור הפעילות:</t>
  </si>
  <si>
    <t>נדרש ב-דוחות:</t>
  </si>
  <si>
    <t>הכנסות שחרור מהגבלה</t>
  </si>
  <si>
    <t>סך ההכנסות:</t>
  </si>
  <si>
    <t>עלות הפעילות:</t>
  </si>
  <si>
    <t>הוצאות פחת ריהוט</t>
  </si>
  <si>
    <t>הוצאות פחת כלי רכב</t>
  </si>
  <si>
    <t>סך עלות הפעילות</t>
  </si>
  <si>
    <t>עודף הכנסות</t>
  </si>
  <si>
    <t>דוח על הנכסים המזוהים נטו:</t>
  </si>
  <si>
    <t>פרטים</t>
  </si>
  <si>
    <t>נכסים לא מוגבלים</t>
  </si>
  <si>
    <t>נכסים</t>
  </si>
  <si>
    <t>שלא יועדו</t>
  </si>
  <si>
    <t>שיועדו</t>
  </si>
  <si>
    <t>ששימשו לר״ק</t>
  </si>
  <si>
    <t>מוגבלים</t>
  </si>
  <si>
    <t>עודף הכנסות על הוצאות</t>
  </si>
  <si>
    <t>סה״כ</t>
  </si>
  <si>
    <t>נתון 1 - רכישת ריהוט</t>
  </si>
  <si>
    <t>נתון 1.2 - פחת על הריהוט</t>
  </si>
  <si>
    <t>נתון 3-תרומה מותנת בזמן</t>
  </si>
  <si>
    <t>נתון 6-תרומה לטובת ספרי לימוד</t>
  </si>
  <si>
    <t>נתון 7-מיצוי תרומת ספרי לימוד</t>
  </si>
  <si>
    <t>נתון 8.1-קבלת כלי רכב</t>
  </si>
  <si>
    <t>נתון 8.2-פחת על כלי הרכב</t>
  </si>
  <si>
    <t>נתון 9.2-תרומה מוגבלת לפעילות העשרה לילדים</t>
  </si>
  <si>
    <t xml:space="preserve">נתון 9.1-עמידה בתרומה מותנת לפעילות העשרת ילדים </t>
  </si>
  <si>
    <t>סעיף 10:</t>
  </si>
  <si>
    <t>מבנה</t>
  </si>
  <si>
    <t>נתון 10.1-הגבלת זמן שימוש במבנה</t>
  </si>
  <si>
    <t>נתון 10.2 שחרור מהגבלת זמן שימוש במבנה</t>
  </si>
  <si>
    <t>נתון 10.3-מעבר לרכוש קבוע</t>
  </si>
  <si>
    <t>תנועה בהתחייבות בגין חכירה:</t>
  </si>
  <si>
    <t>תנועה בנכס זכות שימוש:</t>
  </si>
  <si>
    <t>הוצאות מימון</t>
  </si>
  <si>
    <t>תשלום</t>
  </si>
  <si>
    <t>1.1.18</t>
  </si>
  <si>
    <t>31.12.18</t>
  </si>
  <si>
    <t>31.12.19</t>
  </si>
  <si>
    <t>הדוח על המצב הכספי</t>
  </si>
  <si>
    <t>התחייבות בגין חכירה</t>
  </si>
  <si>
    <t>נכס זכות שימוש</t>
  </si>
  <si>
    <t>הדוח על הרווח או הפסד</t>
  </si>
  <si>
    <t>שלב 1:האם מדובר בנכס כשיר ותאריך תחילת ההיון:</t>
  </si>
  <si>
    <t>מדובר על נכס כשיר כי נתון שזה נכס שיוחזק לאורך זמן לפי IAS23</t>
  </si>
  <si>
    <t>תאריך תחילת ההיוון:</t>
  </si>
  <si>
    <t>מועד שבו נוצרו עלויות לנכס</t>
  </si>
  <si>
    <t>1.3.23</t>
  </si>
  <si>
    <t>מועד שנוצרו עלויות מימון לחברה</t>
  </si>
  <si>
    <t>1.1.23</t>
  </si>
  <si>
    <t>מועד שהחברה  החלה בפעולה לצורך הקמת הנכס</t>
  </si>
  <si>
    <t>שנת 2023</t>
  </si>
  <si>
    <t>נתחיל להוון עלויות לנכס החל מהתאריך 1.3.23</t>
  </si>
  <si>
    <t>שלב 2:ממוצע נכס כשיר:</t>
  </si>
  <si>
    <t>עלויות נוספות 1.7.23</t>
  </si>
  <si>
    <t>עלויות נוספות 1.10.23</t>
  </si>
  <si>
    <t>עלויות נוספות 31.12.23</t>
  </si>
  <si>
    <t>עלויות ראשוניות 1.3.23</t>
  </si>
  <si>
    <t>מענק ממשלתי 1.11.23</t>
  </si>
  <si>
    <t>שלב 3 אשראי ספיציפי:</t>
  </si>
  <si>
    <t>הוצאות מימון אשראי ספיציפי</t>
  </si>
  <si>
    <t>ממוצע אשראי ספיציפי</t>
  </si>
  <si>
    <t>סה"כ ממוצע נכס כשיר</t>
  </si>
  <si>
    <t>שלב 4 ממוצע אשראי לא ספיציפי:</t>
  </si>
  <si>
    <t>סה"כ ממוצע אשראי לא ספיציפי</t>
  </si>
  <si>
    <t>שלב 5 אשראי לא ספיציפי:</t>
  </si>
  <si>
    <t>הלוואה ראשונה:</t>
  </si>
  <si>
    <t>ריבית אפקטיבית לחודשיים</t>
  </si>
  <si>
    <t>ריבית אפקטיבית לעשרה חודשים</t>
  </si>
  <si>
    <t>הוצאות מימון אשראי לא ספיציפי</t>
  </si>
  <si>
    <t>ממוצע הלוואה</t>
  </si>
  <si>
    <t>הלוואה שנייה:</t>
  </si>
  <si>
    <t>1.12.23</t>
  </si>
  <si>
    <t>ריבית אפקטיבית לחודש</t>
  </si>
  <si>
    <t>שלב 6 מציאת אחוז אשראי לא ספיציפי:</t>
  </si>
  <si>
    <t>הוצאות מימון בגין אשראי לא ספיציפי</t>
  </si>
  <si>
    <t>ממוצע הלוואות לא ספיציפיות</t>
  </si>
  <si>
    <t>אחוז היוון</t>
  </si>
  <si>
    <t>הוצאות בגין אשראי לא ספיציפי</t>
  </si>
  <si>
    <t>נעבוד עם הוצאות המימון הרגילות כי הם נמוכות יותר.</t>
  </si>
  <si>
    <t>עלות הנכס</t>
  </si>
  <si>
    <t>היוון בגין אשראי ספיציפי</t>
  </si>
  <si>
    <t>היוון בגין אשראי לא ספיציפי</t>
  </si>
  <si>
    <t>הנחה-המענק יקוזז מהנכס לפי הנחיות IAS20</t>
  </si>
  <si>
    <t>טבלת יצירה והיפוך:</t>
  </si>
  <si>
    <t>הכנסות על בסיס מזומן,ספרים</t>
  </si>
  <si>
    <t>הפרשי שער</t>
  </si>
  <si>
    <t>תיקון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</si>
</sst>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,##0;[Red]\(#,##0\)"/>
    <numFmt numFmtId="165" formatCode="_ * #,##0_ ;_ * \-#,##0_ ;_ * &quot;-&quot;??_ ;_ @_ "/>
  </numFmts>
  <fonts count="1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2"/>
      <color theme="1"/>
      <name val="David"/>
      <family val="2"/>
    </font>
    <font>
      <sz val="11"/>
      <color rgb="FFFF0000"/>
      <name val="Arial"/>
      <family val="2"/>
      <charset val="177"/>
      <scheme val="minor"/>
    </font>
    <font>
      <sz val="11"/>
      <color rgb="FFFF0000"/>
      <name val="Arial"/>
      <family val="2"/>
      <scheme val="minor"/>
    </font>
    <font>
      <sz val="11"/>
      <name val="Arial"/>
      <family val="2"/>
      <charset val="177"/>
      <scheme val="minor"/>
    </font>
    <font>
      <u/>
      <sz val="11"/>
      <color theme="1"/>
      <name val="Arial"/>
      <family val="2"/>
      <charset val="177"/>
      <scheme val="minor"/>
    </font>
    <font>
      <b/>
      <sz val="12"/>
      <color rgb="FFFF0000"/>
      <name val="Arial"/>
      <family val="2"/>
      <scheme val="minor"/>
    </font>
    <font>
      <b/>
      <sz val="12"/>
      <color theme="1"/>
      <name val="Davi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3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4" fillId="0" borderId="0" xfId="0" applyFont="1"/>
    <xf numFmtId="9" fontId="0" fillId="0" borderId="0" xfId="0" applyNumberFormat="1"/>
    <xf numFmtId="0" fontId="4" fillId="0" borderId="0" xfId="0" applyFont="1" applyAlignment="1">
      <alignment horizontal="center"/>
    </xf>
    <xf numFmtId="164" fontId="0" fillId="2" borderId="0" xfId="0" applyNumberFormat="1" applyFill="1"/>
    <xf numFmtId="0" fontId="5" fillId="0" borderId="0" xfId="0" applyFont="1"/>
    <xf numFmtId="37" fontId="6" fillId="0" borderId="0" xfId="0" applyNumberFormat="1" applyFont="1"/>
    <xf numFmtId="0" fontId="0" fillId="2" borderId="0" xfId="0" applyFill="1"/>
    <xf numFmtId="165" fontId="0" fillId="0" borderId="0" xfId="2" applyNumberFormat="1" applyFont="1"/>
    <xf numFmtId="165" fontId="0" fillId="0" borderId="0" xfId="0" applyNumberFormat="1"/>
    <xf numFmtId="0" fontId="7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8" fillId="0" borderId="0" xfId="0" applyNumberFormat="1" applyFont="1"/>
    <xf numFmtId="164" fontId="9" fillId="0" borderId="0" xfId="0" applyNumberFormat="1" applyFont="1"/>
    <xf numFmtId="3" fontId="4" fillId="0" borderId="0" xfId="0" applyNumberFormat="1" applyFont="1"/>
    <xf numFmtId="164" fontId="3" fillId="2" borderId="0" xfId="0" applyNumberFormat="1" applyFont="1" applyFill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0" fontId="10" fillId="3" borderId="11" xfId="0" applyFont="1" applyFill="1" applyBorder="1"/>
    <xf numFmtId="0" fontId="4" fillId="0" borderId="11" xfId="0" applyFont="1" applyBorder="1"/>
    <xf numFmtId="37" fontId="4" fillId="0" borderId="11" xfId="0" applyNumberFormat="1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13" xfId="0" applyFont="1" applyBorder="1"/>
    <xf numFmtId="0" fontId="10" fillId="2" borderId="12" xfId="0" applyFont="1" applyFill="1" applyBorder="1"/>
    <xf numFmtId="0" fontId="10" fillId="2" borderId="1" xfId="0" applyFont="1" applyFill="1" applyBorder="1"/>
    <xf numFmtId="0" fontId="10" fillId="2" borderId="13" xfId="0" applyFont="1" applyFill="1" applyBorder="1"/>
    <xf numFmtId="37" fontId="10" fillId="2" borderId="11" xfId="0" applyNumberFormat="1" applyFont="1" applyFill="1" applyBorder="1"/>
    <xf numFmtId="164" fontId="4" fillId="0" borderId="0" xfId="0" applyNumberFormat="1" applyFont="1"/>
    <xf numFmtId="164" fontId="0" fillId="0" borderId="14" xfId="0" applyNumberFormat="1" applyBorder="1"/>
    <xf numFmtId="14" fontId="0" fillId="0" borderId="14" xfId="0" applyNumberFormat="1" applyBorder="1"/>
    <xf numFmtId="164" fontId="0" fillId="0" borderId="0" xfId="2" applyNumberFormat="1" applyFont="1"/>
    <xf numFmtId="164" fontId="2" fillId="0" borderId="1" xfId="0" applyNumberFormat="1" applyFont="1" applyBorder="1"/>
    <xf numFmtId="164" fontId="0" fillId="0" borderId="0" xfId="0" applyNumberFormat="1" applyAlignment="1">
      <alignment horizontal="right" vertical="top"/>
    </xf>
    <xf numFmtId="10" fontId="0" fillId="0" borderId="0" xfId="1" applyNumberFormat="1" applyFont="1"/>
    <xf numFmtId="164" fontId="0" fillId="2" borderId="0" xfId="0" applyNumberFormat="1" applyFill="1" applyAlignment="1">
      <alignment horizontal="right" vertical="top"/>
    </xf>
    <xf numFmtId="164" fontId="2" fillId="4" borderId="0" xfId="0" applyNumberFormat="1" applyFont="1" applyFill="1"/>
    <xf numFmtId="0" fontId="10" fillId="3" borderId="1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50</xdr:row>
      <xdr:rowOff>66675</xdr:rowOff>
    </xdr:from>
    <xdr:to>
      <xdr:col>14</xdr:col>
      <xdr:colOff>477131</xdr:colOff>
      <xdr:row>80</xdr:row>
      <xdr:rowOff>67393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EE6A7BFA-A1B5-AB32-CEF8-BCD8B6160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4468019" y="9201150"/>
          <a:ext cx="6315956" cy="514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D1AB-27DC-4EFF-953A-129E4A734783}">
  <dimension ref="A2:S121"/>
  <sheetViews>
    <sheetView rightToLeft="1" tabSelected="1" zoomScaleNormal="100" workbookViewId="0">
      <selection activeCell="B7" sqref="B7"/>
    </sheetView>
  </sheetViews>
  <sheetFormatPr defaultRowHeight="13.8" x14ac:dyDescent="0.25"/>
  <cols>
    <col min="1" max="1" width="25.09765625" style="2" customWidth="1"/>
    <col min="2" max="2" width="14" style="2" customWidth="1"/>
    <col min="3" max="3" width="18.59765625" style="2" customWidth="1"/>
    <col min="4" max="4" width="10.796875" style="2" customWidth="1"/>
    <col min="5" max="5" width="12.8984375" style="2" customWidth="1"/>
    <col min="6" max="6" width="8.796875" style="2"/>
    <col min="7" max="7" width="13.5" style="2" bestFit="1" customWidth="1"/>
    <col min="8" max="10" width="8.796875" style="2"/>
    <col min="11" max="11" width="12.3984375" style="2" customWidth="1"/>
    <col min="12" max="12" width="11.3984375" style="2" customWidth="1"/>
    <col min="13" max="13" width="16.69921875" style="2" customWidth="1"/>
    <col min="14" max="14" width="14.69921875" style="2" customWidth="1"/>
    <col min="15" max="15" width="16.19921875" style="2" customWidth="1"/>
    <col min="16" max="16" width="12.19921875" style="2" customWidth="1"/>
    <col min="17" max="17" width="17.3984375" style="2" customWidth="1"/>
    <col min="18" max="16384" width="8.796875" style="2"/>
  </cols>
  <sheetData>
    <row r="2" spans="1:19" x14ac:dyDescent="0.25">
      <c r="A2" s="1" t="s">
        <v>0</v>
      </c>
      <c r="N2" s="1" t="s">
        <v>22</v>
      </c>
    </row>
    <row r="3" spans="1:19" ht="15.6" x14ac:dyDescent="0.3">
      <c r="A3" s="2" t="s">
        <v>1</v>
      </c>
      <c r="B3" s="2">
        <v>2000000</v>
      </c>
      <c r="H3" s="2" t="s">
        <v>2</v>
      </c>
      <c r="L3" s="7"/>
      <c r="M3"/>
      <c r="N3" t="s">
        <v>9</v>
      </c>
      <c r="O3" t="s">
        <v>19</v>
      </c>
      <c r="P3" t="s">
        <v>20</v>
      </c>
      <c r="Q3" t="s">
        <v>21</v>
      </c>
      <c r="R3" s="2" t="s">
        <v>10</v>
      </c>
    </row>
    <row r="4" spans="1:19" ht="15.6" x14ac:dyDescent="0.3">
      <c r="A4" s="3" t="s">
        <v>4</v>
      </c>
      <c r="H4" s="2">
        <v>2022</v>
      </c>
      <c r="I4" s="4">
        <v>0.22</v>
      </c>
      <c r="L4" s="5"/>
      <c r="M4" t="s">
        <v>23</v>
      </c>
      <c r="N4" s="2">
        <f>B44</f>
        <v>-157666.66666666654</v>
      </c>
      <c r="O4" s="2">
        <f>-C44</f>
        <v>-68000.000000000146</v>
      </c>
      <c r="P4" s="2">
        <f>-C45</f>
        <v>-84333.333333333314</v>
      </c>
      <c r="Q4">
        <v>0</v>
      </c>
      <c r="R4" s="2">
        <f>D44</f>
        <v>-310000</v>
      </c>
      <c r="S4" s="2">
        <f>N4+O4+P4+Q4-R4</f>
        <v>0</v>
      </c>
    </row>
    <row r="5" spans="1:19" x14ac:dyDescent="0.25">
      <c r="A5" s="2" t="s">
        <v>16</v>
      </c>
      <c r="B5" s="2">
        <f>-B65</f>
        <v>16250</v>
      </c>
      <c r="H5" s="2">
        <v>2023</v>
      </c>
      <c r="I5" s="4">
        <v>0.24</v>
      </c>
      <c r="L5"/>
      <c r="M5" t="s">
        <v>24</v>
      </c>
      <c r="N5" s="9">
        <f>B54</f>
        <v>-6600</v>
      </c>
      <c r="O5" s="2">
        <f>-C54</f>
        <v>2400</v>
      </c>
      <c r="P5" s="2">
        <f>-C55</f>
        <v>-1600.0000000000009</v>
      </c>
      <c r="Q5">
        <v>0</v>
      </c>
      <c r="R5" s="2">
        <f>D54</f>
        <v>-5800.0000000000009</v>
      </c>
      <c r="S5" s="2">
        <f>N5+O5+P5+Q5-R5</f>
        <v>0</v>
      </c>
    </row>
    <row r="6" spans="1:19" x14ac:dyDescent="0.25">
      <c r="A6" s="2" t="s">
        <v>31</v>
      </c>
      <c r="B6" s="2">
        <f>C71</f>
        <v>70000</v>
      </c>
      <c r="H6" s="2">
        <v>2024</v>
      </c>
      <c r="I6" s="4">
        <v>0.27</v>
      </c>
      <c r="L6"/>
      <c r="M6" t="s">
        <v>32</v>
      </c>
      <c r="N6" s="9">
        <f>B74</f>
        <v>-9350</v>
      </c>
      <c r="O6" s="9">
        <f>-C74</f>
        <v>-10200</v>
      </c>
      <c r="P6" s="2">
        <f>-C75</f>
        <v>-6800</v>
      </c>
      <c r="Q6">
        <v>0</v>
      </c>
      <c r="R6" s="2">
        <f>D74</f>
        <v>-26350</v>
      </c>
      <c r="S6" s="2">
        <f>N6+O6+P6+Q6-R6</f>
        <v>0</v>
      </c>
    </row>
    <row r="7" spans="1:19" x14ac:dyDescent="0.25">
      <c r="A7" s="2" t="s">
        <v>37</v>
      </c>
      <c r="B7" s="2">
        <f>C81</f>
        <v>23400</v>
      </c>
      <c r="H7" s="2" t="s">
        <v>3</v>
      </c>
      <c r="I7" s="4">
        <v>0.31</v>
      </c>
      <c r="M7" s="2" t="s">
        <v>36</v>
      </c>
      <c r="N7" s="2">
        <f>B84</f>
        <v>3960</v>
      </c>
      <c r="O7" s="2">
        <f>-C84</f>
        <v>5616</v>
      </c>
      <c r="P7" s="2">
        <f>-C85</f>
        <v>1602</v>
      </c>
      <c r="Q7">
        <v>0</v>
      </c>
      <c r="R7" s="2">
        <f>D84</f>
        <v>11178</v>
      </c>
      <c r="S7" s="2">
        <f>N7+O7+P7+Q7-R7</f>
        <v>0</v>
      </c>
    </row>
    <row r="8" spans="1:19" x14ac:dyDescent="0.25">
      <c r="A8" s="2" t="s">
        <v>38</v>
      </c>
      <c r="B8" s="2">
        <f>B88</f>
        <v>1600</v>
      </c>
      <c r="M8" s="2" t="s">
        <v>54</v>
      </c>
      <c r="N8" s="2">
        <f>B115</f>
        <v>0</v>
      </c>
      <c r="O8" s="2">
        <f>-C115</f>
        <v>-38400</v>
      </c>
      <c r="P8" s="2">
        <f>-C116</f>
        <v>-4800</v>
      </c>
      <c r="Q8" s="2">
        <v>0</v>
      </c>
      <c r="R8" s="2">
        <f>D115</f>
        <v>-43200</v>
      </c>
      <c r="S8" s="2">
        <f>N8+O8+P8+Q8-R8</f>
        <v>0</v>
      </c>
    </row>
    <row r="9" spans="1:19" x14ac:dyDescent="0.25">
      <c r="A9" s="2" t="s">
        <v>41</v>
      </c>
      <c r="B9" s="2">
        <f>C92</f>
        <v>3000</v>
      </c>
      <c r="M9" s="15" t="s">
        <v>61</v>
      </c>
      <c r="N9" s="15">
        <f>SUM(N4:N8)</f>
        <v>-169656.66666666654</v>
      </c>
      <c r="O9" s="15">
        <f t="shared" ref="O9:R9" si="0">SUM(O4:O8)</f>
        <v>-108584.00000000015</v>
      </c>
      <c r="P9" s="15">
        <f t="shared" si="0"/>
        <v>-95931.333333333314</v>
      </c>
      <c r="Q9" s="15">
        <f t="shared" si="0"/>
        <v>0</v>
      </c>
      <c r="R9" s="15">
        <f t="shared" si="0"/>
        <v>-374172</v>
      </c>
      <c r="S9" s="15">
        <f>S8</f>
        <v>0</v>
      </c>
    </row>
    <row r="10" spans="1:19" x14ac:dyDescent="0.25">
      <c r="A10" s="2" t="s">
        <v>45</v>
      </c>
      <c r="B10" s="2">
        <f>C98</f>
        <v>28500</v>
      </c>
    </row>
    <row r="11" spans="1:19" x14ac:dyDescent="0.25">
      <c r="A11" s="2" t="str">
        <f>A102</f>
        <v>תרומות לא מוכרות</v>
      </c>
      <c r="B11" s="2">
        <f>C102</f>
        <v>40000</v>
      </c>
    </row>
    <row r="12" spans="1:19" x14ac:dyDescent="0.25">
      <c r="A12" s="2" t="s">
        <v>49</v>
      </c>
      <c r="B12" s="2">
        <v>120000</v>
      </c>
      <c r="C12" s="4">
        <v>0.3</v>
      </c>
      <c r="D12" s="2" t="s">
        <v>50</v>
      </c>
    </row>
    <row r="13" spans="1:19" x14ac:dyDescent="0.25">
      <c r="A13" s="2" t="s">
        <v>52</v>
      </c>
      <c r="B13" s="2">
        <f>B107</f>
        <v>45000</v>
      </c>
    </row>
    <row r="14" spans="1:19" x14ac:dyDescent="0.25">
      <c r="A14" s="2" t="s">
        <v>184</v>
      </c>
      <c r="B14" s="2">
        <f>C112</f>
        <v>240000</v>
      </c>
    </row>
    <row r="21" spans="1:4" x14ac:dyDescent="0.25">
      <c r="A21" s="3" t="s">
        <v>5</v>
      </c>
    </row>
    <row r="22" spans="1:4" x14ac:dyDescent="0.25">
      <c r="A22" s="2" t="s">
        <v>13</v>
      </c>
      <c r="B22" s="2">
        <f>-C40</f>
        <v>-133333.33333333395</v>
      </c>
    </row>
    <row r="23" spans="1:4" x14ac:dyDescent="0.25">
      <c r="A23" s="2" t="s">
        <v>14</v>
      </c>
      <c r="B23" s="2">
        <f>C41</f>
        <v>-150000</v>
      </c>
    </row>
    <row r="24" spans="1:4" x14ac:dyDescent="0.25">
      <c r="A24" s="2" t="s">
        <v>15</v>
      </c>
      <c r="B24" s="2">
        <f>-B60</f>
        <v>-6250</v>
      </c>
    </row>
    <row r="25" spans="1:4" x14ac:dyDescent="0.25">
      <c r="A25" s="2" t="s">
        <v>30</v>
      </c>
      <c r="B25" s="2">
        <f>-C70</f>
        <v>-112500</v>
      </c>
    </row>
    <row r="26" spans="1:4" x14ac:dyDescent="0.25">
      <c r="A26" s="2" t="s">
        <v>57</v>
      </c>
      <c r="B26" s="2">
        <f>-B121</f>
        <v>-200000</v>
      </c>
      <c r="C26" s="4">
        <f>15%</f>
        <v>0.15</v>
      </c>
      <c r="D26" s="2" t="s">
        <v>58</v>
      </c>
    </row>
    <row r="27" spans="1:4" x14ac:dyDescent="0.25">
      <c r="A27" s="2" t="s">
        <v>54</v>
      </c>
      <c r="B27" s="2">
        <f>-C111</f>
        <v>-400000</v>
      </c>
    </row>
    <row r="29" spans="1:4" x14ac:dyDescent="0.25">
      <c r="A29" s="2" t="s">
        <v>59</v>
      </c>
      <c r="B29" s="2">
        <f>SUM(B3:B26)</f>
        <v>1985666.666666666</v>
      </c>
    </row>
    <row r="30" spans="1:4" ht="14.4" thickBot="1" x14ac:dyDescent="0.3"/>
    <row r="31" spans="1:4" x14ac:dyDescent="0.25">
      <c r="A31" s="16" t="s">
        <v>60</v>
      </c>
      <c r="B31" s="17">
        <f>-(B29*I5-B12*C12-B26*C26)</f>
        <v>-470559.99999999983</v>
      </c>
    </row>
    <row r="32" spans="1:4" x14ac:dyDescent="0.25">
      <c r="A32" s="18" t="s">
        <v>62</v>
      </c>
      <c r="B32" s="19">
        <f>R9-N9</f>
        <v>-204515.33333333346</v>
      </c>
      <c r="C32" s="2" t="s">
        <v>65</v>
      </c>
    </row>
    <row r="33" spans="1:8" x14ac:dyDescent="0.25">
      <c r="A33" s="18"/>
      <c r="B33" s="19"/>
      <c r="H33" s="2">
        <f>720-90</f>
        <v>630</v>
      </c>
    </row>
    <row r="34" spans="1:8" ht="14.4" thickBot="1" x14ac:dyDescent="0.3">
      <c r="A34" s="20" t="s">
        <v>63</v>
      </c>
      <c r="B34" s="21">
        <f>B31+B32</f>
        <v>-675075.33333333326</v>
      </c>
      <c r="C34" s="2" t="s">
        <v>64</v>
      </c>
    </row>
    <row r="38" spans="1:8" x14ac:dyDescent="0.25">
      <c r="A38" s="3" t="s">
        <v>17</v>
      </c>
    </row>
    <row r="39" spans="1:8" x14ac:dyDescent="0.25">
      <c r="B39" s="2" t="s">
        <v>9</v>
      </c>
      <c r="C39" s="2" t="s">
        <v>19</v>
      </c>
      <c r="D39" s="2" t="s">
        <v>10</v>
      </c>
    </row>
    <row r="40" spans="1:8" x14ac:dyDescent="0.25">
      <c r="A40" s="2" t="s">
        <v>11</v>
      </c>
      <c r="B40" s="2">
        <f>5000000*4/5/30*28+5000000*1/5</f>
        <v>4733333.333333334</v>
      </c>
      <c r="C40" s="8">
        <f>B40-D40</f>
        <v>133333.33333333395</v>
      </c>
      <c r="D40" s="2">
        <f>5000000*4/5/30*27+5000000*1/5</f>
        <v>4600000</v>
      </c>
    </row>
    <row r="41" spans="1:8" x14ac:dyDescent="0.25">
      <c r="A41" s="2" t="s">
        <v>6</v>
      </c>
      <c r="B41" s="2">
        <v>5450000</v>
      </c>
      <c r="C41" s="8">
        <f>B41-D41</f>
        <v>-150000</v>
      </c>
      <c r="D41" s="2">
        <v>5600000</v>
      </c>
    </row>
    <row r="42" spans="1:8" x14ac:dyDescent="0.25">
      <c r="A42" s="2" t="s">
        <v>7</v>
      </c>
      <c r="B42" s="2">
        <f>B40-B41</f>
        <v>-716666.66666666605</v>
      </c>
      <c r="C42" s="2">
        <f>B42-D42</f>
        <v>283333.33333333395</v>
      </c>
      <c r="D42" s="2">
        <f>D40-D41</f>
        <v>-1000000</v>
      </c>
    </row>
    <row r="43" spans="1:8" x14ac:dyDescent="0.25">
      <c r="A43" s="2" t="s">
        <v>12</v>
      </c>
      <c r="B43" s="4">
        <v>0.22</v>
      </c>
      <c r="C43" s="4">
        <v>0.24</v>
      </c>
    </row>
    <row r="44" spans="1:8" x14ac:dyDescent="0.25">
      <c r="A44" s="2" t="s">
        <v>8</v>
      </c>
      <c r="B44" s="2">
        <f>B42*B43</f>
        <v>-157666.66666666654</v>
      </c>
      <c r="C44" s="2">
        <f>C42*C43</f>
        <v>68000.000000000146</v>
      </c>
      <c r="D44" s="2">
        <f>D42*(31%)</f>
        <v>-310000</v>
      </c>
    </row>
    <row r="45" spans="1:8" x14ac:dyDescent="0.25">
      <c r="A45" s="2" t="s">
        <v>20</v>
      </c>
      <c r="B45"/>
      <c r="C45" s="2">
        <f>B44-D44-C44</f>
        <v>84333.333333333314</v>
      </c>
      <c r="D45"/>
      <c r="F45"/>
      <c r="G45"/>
    </row>
    <row r="46" spans="1:8" x14ac:dyDescent="0.25">
      <c r="E46"/>
      <c r="F46"/>
      <c r="G46"/>
    </row>
    <row r="47" spans="1:8" x14ac:dyDescent="0.25">
      <c r="A47" s="3" t="s">
        <v>18</v>
      </c>
      <c r="E47"/>
      <c r="F47"/>
      <c r="G47"/>
    </row>
    <row r="48" spans="1:8" x14ac:dyDescent="0.25">
      <c r="A48" s="3"/>
      <c r="E48"/>
    </row>
    <row r="49" spans="1:7" x14ac:dyDescent="0.25">
      <c r="B49" s="2" t="s">
        <v>9</v>
      </c>
      <c r="C49" s="2" t="s">
        <v>19</v>
      </c>
      <c r="D49" s="2" t="s">
        <v>10</v>
      </c>
      <c r="E49"/>
      <c r="F49"/>
    </row>
    <row r="50" spans="1:7" x14ac:dyDescent="0.25">
      <c r="A50" s="2" t="s">
        <v>11</v>
      </c>
      <c r="B50">
        <f>(10000*12)/4*1</f>
        <v>30000</v>
      </c>
      <c r="C50" s="8">
        <f>B50-D50</f>
        <v>30000</v>
      </c>
      <c r="D50">
        <v>0</v>
      </c>
      <c r="E50"/>
      <c r="F50"/>
      <c r="G50" s="2">
        <v>120000</v>
      </c>
    </row>
    <row r="51" spans="1:7" x14ac:dyDescent="0.25">
      <c r="A51" s="2" t="s">
        <v>6</v>
      </c>
      <c r="B51">
        <f>(10000*12)/6*3</f>
        <v>60000</v>
      </c>
      <c r="C51" s="8">
        <f>B51-D51</f>
        <v>40000</v>
      </c>
      <c r="D51">
        <f>(10000*6)/6*2</f>
        <v>20000</v>
      </c>
    </row>
    <row r="52" spans="1:7" x14ac:dyDescent="0.25">
      <c r="A52" s="2" t="s">
        <v>7</v>
      </c>
      <c r="B52">
        <f>B50-B51</f>
        <v>-30000</v>
      </c>
      <c r="C52">
        <f>B52-D52</f>
        <v>-10000</v>
      </c>
      <c r="D52">
        <f>D50-D51</f>
        <v>-20000</v>
      </c>
    </row>
    <row r="53" spans="1:7" x14ac:dyDescent="0.25">
      <c r="A53" s="2" t="s">
        <v>12</v>
      </c>
      <c r="B53" s="6">
        <v>0.22</v>
      </c>
      <c r="C53" s="6">
        <f>$I$5</f>
        <v>0.24</v>
      </c>
    </row>
    <row r="54" spans="1:7" x14ac:dyDescent="0.25">
      <c r="A54" s="2" t="s">
        <v>8</v>
      </c>
      <c r="B54" s="9">
        <f>B52*I4</f>
        <v>-6600</v>
      </c>
      <c r="C54" s="2">
        <f>C52*C53</f>
        <v>-2400</v>
      </c>
      <c r="D54" s="2">
        <f>D52/2*(I6+I7)</f>
        <v>-5800.0000000000009</v>
      </c>
    </row>
    <row r="55" spans="1:7" x14ac:dyDescent="0.25">
      <c r="A55" s="2" t="s">
        <v>20</v>
      </c>
      <c r="B55" s="9"/>
      <c r="C55" s="2">
        <f>B54-D54-C54</f>
        <v>1600.0000000000009</v>
      </c>
    </row>
    <row r="57" spans="1:7" x14ac:dyDescent="0.25">
      <c r="A57" s="3" t="s">
        <v>25</v>
      </c>
    </row>
    <row r="58" spans="1:7" x14ac:dyDescent="0.25">
      <c r="A58" s="2" t="s">
        <v>11</v>
      </c>
      <c r="B58" s="2">
        <f>120000/4*0.25+60000/4*0.75</f>
        <v>18750</v>
      </c>
    </row>
    <row r="59" spans="1:7" x14ac:dyDescent="0.25">
      <c r="A59" s="2" t="s">
        <v>6</v>
      </c>
      <c r="B59" s="2">
        <f>120000/6*0.25+60000/6*0.75</f>
        <v>12500</v>
      </c>
    </row>
    <row r="60" spans="1:7" x14ac:dyDescent="0.25">
      <c r="A60" s="2" t="s">
        <v>26</v>
      </c>
      <c r="B60" s="2">
        <f>B58-B59</f>
        <v>6250</v>
      </c>
    </row>
    <row r="62" spans="1:7" x14ac:dyDescent="0.25">
      <c r="A62" s="3" t="s">
        <v>27</v>
      </c>
    </row>
    <row r="63" spans="1:7" x14ac:dyDescent="0.25">
      <c r="A63" s="2" t="s">
        <v>11</v>
      </c>
      <c r="B63" s="10">
        <f>B64+B52/2-(60000/4*0.25-60000/6*0.25)</f>
        <v>-34250</v>
      </c>
    </row>
    <row r="64" spans="1:7" x14ac:dyDescent="0.25">
      <c r="A64" s="2" t="s">
        <v>6</v>
      </c>
      <c r="B64" s="2">
        <v>-18000</v>
      </c>
    </row>
    <row r="65" spans="1:13" x14ac:dyDescent="0.25">
      <c r="A65" s="2" t="s">
        <v>28</v>
      </c>
      <c r="B65" s="2">
        <f>B63-B64</f>
        <v>-16250</v>
      </c>
    </row>
    <row r="68" spans="1:13" ht="15.6" x14ac:dyDescent="0.3">
      <c r="A68" s="3" t="s">
        <v>29</v>
      </c>
      <c r="B68"/>
      <c r="C68"/>
      <c r="D68"/>
      <c r="E68"/>
      <c r="F68" s="5"/>
    </row>
    <row r="69" spans="1:13" ht="15.6" x14ac:dyDescent="0.3">
      <c r="B69" s="2" t="s">
        <v>9</v>
      </c>
      <c r="C69" s="2" t="s">
        <v>19</v>
      </c>
      <c r="D69" s="2" t="s">
        <v>10</v>
      </c>
      <c r="E69"/>
      <c r="F69" s="5"/>
      <c r="I69" s="22" t="s">
        <v>183</v>
      </c>
    </row>
    <row r="70" spans="1:13" ht="15.6" x14ac:dyDescent="0.3">
      <c r="A70" s="2" t="s">
        <v>11</v>
      </c>
      <c r="B70">
        <f>(450000)/4*3</f>
        <v>337500</v>
      </c>
      <c r="C70" s="11">
        <f>B70-D70</f>
        <v>112500</v>
      </c>
      <c r="D70">
        <f>(450000)/4*2</f>
        <v>225000</v>
      </c>
      <c r="E70"/>
      <c r="F70" s="5"/>
      <c r="J70" s="2" t="s">
        <v>12</v>
      </c>
      <c r="K70" s="2" t="s">
        <v>11</v>
      </c>
      <c r="L70" s="2" t="s">
        <v>6</v>
      </c>
      <c r="M70" s="2" t="s">
        <v>7</v>
      </c>
    </row>
    <row r="71" spans="1:13" ht="15.6" x14ac:dyDescent="0.3">
      <c r="A71" s="2" t="s">
        <v>6</v>
      </c>
      <c r="B71">
        <f>(450000-30000)/6*5+30000</f>
        <v>380000</v>
      </c>
      <c r="C71" s="11">
        <f>B71-D71</f>
        <v>70000</v>
      </c>
      <c r="D71">
        <f>(450000-30000)/6*4+30000</f>
        <v>310000</v>
      </c>
      <c r="E71"/>
      <c r="F71" s="5"/>
      <c r="I71" s="2">
        <f>H6</f>
        <v>2024</v>
      </c>
      <c r="J71" s="4">
        <f>I6</f>
        <v>0.27</v>
      </c>
      <c r="K71" s="2">
        <f>450000/4</f>
        <v>112500</v>
      </c>
      <c r="L71" s="2">
        <f>(450000-30000)/6</f>
        <v>70000</v>
      </c>
      <c r="M71" s="2">
        <f>K71-L71</f>
        <v>42500</v>
      </c>
    </row>
    <row r="72" spans="1:13" ht="15.6" x14ac:dyDescent="0.3">
      <c r="A72" s="2" t="s">
        <v>7</v>
      </c>
      <c r="B72">
        <f>B70-B71</f>
        <v>-42500</v>
      </c>
      <c r="C72">
        <f t="shared" ref="C72:D72" si="1">C70-C71</f>
        <v>42500</v>
      </c>
      <c r="D72">
        <f t="shared" si="1"/>
        <v>-85000</v>
      </c>
      <c r="E72"/>
      <c r="F72" s="5"/>
      <c r="I72" s="2" t="str">
        <f t="shared" ref="I72" si="2">H7</f>
        <v>2025 ואילך</v>
      </c>
      <c r="J72" s="4">
        <f>I7</f>
        <v>0.31</v>
      </c>
      <c r="K72" s="2">
        <f>K71</f>
        <v>112500</v>
      </c>
      <c r="L72" s="2">
        <f>D71-L71</f>
        <v>240000</v>
      </c>
      <c r="M72" s="2">
        <f>K72-L72</f>
        <v>-127500</v>
      </c>
    </row>
    <row r="73" spans="1:13" ht="15.6" x14ac:dyDescent="0.3">
      <c r="A73" s="2" t="s">
        <v>12</v>
      </c>
      <c r="B73" s="6">
        <v>0.22</v>
      </c>
      <c r="C73" s="6">
        <f>$I$5</f>
        <v>0.24</v>
      </c>
      <c r="E73"/>
      <c r="F73" s="5"/>
    </row>
    <row r="74" spans="1:13" ht="15.6" x14ac:dyDescent="0.3">
      <c r="A74" s="2" t="s">
        <v>8</v>
      </c>
      <c r="B74" s="9">
        <f>B72*B73</f>
        <v>-9350</v>
      </c>
      <c r="C74">
        <f>C72*C73</f>
        <v>10200</v>
      </c>
      <c r="D74" s="2">
        <f>D72*31%</f>
        <v>-26350</v>
      </c>
      <c r="E74"/>
      <c r="F74" s="5"/>
    </row>
    <row r="75" spans="1:13" ht="15.6" x14ac:dyDescent="0.3">
      <c r="A75" s="2" t="s">
        <v>20</v>
      </c>
      <c r="B75"/>
      <c r="C75" s="2">
        <f>B74-D74-C74</f>
        <v>6800</v>
      </c>
      <c r="E75"/>
      <c r="F75" s="5"/>
    </row>
    <row r="76" spans="1:13" x14ac:dyDescent="0.25">
      <c r="E76"/>
    </row>
    <row r="78" spans="1:13" x14ac:dyDescent="0.25">
      <c r="A78" s="3" t="s">
        <v>33</v>
      </c>
      <c r="B78"/>
      <c r="C78"/>
      <c r="D78"/>
      <c r="E78"/>
    </row>
    <row r="79" spans="1:13" x14ac:dyDescent="0.25">
      <c r="B79" s="2" t="s">
        <v>9</v>
      </c>
      <c r="C79" s="2" t="s">
        <v>19</v>
      </c>
      <c r="D79" s="2" t="s">
        <v>10</v>
      </c>
      <c r="E79"/>
    </row>
    <row r="80" spans="1:13" x14ac:dyDescent="0.25">
      <c r="A80" s="2" t="s">
        <v>11</v>
      </c>
      <c r="B80">
        <v>0</v>
      </c>
      <c r="C80" s="11">
        <f>D80-B80</f>
        <v>0</v>
      </c>
      <c r="D80">
        <v>0</v>
      </c>
      <c r="E80"/>
    </row>
    <row r="81" spans="1:5" x14ac:dyDescent="0.25">
      <c r="A81" s="2" t="s">
        <v>6</v>
      </c>
      <c r="B81">
        <f>-600000*3%</f>
        <v>-18000</v>
      </c>
      <c r="C81" s="11">
        <f>B81-D81</f>
        <v>23400</v>
      </c>
      <c r="D81">
        <f>-90000*25%-630000*3%</f>
        <v>-41400</v>
      </c>
      <c r="E81"/>
    </row>
    <row r="82" spans="1:5" x14ac:dyDescent="0.25">
      <c r="A82" s="2" t="s">
        <v>7</v>
      </c>
      <c r="B82">
        <f>B80-B81</f>
        <v>18000</v>
      </c>
      <c r="C82">
        <f t="shared" ref="C82:D82" si="3">C80-C81</f>
        <v>-23400</v>
      </c>
      <c r="D82">
        <f t="shared" si="3"/>
        <v>41400</v>
      </c>
      <c r="E82"/>
    </row>
    <row r="83" spans="1:5" x14ac:dyDescent="0.25">
      <c r="A83" s="2" t="s">
        <v>12</v>
      </c>
      <c r="B83" s="6">
        <v>0.22</v>
      </c>
      <c r="C83" s="6">
        <f>$I$5</f>
        <v>0.24</v>
      </c>
      <c r="D83" s="4">
        <v>0.27</v>
      </c>
      <c r="E83"/>
    </row>
    <row r="84" spans="1:5" x14ac:dyDescent="0.25">
      <c r="A84" s="2" t="s">
        <v>8</v>
      </c>
      <c r="B84" s="14">
        <f>B82*B83</f>
        <v>3960</v>
      </c>
      <c r="C84" s="9">
        <f>C82*C83</f>
        <v>-5616</v>
      </c>
      <c r="D84" s="2">
        <f>D82*I6</f>
        <v>11178</v>
      </c>
      <c r="E84"/>
    </row>
    <row r="85" spans="1:5" x14ac:dyDescent="0.25">
      <c r="A85" s="2" t="s">
        <v>20</v>
      </c>
      <c r="B85"/>
      <c r="C85" s="2">
        <f>B84-D84-C84</f>
        <v>-1602</v>
      </c>
      <c r="E85"/>
    </row>
    <row r="86" spans="1:5" x14ac:dyDescent="0.25">
      <c r="E86"/>
    </row>
    <row r="88" spans="1:5" x14ac:dyDescent="0.25">
      <c r="A88" s="2" t="s">
        <v>34</v>
      </c>
      <c r="B88" s="2">
        <f>20%*8000</f>
        <v>1600</v>
      </c>
      <c r="C88" s="2" t="s">
        <v>35</v>
      </c>
    </row>
    <row r="90" spans="1:5" x14ac:dyDescent="0.25">
      <c r="A90" s="3" t="s">
        <v>39</v>
      </c>
      <c r="B90"/>
      <c r="C90"/>
      <c r="D90"/>
    </row>
    <row r="91" spans="1:5" x14ac:dyDescent="0.25">
      <c r="A91"/>
      <c r="B91"/>
      <c r="C91"/>
      <c r="D91"/>
    </row>
    <row r="92" spans="1:5" x14ac:dyDescent="0.25">
      <c r="A92" t="s">
        <v>40</v>
      </c>
      <c r="B92"/>
      <c r="C92">
        <f>(320000-290000)*10%</f>
        <v>3000</v>
      </c>
      <c r="D92"/>
    </row>
    <row r="93" spans="1:5" x14ac:dyDescent="0.25">
      <c r="A93"/>
      <c r="B93"/>
      <c r="C93"/>
      <c r="D93"/>
    </row>
    <row r="94" spans="1:5" x14ac:dyDescent="0.25">
      <c r="A94" s="3" t="s">
        <v>42</v>
      </c>
      <c r="B94"/>
      <c r="C94"/>
      <c r="D94"/>
    </row>
    <row r="95" spans="1:5" x14ac:dyDescent="0.25">
      <c r="A95"/>
      <c r="B95"/>
      <c r="C95"/>
      <c r="D95"/>
    </row>
    <row r="96" spans="1:5" x14ac:dyDescent="0.25">
      <c r="A96" t="s">
        <v>43</v>
      </c>
      <c r="B96"/>
      <c r="C96">
        <v>15000</v>
      </c>
      <c r="D96"/>
    </row>
    <row r="97" spans="1:4" x14ac:dyDescent="0.25">
      <c r="A97" s="2" t="s">
        <v>44</v>
      </c>
      <c r="B97"/>
      <c r="C97">
        <f>45000*30%</f>
        <v>13500</v>
      </c>
      <c r="D97"/>
    </row>
    <row r="98" spans="1:4" x14ac:dyDescent="0.25">
      <c r="C98" s="2">
        <f>SUM(C96:C97)</f>
        <v>28500</v>
      </c>
    </row>
    <row r="100" spans="1:4" x14ac:dyDescent="0.25">
      <c r="A100" s="3" t="s">
        <v>46</v>
      </c>
    </row>
    <row r="102" spans="1:4" x14ac:dyDescent="0.25">
      <c r="A102" s="2" t="s">
        <v>47</v>
      </c>
      <c r="C102" s="2">
        <v>40000</v>
      </c>
    </row>
    <row r="103" spans="1:4" x14ac:dyDescent="0.25">
      <c r="A103" s="2" t="s">
        <v>48</v>
      </c>
      <c r="C103" s="2">
        <f>120000*70%</f>
        <v>84000</v>
      </c>
    </row>
    <row r="105" spans="1:4" x14ac:dyDescent="0.25">
      <c r="A105" s="3" t="s">
        <v>51</v>
      </c>
    </row>
    <row r="107" spans="1:4" x14ac:dyDescent="0.25">
      <c r="A107" s="2" t="s">
        <v>52</v>
      </c>
      <c r="B107" s="2">
        <f>30%*150000</f>
        <v>45000</v>
      </c>
    </row>
    <row r="109" spans="1:4" x14ac:dyDescent="0.25">
      <c r="A109" s="3" t="s">
        <v>53</v>
      </c>
    </row>
    <row r="110" spans="1:4" x14ac:dyDescent="0.25">
      <c r="B110" s="2" t="s">
        <v>9</v>
      </c>
      <c r="C110" s="2" t="s">
        <v>19</v>
      </c>
      <c r="D110" s="2" t="s">
        <v>10</v>
      </c>
    </row>
    <row r="111" spans="1:4" x14ac:dyDescent="0.25">
      <c r="A111" s="2" t="s">
        <v>11</v>
      </c>
      <c r="B111">
        <v>0</v>
      </c>
      <c r="C111" s="12">
        <v>400000</v>
      </c>
      <c r="D111">
        <v>0</v>
      </c>
    </row>
    <row r="112" spans="1:4" x14ac:dyDescent="0.25">
      <c r="A112" s="2" t="s">
        <v>6</v>
      </c>
      <c r="B112">
        <v>0</v>
      </c>
      <c r="C112" s="12">
        <v>240000</v>
      </c>
      <c r="D112" s="13">
        <f>400000-C112</f>
        <v>160000</v>
      </c>
    </row>
    <row r="113" spans="1:4" x14ac:dyDescent="0.25">
      <c r="A113" s="2" t="s">
        <v>7</v>
      </c>
      <c r="B113">
        <f>B111-B112</f>
        <v>0</v>
      </c>
      <c r="C113" s="13">
        <f>C111-C112</f>
        <v>160000</v>
      </c>
      <c r="D113" s="13">
        <f>D111-D112</f>
        <v>-160000</v>
      </c>
    </row>
    <row r="114" spans="1:4" x14ac:dyDescent="0.25">
      <c r="A114" s="2" t="s">
        <v>12</v>
      </c>
      <c r="B114" s="6">
        <v>0.22</v>
      </c>
      <c r="C114" s="6">
        <f>$I$5</f>
        <v>0.24</v>
      </c>
      <c r="D114" s="4">
        <v>0.27</v>
      </c>
    </row>
    <row r="115" spans="1:4" x14ac:dyDescent="0.25">
      <c r="A115" s="2" t="s">
        <v>8</v>
      </c>
      <c r="B115" s="9">
        <f>B113*B114</f>
        <v>0</v>
      </c>
      <c r="C115" s="9">
        <f t="shared" ref="C115:D115" si="4">C113*C114</f>
        <v>38400</v>
      </c>
      <c r="D115" s="9">
        <f t="shared" si="4"/>
        <v>-43200</v>
      </c>
    </row>
    <row r="116" spans="1:4" x14ac:dyDescent="0.25">
      <c r="A116" s="2" t="s">
        <v>20</v>
      </c>
      <c r="B116"/>
      <c r="C116" s="2">
        <f>B115-D115-C115</f>
        <v>4800</v>
      </c>
    </row>
    <row r="119" spans="1:4" x14ac:dyDescent="0.25">
      <c r="A119" s="3" t="s">
        <v>55</v>
      </c>
    </row>
    <row r="121" spans="1:4" x14ac:dyDescent="0.25">
      <c r="A121" s="2" t="s">
        <v>56</v>
      </c>
      <c r="B121" s="2">
        <f>250000*80%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32BD-50DD-4197-BD25-F6F768EDA78D}">
  <dimension ref="A1:R85"/>
  <sheetViews>
    <sheetView rightToLeft="1" topLeftCell="B1" zoomScale="80" zoomScaleNormal="80" workbookViewId="0">
      <selection activeCell="G44" sqref="G44"/>
    </sheetView>
  </sheetViews>
  <sheetFormatPr defaultRowHeight="13.8" x14ac:dyDescent="0.25"/>
  <cols>
    <col min="1" max="2" width="8.796875" style="2"/>
    <col min="3" max="3" width="33" style="2" bestFit="1" customWidth="1"/>
    <col min="4" max="10" width="8.796875" style="2"/>
    <col min="11" max="11" width="12" style="2" customWidth="1"/>
    <col min="12" max="12" width="28.8984375" style="2" bestFit="1" customWidth="1"/>
    <col min="13" max="16" width="8.796875" style="2"/>
    <col min="17" max="17" width="12" style="2" bestFit="1" customWidth="1"/>
    <col min="18" max="16384" width="8.796875" style="2"/>
  </cols>
  <sheetData>
    <row r="1" spans="1:14" x14ac:dyDescent="0.25">
      <c r="B1" s="25" t="s">
        <v>66</v>
      </c>
      <c r="C1" s="8"/>
    </row>
    <row r="2" spans="1:14" x14ac:dyDescent="0.25">
      <c r="K2" s="25" t="s">
        <v>99</v>
      </c>
    </row>
    <row r="3" spans="1:14" ht="15.6" x14ac:dyDescent="0.3">
      <c r="D3" s="23" t="s">
        <v>68</v>
      </c>
      <c r="E3" s="23" t="s">
        <v>69</v>
      </c>
      <c r="L3" s="1" t="s">
        <v>97</v>
      </c>
    </row>
    <row r="4" spans="1:14" x14ac:dyDescent="0.25">
      <c r="A4" s="22" t="s">
        <v>67</v>
      </c>
      <c r="L4" s="3" t="s">
        <v>98</v>
      </c>
    </row>
    <row r="5" spans="1:14" x14ac:dyDescent="0.25">
      <c r="C5" s="2" t="s">
        <v>70</v>
      </c>
      <c r="D5" s="2">
        <v>350000</v>
      </c>
      <c r="L5" s="2" t="s">
        <v>77</v>
      </c>
      <c r="N5" s="2">
        <f>E21</f>
        <v>1100000</v>
      </c>
    </row>
    <row r="6" spans="1:14" x14ac:dyDescent="0.25">
      <c r="C6" s="2" t="s">
        <v>73</v>
      </c>
      <c r="E6" s="2">
        <f>D5</f>
        <v>350000</v>
      </c>
      <c r="L6" s="2" t="str">
        <f>C53</f>
        <v>הכנסות מתרומות בגין נכסים ללא תמורה</v>
      </c>
      <c r="N6" s="2">
        <f>E53</f>
        <v>600000</v>
      </c>
    </row>
    <row r="7" spans="1:14" x14ac:dyDescent="0.25">
      <c r="L7" s="2" t="s">
        <v>100</v>
      </c>
      <c r="N7" s="2">
        <f>E49+E82</f>
        <v>215000</v>
      </c>
    </row>
    <row r="8" spans="1:14" ht="15.6" x14ac:dyDescent="0.3">
      <c r="C8" s="5" t="s">
        <v>71</v>
      </c>
      <c r="D8" s="2">
        <f>D5</f>
        <v>350000</v>
      </c>
      <c r="L8" s="3" t="s">
        <v>101</v>
      </c>
      <c r="M8" s="3"/>
      <c r="N8" s="3">
        <f>SUM(N5:N7)</f>
        <v>1915000</v>
      </c>
    </row>
    <row r="9" spans="1:14" ht="15.6" x14ac:dyDescent="0.3">
      <c r="C9" s="5" t="s">
        <v>72</v>
      </c>
      <c r="E9" s="2">
        <f>D8</f>
        <v>350000</v>
      </c>
    </row>
    <row r="10" spans="1:14" x14ac:dyDescent="0.25">
      <c r="L10" s="3" t="s">
        <v>102</v>
      </c>
    </row>
    <row r="11" spans="1:14" x14ac:dyDescent="0.25">
      <c r="C11" s="2" t="s">
        <v>103</v>
      </c>
      <c r="D11" s="2">
        <f>D5/7*10/12</f>
        <v>41666.666666666664</v>
      </c>
      <c r="L11" s="2" t="str">
        <f>C11</f>
        <v>הוצאות פחת ריהוט</v>
      </c>
      <c r="N11" s="2">
        <f>D11</f>
        <v>41666.666666666664</v>
      </c>
    </row>
    <row r="12" spans="1:14" x14ac:dyDescent="0.25">
      <c r="C12" s="2" t="s">
        <v>75</v>
      </c>
      <c r="E12" s="2">
        <f>D11</f>
        <v>41666.666666666664</v>
      </c>
      <c r="L12" s="2" t="s">
        <v>104</v>
      </c>
      <c r="N12" s="2">
        <f>D59</f>
        <v>8333.3333333333339</v>
      </c>
    </row>
    <row r="13" spans="1:14" x14ac:dyDescent="0.25">
      <c r="L13" s="2" t="str">
        <f>C31</f>
        <v>הוצאות שכר</v>
      </c>
      <c r="N13" s="2">
        <f>D31</f>
        <v>200000</v>
      </c>
    </row>
    <row r="14" spans="1:14" x14ac:dyDescent="0.25">
      <c r="C14" s="2" t="str">
        <f>C9</f>
        <v>נכסים נטו לא מוגבלים ששימשו לרכוש קבוע</v>
      </c>
      <c r="D14" s="2">
        <f>D11</f>
        <v>41666.666666666664</v>
      </c>
      <c r="L14" s="2" t="str">
        <f t="shared" ref="L14:L15" si="0">C32</f>
        <v>הוצאות תפעול</v>
      </c>
      <c r="N14" s="2">
        <f t="shared" ref="N14:N15" si="1">D32</f>
        <v>180000</v>
      </c>
    </row>
    <row r="15" spans="1:14" x14ac:dyDescent="0.25">
      <c r="C15" s="2" t="str">
        <f>C8</f>
        <v>נכסים נטו לא מוגבלים שלא יועדו</v>
      </c>
      <c r="E15" s="2">
        <f>D14</f>
        <v>41666.666666666664</v>
      </c>
      <c r="L15" s="2" t="str">
        <f t="shared" si="0"/>
        <v>הוצאות פרסום</v>
      </c>
      <c r="N15" s="2">
        <f t="shared" si="1"/>
        <v>80000</v>
      </c>
    </row>
    <row r="16" spans="1:14" x14ac:dyDescent="0.25">
      <c r="L16" s="2" t="str">
        <f>C45</f>
        <v>הוצאות בגין ספרי לימוד</v>
      </c>
      <c r="N16" s="2">
        <f>D45</f>
        <v>110000</v>
      </c>
    </row>
    <row r="17" spans="1:18" x14ac:dyDescent="0.25">
      <c r="L17" s="3" t="s">
        <v>105</v>
      </c>
      <c r="N17" s="3">
        <f>SUM(N11:N16)</f>
        <v>620000</v>
      </c>
    </row>
    <row r="18" spans="1:18" ht="14.4" thickBot="1" x14ac:dyDescent="0.3"/>
    <row r="19" spans="1:18" ht="14.4" thickBot="1" x14ac:dyDescent="0.3">
      <c r="A19" s="22" t="s">
        <v>76</v>
      </c>
      <c r="L19" s="26" t="s">
        <v>106</v>
      </c>
      <c r="M19" s="27"/>
      <c r="N19" s="28">
        <f>N8-N17</f>
        <v>1295000</v>
      </c>
    </row>
    <row r="20" spans="1:18" x14ac:dyDescent="0.25">
      <c r="C20" s="2" t="s">
        <v>73</v>
      </c>
      <c r="D20" s="2">
        <v>1100000</v>
      </c>
    </row>
    <row r="21" spans="1:18" x14ac:dyDescent="0.25">
      <c r="C21" s="2" t="s">
        <v>77</v>
      </c>
      <c r="E21" s="2">
        <f>D20</f>
        <v>1100000</v>
      </c>
      <c r="L21" s="1" t="s">
        <v>107</v>
      </c>
    </row>
    <row r="23" spans="1:18" ht="15.6" x14ac:dyDescent="0.3">
      <c r="A23" s="22" t="s">
        <v>80</v>
      </c>
      <c r="L23" s="48" t="s">
        <v>108</v>
      </c>
      <c r="M23" s="48"/>
      <c r="N23" s="48"/>
      <c r="O23" s="48" t="s">
        <v>109</v>
      </c>
      <c r="P23" s="48"/>
      <c r="Q23" s="48"/>
      <c r="R23" s="29" t="s">
        <v>110</v>
      </c>
    </row>
    <row r="24" spans="1:18" ht="15.6" x14ac:dyDescent="0.3">
      <c r="C24" s="2" t="s">
        <v>78</v>
      </c>
      <c r="D24" s="39">
        <f>E25</f>
        <v>120000</v>
      </c>
      <c r="E24" s="5"/>
      <c r="F24" s="5"/>
      <c r="G24" s="5"/>
      <c r="H24" s="24"/>
      <c r="I24" s="24"/>
      <c r="L24" s="48"/>
      <c r="M24" s="48"/>
      <c r="N24" s="48"/>
      <c r="O24" s="29" t="s">
        <v>111</v>
      </c>
      <c r="P24" s="29" t="s">
        <v>112</v>
      </c>
      <c r="Q24" s="29" t="s">
        <v>113</v>
      </c>
      <c r="R24" s="29" t="s">
        <v>114</v>
      </c>
    </row>
    <row r="25" spans="1:18" ht="15.6" x14ac:dyDescent="0.3">
      <c r="C25" s="2" t="s">
        <v>79</v>
      </c>
      <c r="D25" s="5"/>
      <c r="E25" s="2">
        <v>120000</v>
      </c>
      <c r="F25" s="5"/>
      <c r="G25" s="5"/>
      <c r="H25" s="24"/>
      <c r="I25" s="24"/>
      <c r="L25" s="30" t="s">
        <v>117</v>
      </c>
      <c r="M25" s="30"/>
      <c r="N25" s="30"/>
      <c r="O25" s="31">
        <f>-D8</f>
        <v>-350000</v>
      </c>
      <c r="P25" s="31"/>
      <c r="Q25" s="31">
        <f>E9</f>
        <v>350000</v>
      </c>
      <c r="R25" s="31"/>
    </row>
    <row r="26" spans="1:18" ht="15.6" x14ac:dyDescent="0.3">
      <c r="L26" s="32" t="s">
        <v>118</v>
      </c>
      <c r="M26" s="33"/>
      <c r="N26" s="34"/>
      <c r="O26" s="31">
        <f>D14</f>
        <v>41666.666666666664</v>
      </c>
      <c r="P26" s="31"/>
      <c r="Q26" s="31">
        <f>-O26</f>
        <v>-41666.666666666664</v>
      </c>
      <c r="R26" s="31"/>
    </row>
    <row r="27" spans="1:18" ht="15.6" x14ac:dyDescent="0.3">
      <c r="C27" s="2" t="s">
        <v>81</v>
      </c>
      <c r="L27" s="32" t="s">
        <v>119</v>
      </c>
      <c r="M27" s="33"/>
      <c r="N27" s="34"/>
      <c r="O27" s="31"/>
      <c r="P27" s="31"/>
      <c r="Q27" s="31"/>
      <c r="R27" s="31">
        <f>E25</f>
        <v>120000</v>
      </c>
    </row>
    <row r="28" spans="1:18" ht="15.6" x14ac:dyDescent="0.3">
      <c r="L28" s="32" t="s">
        <v>120</v>
      </c>
      <c r="M28" s="33"/>
      <c r="N28" s="34"/>
      <c r="O28" s="31"/>
      <c r="P28" s="31"/>
      <c r="Q28" s="31"/>
      <c r="R28" s="31">
        <f>E42</f>
        <v>90000</v>
      </c>
    </row>
    <row r="29" spans="1:18" ht="15.6" x14ac:dyDescent="0.3">
      <c r="L29" s="32" t="s">
        <v>121</v>
      </c>
      <c r="M29" s="33"/>
      <c r="N29" s="34"/>
      <c r="O29" s="31"/>
      <c r="P29" s="31"/>
      <c r="Q29" s="31"/>
      <c r="R29" s="31">
        <f>-R28</f>
        <v>-90000</v>
      </c>
    </row>
    <row r="30" spans="1:18" ht="15.6" x14ac:dyDescent="0.3">
      <c r="L30" s="32" t="s">
        <v>122</v>
      </c>
      <c r="M30" s="33"/>
      <c r="N30" s="34"/>
      <c r="O30" s="31">
        <f>-D56</f>
        <v>-600000</v>
      </c>
      <c r="P30" s="31"/>
      <c r="Q30" s="31">
        <f>-O30</f>
        <v>600000</v>
      </c>
      <c r="R30" s="31"/>
    </row>
    <row r="31" spans="1:18" ht="15.6" x14ac:dyDescent="0.3">
      <c r="A31" s="22" t="s">
        <v>82</v>
      </c>
      <c r="C31" s="2" t="s">
        <v>83</v>
      </c>
      <c r="D31" s="2">
        <v>200000</v>
      </c>
      <c r="L31" s="32" t="s">
        <v>123</v>
      </c>
      <c r="M31" s="33"/>
      <c r="N31" s="34"/>
      <c r="O31" s="31">
        <f>D62</f>
        <v>8333.3333333333339</v>
      </c>
      <c r="P31" s="31"/>
      <c r="Q31" s="31">
        <f>-O31</f>
        <v>-8333.3333333333339</v>
      </c>
      <c r="R31" s="31"/>
    </row>
    <row r="32" spans="1:18" ht="15.6" x14ac:dyDescent="0.3">
      <c r="C32" s="2" t="s">
        <v>84</v>
      </c>
      <c r="D32" s="2">
        <v>180000</v>
      </c>
      <c r="L32" s="32" t="s">
        <v>125</v>
      </c>
      <c r="M32" s="33"/>
      <c r="N32" s="34"/>
      <c r="O32" s="31"/>
      <c r="P32" s="31"/>
      <c r="Q32" s="31"/>
      <c r="R32" s="31">
        <f>E72</f>
        <v>400000</v>
      </c>
    </row>
    <row r="33" spans="1:18" ht="15.6" x14ac:dyDescent="0.3">
      <c r="C33" s="2" t="s">
        <v>85</v>
      </c>
      <c r="D33" s="2">
        <v>80000</v>
      </c>
      <c r="L33" s="32" t="s">
        <v>124</v>
      </c>
      <c r="M33" s="33"/>
      <c r="N33" s="34"/>
      <c r="O33" s="31"/>
      <c r="P33" s="31"/>
      <c r="Q33" s="31"/>
      <c r="R33" s="31">
        <f>E75</f>
        <v>500000</v>
      </c>
    </row>
    <row r="34" spans="1:18" ht="15.6" x14ac:dyDescent="0.3">
      <c r="C34" s="2" t="s">
        <v>73</v>
      </c>
      <c r="E34" s="2">
        <f>D31+D32+D33</f>
        <v>460000</v>
      </c>
      <c r="L34" s="32" t="s">
        <v>128</v>
      </c>
      <c r="M34" s="33"/>
      <c r="N34" s="34"/>
      <c r="O34" s="31">
        <f>-M136</f>
        <v>0</v>
      </c>
      <c r="P34" s="31"/>
      <c r="Q34" s="31">
        <f>-O34</f>
        <v>0</v>
      </c>
      <c r="R34" s="31">
        <f>E79</f>
        <v>1500000</v>
      </c>
    </row>
    <row r="35" spans="1:18" ht="15.6" x14ac:dyDescent="0.3">
      <c r="L35" s="32" t="s">
        <v>129</v>
      </c>
      <c r="M35" s="33"/>
      <c r="N35" s="34"/>
      <c r="O35" s="31"/>
      <c r="P35" s="31"/>
      <c r="Q35" s="31"/>
      <c r="R35" s="31">
        <f>-D81</f>
        <v>-125000</v>
      </c>
    </row>
    <row r="36" spans="1:18" ht="15.6" x14ac:dyDescent="0.3">
      <c r="L36" s="32" t="s">
        <v>130</v>
      </c>
      <c r="M36" s="33"/>
      <c r="N36" s="34"/>
      <c r="O36" s="31">
        <f>R35</f>
        <v>-125000</v>
      </c>
      <c r="P36" s="31"/>
      <c r="Q36" s="31">
        <f>-O36</f>
        <v>125000</v>
      </c>
      <c r="R36" s="31"/>
    </row>
    <row r="37" spans="1:18" ht="15.6" x14ac:dyDescent="0.3">
      <c r="A37" s="22" t="s">
        <v>86</v>
      </c>
      <c r="L37" s="32" t="s">
        <v>115</v>
      </c>
      <c r="M37" s="33"/>
      <c r="N37" s="34"/>
      <c r="O37" s="31">
        <f>N19</f>
        <v>1295000</v>
      </c>
      <c r="P37" s="31"/>
      <c r="Q37" s="31"/>
      <c r="R37" s="31"/>
    </row>
    <row r="38" spans="1:18" ht="15.6" x14ac:dyDescent="0.3">
      <c r="C38" s="2" t="s">
        <v>87</v>
      </c>
      <c r="L38" s="35" t="s">
        <v>116</v>
      </c>
      <c r="M38" s="36"/>
      <c r="N38" s="37"/>
      <c r="O38" s="38">
        <f>SUM(O25:O37)</f>
        <v>270000.00000000012</v>
      </c>
      <c r="P38" s="38">
        <f>SUM(P25:P37)</f>
        <v>0</v>
      </c>
      <c r="Q38" s="38">
        <f>SUM(Q25:Q37)</f>
        <v>1024999.9999999999</v>
      </c>
      <c r="R38" s="38">
        <f>SUM(R25:R37)</f>
        <v>2395000</v>
      </c>
    </row>
    <row r="41" spans="1:18" x14ac:dyDescent="0.25">
      <c r="A41" s="22" t="s">
        <v>88</v>
      </c>
      <c r="C41" s="2" t="s">
        <v>73</v>
      </c>
      <c r="D41" s="2">
        <v>90000</v>
      </c>
    </row>
    <row r="42" spans="1:18" x14ac:dyDescent="0.25">
      <c r="C42" s="2" t="str">
        <f>C25</f>
        <v>נכסים נטו שקיימת לגביהם הגבלה</v>
      </c>
      <c r="E42" s="2">
        <f>D41</f>
        <v>90000</v>
      </c>
    </row>
    <row r="44" spans="1:18" x14ac:dyDescent="0.25">
      <c r="A44" s="22" t="s">
        <v>89</v>
      </c>
    </row>
    <row r="45" spans="1:18" x14ac:dyDescent="0.25">
      <c r="C45" s="2" t="s">
        <v>90</v>
      </c>
      <c r="D45" s="2">
        <f>20000+90000</f>
        <v>110000</v>
      </c>
    </row>
    <row r="46" spans="1:18" x14ac:dyDescent="0.25">
      <c r="C46" s="2" t="s">
        <v>73</v>
      </c>
      <c r="E46" s="2">
        <f>D45</f>
        <v>110000</v>
      </c>
    </row>
    <row r="48" spans="1:18" x14ac:dyDescent="0.25">
      <c r="C48" s="2" t="str">
        <f>C42</f>
        <v>נכסים נטו שקיימת לגביהם הגבלה</v>
      </c>
      <c r="D48" s="2">
        <f>D41</f>
        <v>90000</v>
      </c>
    </row>
    <row r="49" spans="1:5" x14ac:dyDescent="0.25">
      <c r="C49" s="2" t="s">
        <v>100</v>
      </c>
      <c r="E49" s="2">
        <f>D48</f>
        <v>90000</v>
      </c>
    </row>
    <row r="52" spans="1:5" x14ac:dyDescent="0.25">
      <c r="A52" s="22" t="s">
        <v>91</v>
      </c>
    </row>
    <row r="53" spans="1:5" x14ac:dyDescent="0.25">
      <c r="C53" s="2" t="s">
        <v>93</v>
      </c>
      <c r="E53" s="2">
        <v>600000</v>
      </c>
    </row>
    <row r="54" spans="1:5" x14ac:dyDescent="0.25">
      <c r="C54" s="2" t="s">
        <v>92</v>
      </c>
      <c r="D54" s="2">
        <f>E53</f>
        <v>600000</v>
      </c>
    </row>
    <row r="56" spans="1:5" x14ac:dyDescent="0.25">
      <c r="C56" s="2" t="str">
        <f>C8</f>
        <v>נכסים נטו לא מוגבלים שלא יועדו</v>
      </c>
      <c r="D56" s="2">
        <f>D54</f>
        <v>600000</v>
      </c>
    </row>
    <row r="57" spans="1:5" x14ac:dyDescent="0.25">
      <c r="C57" s="2" t="str">
        <f>C9</f>
        <v>נכסים נטו לא מוגבלים ששימשו לרכוש קבוע</v>
      </c>
      <c r="E57" s="2">
        <f>D56</f>
        <v>600000</v>
      </c>
    </row>
    <row r="59" spans="1:5" x14ac:dyDescent="0.25">
      <c r="C59" s="2" t="s">
        <v>74</v>
      </c>
      <c r="D59" s="2">
        <f>D56/6*1/12</f>
        <v>8333.3333333333339</v>
      </c>
    </row>
    <row r="60" spans="1:5" x14ac:dyDescent="0.25">
      <c r="C60" s="2" t="s">
        <v>75</v>
      </c>
      <c r="E60" s="2">
        <f>D59</f>
        <v>8333.3333333333339</v>
      </c>
    </row>
    <row r="62" spans="1:5" x14ac:dyDescent="0.25">
      <c r="C62" s="2" t="str">
        <f>C57</f>
        <v>נכסים נטו לא מוגבלים ששימשו לרכוש קבוע</v>
      </c>
      <c r="D62" s="2">
        <f>D59</f>
        <v>8333.3333333333339</v>
      </c>
    </row>
    <row r="63" spans="1:5" x14ac:dyDescent="0.25">
      <c r="C63" s="2" t="str">
        <f>C56</f>
        <v>נכסים נטו לא מוגבלים שלא יועדו</v>
      </c>
      <c r="E63" s="2">
        <f>D62</f>
        <v>8333.3333333333339</v>
      </c>
    </row>
    <row r="66" spans="1:5" x14ac:dyDescent="0.25">
      <c r="A66" s="22" t="s">
        <v>94</v>
      </c>
      <c r="C66" s="2" t="s">
        <v>95</v>
      </c>
    </row>
    <row r="68" spans="1:5" x14ac:dyDescent="0.25">
      <c r="C68" s="2" t="s">
        <v>73</v>
      </c>
      <c r="D68" s="2">
        <v>400000</v>
      </c>
    </row>
    <row r="69" spans="1:5" x14ac:dyDescent="0.25">
      <c r="C69" s="2" t="s">
        <v>96</v>
      </c>
      <c r="E69" s="2">
        <f>D68</f>
        <v>400000</v>
      </c>
    </row>
    <row r="71" spans="1:5" x14ac:dyDescent="0.25">
      <c r="C71" s="2" t="str">
        <f>C69</f>
        <v>מקדמה הניתנת להחזרה</v>
      </c>
      <c r="D71" s="2">
        <f>E69</f>
        <v>400000</v>
      </c>
    </row>
    <row r="72" spans="1:5" x14ac:dyDescent="0.25">
      <c r="C72" s="2" t="str">
        <f>C48</f>
        <v>נכסים נטו שקיימת לגביהם הגבלה</v>
      </c>
      <c r="E72" s="2">
        <f>D71</f>
        <v>400000</v>
      </c>
    </row>
    <row r="74" spans="1:5" x14ac:dyDescent="0.25">
      <c r="C74" s="2" t="s">
        <v>73</v>
      </c>
      <c r="D74" s="2">
        <v>500000</v>
      </c>
    </row>
    <row r="75" spans="1:5" x14ac:dyDescent="0.25">
      <c r="C75" s="2" t="str">
        <f>C72</f>
        <v>נכסים נטו שקיימת לגביהם הגבלה</v>
      </c>
      <c r="E75" s="2">
        <f>D74</f>
        <v>500000</v>
      </c>
    </row>
    <row r="78" spans="1:5" x14ac:dyDescent="0.25">
      <c r="A78" s="22" t="s">
        <v>126</v>
      </c>
      <c r="C78" s="2" t="s">
        <v>127</v>
      </c>
      <c r="D78" s="2">
        <v>1500000</v>
      </c>
    </row>
    <row r="79" spans="1:5" x14ac:dyDescent="0.25">
      <c r="C79" s="2" t="str">
        <f>C72</f>
        <v>נכסים נטו שקיימת לגביהם הגבלה</v>
      </c>
      <c r="E79" s="2">
        <f>D78</f>
        <v>1500000</v>
      </c>
    </row>
    <row r="81" spans="3:5" x14ac:dyDescent="0.25">
      <c r="C81" s="2" t="str">
        <f>C79</f>
        <v>נכסים נטו שקיימת לגביהם הגבלה</v>
      </c>
      <c r="D81" s="2">
        <f>E79/5*5/12</f>
        <v>125000</v>
      </c>
    </row>
    <row r="82" spans="3:5" x14ac:dyDescent="0.25">
      <c r="C82" s="2" t="s">
        <v>100</v>
      </c>
      <c r="E82" s="2">
        <f>D81</f>
        <v>125000</v>
      </c>
    </row>
    <row r="84" spans="3:5" x14ac:dyDescent="0.25">
      <c r="C84" s="2" t="str">
        <f>C56</f>
        <v>נכסים נטו לא מוגבלים שלא יועדו</v>
      </c>
      <c r="D84" s="2">
        <f>D81</f>
        <v>125000</v>
      </c>
    </row>
    <row r="85" spans="3:5" x14ac:dyDescent="0.25">
      <c r="C85" s="2" t="str">
        <f>C57</f>
        <v>נכסים נטו לא מוגבלים ששימשו לרכוש קבוע</v>
      </c>
      <c r="E85" s="2">
        <f>D84</f>
        <v>125000</v>
      </c>
    </row>
  </sheetData>
  <mergeCells count="2">
    <mergeCell ref="L23:N24"/>
    <mergeCell ref="O23:Q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0015-AFBD-4D72-AA8A-1FBE47F2D794}">
  <dimension ref="A3:J29"/>
  <sheetViews>
    <sheetView rightToLeft="1" zoomScale="90" zoomScaleNormal="90" workbookViewId="0">
      <selection activeCell="B8" sqref="B8"/>
    </sheetView>
  </sheetViews>
  <sheetFormatPr defaultRowHeight="13.8" x14ac:dyDescent="0.25"/>
  <cols>
    <col min="1" max="1" width="10.5" style="2" customWidth="1"/>
    <col min="2" max="2" width="12.59765625" style="2" bestFit="1" customWidth="1"/>
    <col min="3" max="3" width="8.796875" style="2"/>
    <col min="4" max="5" width="9.8984375" style="2" bestFit="1" customWidth="1"/>
    <col min="6" max="8" width="8.796875" style="2"/>
    <col min="9" max="9" width="9.5" style="2" bestFit="1" customWidth="1"/>
    <col min="10" max="16384" width="8.796875" style="2"/>
  </cols>
  <sheetData>
    <row r="3" spans="1:10" x14ac:dyDescent="0.25">
      <c r="A3"/>
      <c r="B3"/>
      <c r="G3"/>
      <c r="H3"/>
      <c r="I3"/>
      <c r="J3"/>
    </row>
    <row r="4" spans="1:10" x14ac:dyDescent="0.25">
      <c r="A4"/>
      <c r="B4"/>
      <c r="G4"/>
      <c r="H4"/>
      <c r="I4"/>
      <c r="J4"/>
    </row>
    <row r="5" spans="1:10" x14ac:dyDescent="0.25">
      <c r="A5"/>
      <c r="B5"/>
      <c r="G5"/>
      <c r="H5"/>
      <c r="I5"/>
      <c r="J5"/>
    </row>
    <row r="6" spans="1:10" x14ac:dyDescent="0.25">
      <c r="A6"/>
      <c r="B6"/>
      <c r="G6"/>
      <c r="H6"/>
      <c r="I6"/>
      <c r="J6"/>
    </row>
    <row r="7" spans="1:10" x14ac:dyDescent="0.25">
      <c r="A7"/>
      <c r="B7"/>
      <c r="G7"/>
      <c r="H7"/>
      <c r="I7"/>
      <c r="J7"/>
    </row>
    <row r="8" spans="1:10" x14ac:dyDescent="0.25">
      <c r="A8"/>
      <c r="B8"/>
      <c r="G8"/>
      <c r="H8"/>
      <c r="I8"/>
      <c r="J8"/>
    </row>
    <row r="9" spans="1:10" x14ac:dyDescent="0.25">
      <c r="A9"/>
      <c r="B9"/>
    </row>
    <row r="12" spans="1:10" x14ac:dyDescent="0.25">
      <c r="A12" s="40" t="s">
        <v>138</v>
      </c>
      <c r="B12" s="40"/>
      <c r="C12" s="40"/>
      <c r="D12" s="41">
        <v>43465</v>
      </c>
      <c r="E12" s="41">
        <v>43830</v>
      </c>
      <c r="F12"/>
    </row>
    <row r="13" spans="1:10" x14ac:dyDescent="0.25">
      <c r="A13" s="2" t="s">
        <v>139</v>
      </c>
      <c r="D13" s="2">
        <f>-B25</f>
        <v>363663.82946406008</v>
      </c>
      <c r="E13" s="2">
        <f>-B29</f>
        <v>330103.8388932739</v>
      </c>
      <c r="F13"/>
    </row>
    <row r="14" spans="1:10" x14ac:dyDescent="0.25">
      <c r="A14" s="2" t="s">
        <v>140</v>
      </c>
      <c r="D14" s="2">
        <f>I25</f>
        <v>358100.0772912869</v>
      </c>
      <c r="E14" s="2">
        <f>I28</f>
        <v>321018.06049586274</v>
      </c>
      <c r="F14"/>
    </row>
    <row r="16" spans="1:10" x14ac:dyDescent="0.25">
      <c r="A16" s="40" t="s">
        <v>141</v>
      </c>
      <c r="B16" s="40"/>
      <c r="C16" s="40"/>
      <c r="D16" s="41">
        <v>43465</v>
      </c>
      <c r="E16" s="41">
        <v>43830</v>
      </c>
    </row>
    <row r="17" spans="1:9" x14ac:dyDescent="0.25">
      <c r="A17" s="2" t="str">
        <f>A26</f>
        <v>הוצאות מימון</v>
      </c>
      <c r="D17" s="2">
        <f>-(B22+B24)</f>
        <v>29624.951136822961</v>
      </c>
      <c r="E17" s="2">
        <f>-(B26+B28)</f>
        <v>30440.009429213824</v>
      </c>
    </row>
    <row r="18" spans="1:9" x14ac:dyDescent="0.25">
      <c r="A18" s="2" t="s">
        <v>74</v>
      </c>
      <c r="D18" s="2">
        <f>-I23</f>
        <v>49469.145505190354</v>
      </c>
      <c r="E18" s="2">
        <f>-I26</f>
        <v>51157.15389875527</v>
      </c>
    </row>
    <row r="20" spans="1:9" x14ac:dyDescent="0.25">
      <c r="A20" s="1" t="s">
        <v>131</v>
      </c>
    </row>
    <row r="21" spans="1:9" x14ac:dyDescent="0.25">
      <c r="A21" s="2" t="str">
        <f>H22</f>
        <v>1.1.18</v>
      </c>
      <c r="B21" s="2">
        <f>PV(4.5%,8,60000)</f>
        <v>-395753.16404152283</v>
      </c>
      <c r="H21" s="1" t="s">
        <v>132</v>
      </c>
    </row>
    <row r="22" spans="1:9" x14ac:dyDescent="0.25">
      <c r="A22" s="2" t="s">
        <v>133</v>
      </c>
      <c r="B22" s="2">
        <f>B21*4.5%</f>
        <v>-17808.892381868525</v>
      </c>
      <c r="H22" s="2" t="s">
        <v>135</v>
      </c>
      <c r="I22" s="2">
        <f>-B21</f>
        <v>395753.16404152283</v>
      </c>
    </row>
    <row r="23" spans="1:9" x14ac:dyDescent="0.25">
      <c r="A23" s="2" t="s">
        <v>134</v>
      </c>
      <c r="B23" s="2">
        <f>60000*108/105</f>
        <v>61714.285714285717</v>
      </c>
      <c r="H23" s="2" t="s">
        <v>75</v>
      </c>
      <c r="I23" s="2">
        <f>-I22/8</f>
        <v>-49469.145505190354</v>
      </c>
    </row>
    <row r="24" spans="1:9" x14ac:dyDescent="0.25">
      <c r="A24" s="2" t="s">
        <v>185</v>
      </c>
      <c r="B24" s="2">
        <f>B25-B21-B22-B23</f>
        <v>-11816.058754954436</v>
      </c>
      <c r="H24" s="2" t="s">
        <v>186</v>
      </c>
      <c r="I24" s="2">
        <f>-B24</f>
        <v>11816.058754954436</v>
      </c>
    </row>
    <row r="25" spans="1:9" x14ac:dyDescent="0.25">
      <c r="A25" s="2" t="s">
        <v>136</v>
      </c>
      <c r="B25" s="2">
        <f>PV(4.5%,7,60000)*108/105</f>
        <v>-363663.82946406008</v>
      </c>
      <c r="H25" s="2" t="s">
        <v>136</v>
      </c>
      <c r="I25" s="2">
        <f>SUM(I22:I24)</f>
        <v>358100.0772912869</v>
      </c>
    </row>
    <row r="26" spans="1:9" x14ac:dyDescent="0.25">
      <c r="A26" s="2" t="str">
        <f>A22</f>
        <v>הוצאות מימון</v>
      </c>
      <c r="B26" s="2">
        <f>B25*4.5%</f>
        <v>-16364.872325882703</v>
      </c>
      <c r="H26" s="2" t="s">
        <v>75</v>
      </c>
      <c r="I26" s="2">
        <f>-I25/7</f>
        <v>-51157.15389875527</v>
      </c>
    </row>
    <row r="27" spans="1:9" x14ac:dyDescent="0.25">
      <c r="A27" s="2" t="str">
        <f>A23</f>
        <v>תשלום</v>
      </c>
      <c r="B27" s="2">
        <f>60000*112/105</f>
        <v>64000</v>
      </c>
      <c r="H27" s="2" t="s">
        <v>186</v>
      </c>
      <c r="I27" s="2">
        <f>-B28</f>
        <v>14075.137103331122</v>
      </c>
    </row>
    <row r="28" spans="1:9" x14ac:dyDescent="0.25">
      <c r="A28" s="2" t="str">
        <f>A24</f>
        <v>הפרשי שער</v>
      </c>
      <c r="B28" s="2">
        <f>B29-B25-B26-B27</f>
        <v>-14075.137103331122</v>
      </c>
      <c r="H28" s="2" t="s">
        <v>137</v>
      </c>
      <c r="I28" s="2">
        <f>SUM(I25:I27)</f>
        <v>321018.06049586274</v>
      </c>
    </row>
    <row r="29" spans="1:9" x14ac:dyDescent="0.25">
      <c r="A29" s="2" t="str">
        <f>H28</f>
        <v>31.12.19</v>
      </c>
      <c r="B29" s="2">
        <f>PV(4.5%,6,60000)*112/105</f>
        <v>-330103.8388932739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055B-F82B-4CFF-B688-92BEA8AD0D13}">
  <dimension ref="A2:G70"/>
  <sheetViews>
    <sheetView rightToLeft="1" workbookViewId="0">
      <selection activeCell="E64" sqref="E64"/>
    </sheetView>
  </sheetViews>
  <sheetFormatPr defaultRowHeight="13.8" x14ac:dyDescent="0.25"/>
  <cols>
    <col min="1" max="1" width="11.296875" style="2" customWidth="1"/>
    <col min="2" max="2" width="47" style="2" bestFit="1" customWidth="1"/>
    <col min="3" max="3" width="8.69921875" style="2" customWidth="1"/>
    <col min="4" max="16384" width="8.796875" style="2"/>
  </cols>
  <sheetData>
    <row r="2" spans="2:3" x14ac:dyDescent="0.25">
      <c r="B2" s="22" t="s">
        <v>142</v>
      </c>
    </row>
    <row r="3" spans="2:3" x14ac:dyDescent="0.25">
      <c r="B3" s="2" t="s">
        <v>143</v>
      </c>
    </row>
    <row r="4" spans="2:3" x14ac:dyDescent="0.25">
      <c r="B4" s="2" t="s">
        <v>144</v>
      </c>
    </row>
    <row r="5" spans="2:3" x14ac:dyDescent="0.25">
      <c r="B5" s="2" t="s">
        <v>145</v>
      </c>
      <c r="C5" s="2" t="s">
        <v>146</v>
      </c>
    </row>
    <row r="6" spans="2:3" x14ac:dyDescent="0.25">
      <c r="B6" s="2" t="s">
        <v>147</v>
      </c>
      <c r="C6" s="2" t="s">
        <v>148</v>
      </c>
    </row>
    <row r="7" spans="2:3" x14ac:dyDescent="0.25">
      <c r="B7" s="2" t="s">
        <v>149</v>
      </c>
      <c r="C7" s="2" t="s">
        <v>150</v>
      </c>
    </row>
    <row r="9" spans="2:3" x14ac:dyDescent="0.25">
      <c r="B9" s="3" t="s">
        <v>151</v>
      </c>
    </row>
    <row r="12" spans="2:3" x14ac:dyDescent="0.25">
      <c r="B12" s="22" t="s">
        <v>152</v>
      </c>
    </row>
    <row r="13" spans="2:3" x14ac:dyDescent="0.25">
      <c r="B13" s="2" t="s">
        <v>156</v>
      </c>
      <c r="C13" s="42">
        <f>800000*10/12</f>
        <v>666666.66666666663</v>
      </c>
    </row>
    <row r="14" spans="2:3" x14ac:dyDescent="0.25">
      <c r="B14" s="2" t="s">
        <v>153</v>
      </c>
      <c r="C14" s="2">
        <f>500000*6/12</f>
        <v>250000</v>
      </c>
    </row>
    <row r="15" spans="2:3" x14ac:dyDescent="0.25">
      <c r="B15" s="2" t="s">
        <v>154</v>
      </c>
      <c r="C15" s="2">
        <f>600000*3/12</f>
        <v>150000</v>
      </c>
    </row>
    <row r="16" spans="2:3" x14ac:dyDescent="0.25">
      <c r="B16" s="2" t="s">
        <v>155</v>
      </c>
      <c r="C16" s="2">
        <f>400000*0/12</f>
        <v>0</v>
      </c>
    </row>
    <row r="17" spans="2:3" x14ac:dyDescent="0.25">
      <c r="B17" s="2" t="s">
        <v>157</v>
      </c>
      <c r="C17" s="2">
        <f>-150000*2/12</f>
        <v>-25000</v>
      </c>
    </row>
    <row r="18" spans="2:3" x14ac:dyDescent="0.25">
      <c r="B18" s="43" t="s">
        <v>161</v>
      </c>
      <c r="C18" s="43">
        <f>SUM(C13:C17)</f>
        <v>1041666.6666666665</v>
      </c>
    </row>
    <row r="22" spans="2:3" x14ac:dyDescent="0.25">
      <c r="B22" s="22" t="s">
        <v>158</v>
      </c>
    </row>
    <row r="23" spans="2:3" x14ac:dyDescent="0.25">
      <c r="B23" s="47" t="s">
        <v>159</v>
      </c>
      <c r="C23" s="47">
        <v>24000</v>
      </c>
    </row>
    <row r="24" spans="2:3" x14ac:dyDescent="0.25">
      <c r="B24" s="2" t="s">
        <v>160</v>
      </c>
      <c r="C24" s="2">
        <f>800000*60%*10/12</f>
        <v>400000</v>
      </c>
    </row>
    <row r="26" spans="2:3" x14ac:dyDescent="0.25">
      <c r="B26" s="22" t="s">
        <v>162</v>
      </c>
    </row>
    <row r="27" spans="2:3" x14ac:dyDescent="0.25">
      <c r="B27" s="2" t="str">
        <f>B18</f>
        <v>סה"כ ממוצע נכס כשיר</v>
      </c>
      <c r="C27" s="2">
        <f>C18</f>
        <v>1041666.6666666665</v>
      </c>
    </row>
    <row r="28" spans="2:3" x14ac:dyDescent="0.25">
      <c r="B28" s="2" t="str">
        <f>B24</f>
        <v>ממוצע אשראי ספיציפי</v>
      </c>
      <c r="C28" s="2">
        <f>C24</f>
        <v>400000</v>
      </c>
    </row>
    <row r="29" spans="2:3" x14ac:dyDescent="0.25">
      <c r="B29" s="43" t="s">
        <v>163</v>
      </c>
      <c r="C29" s="43">
        <f>C27-C28</f>
        <v>641666.66666666651</v>
      </c>
    </row>
    <row r="32" spans="2:3" x14ac:dyDescent="0.25">
      <c r="B32" s="22" t="s">
        <v>164</v>
      </c>
    </row>
    <row r="34" spans="1:7" x14ac:dyDescent="0.25">
      <c r="A34" s="3" t="s">
        <v>165</v>
      </c>
    </row>
    <row r="35" spans="1:7" x14ac:dyDescent="0.25">
      <c r="B35" s="44" t="s">
        <v>148</v>
      </c>
      <c r="C35" s="2">
        <v>-700000</v>
      </c>
    </row>
    <row r="36" spans="1:7" x14ac:dyDescent="0.25">
      <c r="B36" s="2" t="str">
        <f>B39</f>
        <v>הוצאות מימון</v>
      </c>
      <c r="C36" s="2">
        <f>C35*G36</f>
        <v>-5715.3922363307292</v>
      </c>
      <c r="D36" s="2" t="s">
        <v>166</v>
      </c>
      <c r="G36" s="45">
        <f>(1+5%)^(2/12)-1</f>
        <v>8.1648460519010424E-3</v>
      </c>
    </row>
    <row r="37" spans="1:7" x14ac:dyDescent="0.25">
      <c r="B37" s="2" t="s">
        <v>134</v>
      </c>
      <c r="C37" s="2">
        <v>0</v>
      </c>
      <c r="D37" s="2" t="s">
        <v>167</v>
      </c>
      <c r="G37" s="45">
        <f>(1+5%)^(10/12)-1</f>
        <v>4.1496342698250865E-2</v>
      </c>
    </row>
    <row r="38" spans="1:7" x14ac:dyDescent="0.25">
      <c r="B38" s="44" t="s">
        <v>146</v>
      </c>
      <c r="C38" s="2">
        <f>SUM(C35:C37)</f>
        <v>-705715.39223633078</v>
      </c>
    </row>
    <row r="39" spans="1:7" x14ac:dyDescent="0.25">
      <c r="B39" s="46" t="s">
        <v>133</v>
      </c>
      <c r="C39" s="8">
        <f>C38*G37</f>
        <v>-29284.607763669312</v>
      </c>
    </row>
    <row r="40" spans="1:7" x14ac:dyDescent="0.25">
      <c r="B40" s="44" t="s">
        <v>134</v>
      </c>
      <c r="C40" s="2">
        <f>-(C39+C36)</f>
        <v>35000.000000000044</v>
      </c>
    </row>
    <row r="41" spans="1:7" x14ac:dyDescent="0.25">
      <c r="B41" s="44" t="s">
        <v>10</v>
      </c>
      <c r="C41" s="2">
        <f>SUM(C38:C40)</f>
        <v>-700000.00000000012</v>
      </c>
    </row>
    <row r="43" spans="1:7" x14ac:dyDescent="0.25">
      <c r="B43" s="2" t="s">
        <v>168</v>
      </c>
      <c r="C43" s="2">
        <f>-C39</f>
        <v>29284.607763669312</v>
      </c>
    </row>
    <row r="44" spans="1:7" x14ac:dyDescent="0.25">
      <c r="B44" s="2" t="s">
        <v>169</v>
      </c>
      <c r="C44" s="2">
        <f>-C35*10/12</f>
        <v>583333.33333333337</v>
      </c>
    </row>
    <row r="47" spans="1:7" x14ac:dyDescent="0.25">
      <c r="A47" s="3" t="s">
        <v>170</v>
      </c>
      <c r="B47" s="44" t="s">
        <v>171</v>
      </c>
      <c r="C47" s="2">
        <v>-200000</v>
      </c>
    </row>
    <row r="48" spans="1:7" x14ac:dyDescent="0.25">
      <c r="B48" s="46" t="s">
        <v>133</v>
      </c>
      <c r="C48" s="8">
        <f>C47*G48</f>
        <v>-973.51011306860971</v>
      </c>
      <c r="D48" s="2" t="s">
        <v>172</v>
      </c>
      <c r="G48" s="45">
        <f>(1+6%)^(1/12)-1</f>
        <v>4.8675505653430484E-3</v>
      </c>
    </row>
    <row r="49" spans="2:3" x14ac:dyDescent="0.25">
      <c r="B49" s="44" t="s">
        <v>134</v>
      </c>
      <c r="C49" s="2">
        <v>0</v>
      </c>
    </row>
    <row r="50" spans="2:3" x14ac:dyDescent="0.25">
      <c r="B50" s="44" t="s">
        <v>10</v>
      </c>
      <c r="C50" s="2">
        <f>SUM(C47:C49)</f>
        <v>-200973.51011306862</v>
      </c>
    </row>
    <row r="52" spans="2:3" x14ac:dyDescent="0.25">
      <c r="B52" s="2" t="str">
        <f>B43</f>
        <v>הוצאות מימון אשראי לא ספיציפי</v>
      </c>
      <c r="C52" s="2">
        <f>-C48</f>
        <v>973.51011306860971</v>
      </c>
    </row>
    <row r="53" spans="2:3" x14ac:dyDescent="0.25">
      <c r="B53" s="2" t="str">
        <f>B44</f>
        <v>ממוצע הלוואה</v>
      </c>
      <c r="C53" s="2">
        <f>-C47*1/12</f>
        <v>16666.666666666668</v>
      </c>
    </row>
    <row r="56" spans="2:3" x14ac:dyDescent="0.25">
      <c r="B56" s="22" t="s">
        <v>173</v>
      </c>
    </row>
    <row r="57" spans="2:3" x14ac:dyDescent="0.25">
      <c r="B57" s="47" t="s">
        <v>174</v>
      </c>
      <c r="C57" s="47">
        <f>C52+C43</f>
        <v>30258.117876737921</v>
      </c>
    </row>
    <row r="58" spans="2:3" x14ac:dyDescent="0.25">
      <c r="B58" s="2" t="s">
        <v>175</v>
      </c>
      <c r="C58" s="2">
        <f>C53+C44</f>
        <v>600000</v>
      </c>
    </row>
    <row r="60" spans="2:3" x14ac:dyDescent="0.25">
      <c r="B60" s="2" t="s">
        <v>176</v>
      </c>
      <c r="C60" s="45">
        <f>C57/C58</f>
        <v>5.043019646122987E-2</v>
      </c>
    </row>
    <row r="62" spans="2:3" x14ac:dyDescent="0.25">
      <c r="B62" s="2" t="s">
        <v>177</v>
      </c>
      <c r="C62" s="2">
        <f>C60*C29</f>
        <v>32359.376062622494</v>
      </c>
    </row>
    <row r="63" spans="2:3" x14ac:dyDescent="0.25">
      <c r="B63" s="2" t="s">
        <v>178</v>
      </c>
    </row>
    <row r="66" spans="2:5" ht="14.4" thickBot="1" x14ac:dyDescent="0.3"/>
    <row r="67" spans="2:5" x14ac:dyDescent="0.25">
      <c r="B67" s="16" t="s">
        <v>179</v>
      </c>
      <c r="C67" s="17">
        <f>800000+500000+600000+400000+120000-150000</f>
        <v>2270000</v>
      </c>
      <c r="E67" s="2" t="s">
        <v>182</v>
      </c>
    </row>
    <row r="68" spans="2:5" x14ac:dyDescent="0.25">
      <c r="B68" s="18" t="s">
        <v>180</v>
      </c>
      <c r="C68" s="19">
        <f>C23</f>
        <v>24000</v>
      </c>
    </row>
    <row r="69" spans="2:5" x14ac:dyDescent="0.25">
      <c r="B69" s="18" t="s">
        <v>181</v>
      </c>
      <c r="C69" s="19">
        <f>C57</f>
        <v>30258.117876737921</v>
      </c>
    </row>
    <row r="70" spans="2:5" ht="14.4" thickBot="1" x14ac:dyDescent="0.3">
      <c r="B70" s="20" t="s">
        <v>61</v>
      </c>
      <c r="C70" s="21">
        <f>SUM(C67:C69)</f>
        <v>2324258.1178767378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שאלה 1</vt:lpstr>
      <vt:lpstr>שאלה 2</vt:lpstr>
      <vt:lpstr>שאלה 3</vt:lpstr>
      <vt:lpstr>שאלה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ofek gersten</dc:creator>
  <cp:lastModifiedBy>ofek gersten</cp:lastModifiedBy>
  <dcterms:created xsi:type="dcterms:W3CDTF">2024-04-23T06:30:03Z</dcterms:created>
  <dcterms:modified xsi:type="dcterms:W3CDTF">2024-05-04T06:53:54Z</dcterms:modified>
</cp:coreProperties>
</file>