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65778BC-A6C5-488C-ACBC-5FFFACE6324B}" xr6:coauthVersionLast="47" xr6:coauthVersionMax="47" xr10:uidLastSave="{00000000-0000-0000-0000-000000000000}"/>
  <bookViews>
    <workbookView xWindow="-108" yWindow="-108" windowWidth="23256" windowHeight="12576" xr2:uid="{C4588B8D-A30E-4AF7-AAEE-0E627F61FD41}"/>
  </bookViews>
  <sheets>
    <sheet name="שאלה 1 פתרון" sheetId="3" r:id="rId1"/>
    <sheet name="שאלה 2 פתרון" sheetId="5" r:id="rId2"/>
    <sheet name="שאלה 3 פתרון" sheetId="1" r:id="rId3"/>
    <sheet name="שאלה 4 פתרון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2" l="1"/>
  <c r="S21" i="2"/>
  <c r="R21" i="2"/>
  <c r="Q21" i="2"/>
  <c r="T19" i="2"/>
  <c r="S19" i="2"/>
  <c r="R19" i="2"/>
  <c r="R18" i="2"/>
  <c r="S18" i="2"/>
  <c r="T18" i="2"/>
  <c r="Q18" i="2"/>
  <c r="Q19" i="2" s="1"/>
  <c r="R14" i="2"/>
  <c r="S14" i="2"/>
  <c r="T14" i="2"/>
  <c r="Q14" i="2"/>
  <c r="K200" i="5"/>
  <c r="L201" i="5" s="1"/>
  <c r="N196" i="5"/>
  <c r="L196" i="5" s="1"/>
  <c r="L197" i="5" s="1"/>
  <c r="K189" i="5"/>
  <c r="L190" i="5" s="1"/>
  <c r="L184" i="5"/>
  <c r="L176" i="5"/>
  <c r="L168" i="5"/>
  <c r="T6" i="5" s="1"/>
  <c r="K153" i="5"/>
  <c r="L154" i="5" s="1"/>
  <c r="L155" i="5" s="1"/>
  <c r="L149" i="5"/>
  <c r="K138" i="5"/>
  <c r="L139" i="5" s="1"/>
  <c r="L135" i="5"/>
  <c r="K118" i="5"/>
  <c r="L119" i="5" s="1"/>
  <c r="J114" i="5"/>
  <c r="J115" i="5" s="1"/>
  <c r="L103" i="5"/>
  <c r="K81" i="5"/>
  <c r="L82" i="5" s="1"/>
  <c r="L74" i="5"/>
  <c r="L66" i="5"/>
  <c r="N54" i="5"/>
  <c r="K54" i="5"/>
  <c r="K57" i="5" s="1"/>
  <c r="L58" i="5" s="1"/>
  <c r="N47" i="5"/>
  <c r="K44" i="5" s="1"/>
  <c r="U34" i="5"/>
  <c r="X30" i="5"/>
  <c r="X29" i="5"/>
  <c r="K29" i="5"/>
  <c r="T14" i="5" s="1"/>
  <c r="X26" i="5"/>
  <c r="T15" i="5"/>
  <c r="T13" i="5"/>
  <c r="T12" i="5"/>
  <c r="L8" i="5"/>
  <c r="L55" i="5" l="1"/>
  <c r="L30" i="5"/>
  <c r="T4" i="5"/>
  <c r="K33" i="5"/>
  <c r="T7" i="5"/>
  <c r="T16" i="5"/>
  <c r="T5" i="5"/>
  <c r="W33" i="5" s="1"/>
  <c r="X33" i="5" s="1"/>
  <c r="L45" i="5"/>
  <c r="K51" i="5"/>
  <c r="L52" i="5" s="1"/>
  <c r="K122" i="5"/>
  <c r="L123" i="5" s="1"/>
  <c r="T31" i="5"/>
  <c r="T32" i="5" l="1"/>
  <c r="L34" i="5"/>
  <c r="W28" i="5"/>
  <c r="V31" i="5"/>
  <c r="T8" i="5"/>
  <c r="T18" i="5" s="1"/>
  <c r="T27" i="5" s="1"/>
  <c r="V32" i="5" l="1"/>
  <c r="V34" i="5" s="1"/>
  <c r="T34" i="5"/>
  <c r="X27" i="5"/>
  <c r="X31" i="5"/>
  <c r="X28" i="5"/>
  <c r="W34" i="5"/>
  <c r="X32" i="5" l="1"/>
  <c r="X34" i="5"/>
  <c r="W13" i="3"/>
  <c r="AA12" i="3"/>
  <c r="Z12" i="3"/>
  <c r="Y12" i="3"/>
  <c r="X12" i="3"/>
  <c r="W12" i="3"/>
  <c r="N117" i="3"/>
  <c r="O116" i="3"/>
  <c r="N116" i="3"/>
  <c r="M116" i="3"/>
  <c r="N115" i="3"/>
  <c r="O115" i="3"/>
  <c r="M115" i="3"/>
  <c r="O113" i="3"/>
  <c r="AA11" i="3"/>
  <c r="Z11" i="3"/>
  <c r="Y11" i="3"/>
  <c r="X11" i="3"/>
  <c r="W11" i="3"/>
  <c r="O13" i="3"/>
  <c r="O24" i="3"/>
  <c r="O25" i="3"/>
  <c r="N110" i="3"/>
  <c r="O109" i="3"/>
  <c r="N109" i="3"/>
  <c r="M109" i="3"/>
  <c r="N108" i="3"/>
  <c r="O108" i="3"/>
  <c r="M108" i="3"/>
  <c r="O107" i="3"/>
  <c r="M107" i="3"/>
  <c r="O100" i="3"/>
  <c r="O101" i="3" s="1"/>
  <c r="O102" i="3" s="1"/>
  <c r="Z10" i="3" s="1"/>
  <c r="M100" i="3"/>
  <c r="M101" i="3" s="1"/>
  <c r="M102" i="3" s="1"/>
  <c r="O94" i="3"/>
  <c r="O95" i="3" s="1"/>
  <c r="Z9" i="3" s="1"/>
  <c r="M94" i="3"/>
  <c r="M95" i="3" s="1"/>
  <c r="N93" i="3"/>
  <c r="N92" i="3"/>
  <c r="O11" i="3" s="1"/>
  <c r="N86" i="3"/>
  <c r="O23" i="3" s="1"/>
  <c r="O85" i="3"/>
  <c r="O87" i="3" s="1"/>
  <c r="O88" i="3" s="1"/>
  <c r="Z8" i="3" s="1"/>
  <c r="M85" i="3"/>
  <c r="O10" i="3"/>
  <c r="O27" i="3" s="1"/>
  <c r="O29" i="3" s="1"/>
  <c r="O81" i="3"/>
  <c r="M73" i="3"/>
  <c r="O72" i="3"/>
  <c r="M72" i="3"/>
  <c r="M61" i="3"/>
  <c r="O60" i="3"/>
  <c r="M60" i="3"/>
  <c r="O8" i="3"/>
  <c r="O19" i="3"/>
  <c r="V5" i="3"/>
  <c r="O55" i="3"/>
  <c r="N55" i="3"/>
  <c r="O49" i="3"/>
  <c r="O56" i="3" s="1"/>
  <c r="O48" i="3"/>
  <c r="N56" i="3" s="1"/>
  <c r="M50" i="3"/>
  <c r="M51" i="3" s="1"/>
  <c r="W5" i="3" s="1"/>
  <c r="V4" i="3"/>
  <c r="M45" i="3"/>
  <c r="M56" i="3" s="1"/>
  <c r="M68" i="3" s="1"/>
  <c r="M44" i="3"/>
  <c r="M55" i="3" s="1"/>
  <c r="M67" i="3" s="1"/>
  <c r="O37" i="3"/>
  <c r="M37" i="3"/>
  <c r="O36" i="3"/>
  <c r="M36" i="3"/>
  <c r="S4" i="2"/>
  <c r="N9" i="2" s="1"/>
  <c r="N11" i="2" s="1"/>
  <c r="N16" i="2"/>
  <c r="N19" i="2"/>
  <c r="P41" i="1"/>
  <c r="P40" i="1"/>
  <c r="O8" i="1"/>
  <c r="T29" i="1"/>
  <c r="R24" i="1"/>
  <c r="T28" i="1" s="1"/>
  <c r="O7" i="1"/>
  <c r="T19" i="1"/>
  <c r="R14" i="1"/>
  <c r="R15" i="1" s="1"/>
  <c r="R16" i="1" s="1"/>
  <c r="O6" i="1"/>
  <c r="O5" i="1"/>
  <c r="O4" i="1"/>
  <c r="O3" i="1"/>
  <c r="U6" i="1"/>
  <c r="O9" i="1" s="1"/>
  <c r="O10" i="1" s="1"/>
  <c r="N107" i="3" l="1"/>
  <c r="N37" i="3"/>
  <c r="N36" i="3"/>
  <c r="N44" i="3" s="1"/>
  <c r="M62" i="3"/>
  <c r="M63" i="3" s="1"/>
  <c r="W6" i="3" s="1"/>
  <c r="N85" i="3"/>
  <c r="N87" i="3" s="1"/>
  <c r="N88" i="3" s="1"/>
  <c r="X8" i="3" s="1"/>
  <c r="O74" i="3"/>
  <c r="O38" i="3"/>
  <c r="O39" i="3" s="1"/>
  <c r="Z4" i="3" s="1"/>
  <c r="P55" i="3"/>
  <c r="N72" i="3"/>
  <c r="N74" i="3" s="1"/>
  <c r="N75" i="3" s="1"/>
  <c r="X7" i="3" s="1"/>
  <c r="X13" i="3" s="1"/>
  <c r="N45" i="3"/>
  <c r="W10" i="3"/>
  <c r="O7" i="3"/>
  <c r="O44" i="3"/>
  <c r="O45" i="3" s="1"/>
  <c r="O82" i="3"/>
  <c r="M87" i="3"/>
  <c r="M88" i="3" s="1"/>
  <c r="W9" i="3"/>
  <c r="O61" i="3"/>
  <c r="N61" i="3" s="1"/>
  <c r="M74" i="3"/>
  <c r="M75" i="3" s="1"/>
  <c r="N100" i="3"/>
  <c r="M38" i="3"/>
  <c r="M39" i="3" s="1"/>
  <c r="N60" i="3"/>
  <c r="N94" i="3"/>
  <c r="N95" i="3" s="1"/>
  <c r="X9" i="3" s="1"/>
  <c r="P56" i="3"/>
  <c r="O50" i="3"/>
  <c r="O51" i="3" s="1"/>
  <c r="Z5" i="3" s="1"/>
  <c r="N50" i="3"/>
  <c r="R5" i="2"/>
  <c r="N12" i="2"/>
  <c r="T18" i="1"/>
  <c r="Q33" i="1" s="1"/>
  <c r="Q36" i="1" s="1"/>
  <c r="P42" i="1" s="1"/>
  <c r="P44" i="1" s="1"/>
  <c r="R26" i="1"/>
  <c r="N38" i="3" l="1"/>
  <c r="N39" i="3" s="1"/>
  <c r="X4" i="3" s="1"/>
  <c r="O18" i="3"/>
  <c r="N81" i="3"/>
  <c r="P81" i="3" s="1"/>
  <c r="O22" i="3"/>
  <c r="N96" i="3"/>
  <c r="Y9" i="3" s="1"/>
  <c r="AA9" i="3" s="1"/>
  <c r="O21" i="3"/>
  <c r="P45" i="3"/>
  <c r="N82" i="3"/>
  <c r="W4" i="3"/>
  <c r="N40" i="3"/>
  <c r="Y4" i="3" s="1"/>
  <c r="O9" i="3"/>
  <c r="O67" i="3"/>
  <c r="O68" i="3" s="1"/>
  <c r="N51" i="3"/>
  <c r="X5" i="3" s="1"/>
  <c r="O12" i="3"/>
  <c r="N101" i="3"/>
  <c r="N102" i="3" s="1"/>
  <c r="W8" i="3"/>
  <c r="N89" i="3"/>
  <c r="Y8" i="3" s="1"/>
  <c r="W7" i="3"/>
  <c r="P44" i="3"/>
  <c r="O20" i="3"/>
  <c r="N62" i="3"/>
  <c r="N63" i="3" s="1"/>
  <c r="X6" i="3" s="1"/>
  <c r="N67" i="3"/>
  <c r="O62" i="3"/>
  <c r="O63" i="3" s="1"/>
  <c r="P82" i="3"/>
  <c r="R10" i="2"/>
  <c r="S10" i="2"/>
  <c r="T10" i="2"/>
  <c r="Q10" i="2"/>
  <c r="N14" i="2"/>
  <c r="N15" i="2" s="1"/>
  <c r="Q35" i="1"/>
  <c r="O75" i="3" l="1"/>
  <c r="Z7" i="3" s="1"/>
  <c r="Z13" i="3" s="1"/>
  <c r="AA8" i="3"/>
  <c r="N76" i="3"/>
  <c r="Y7" i="3" s="1"/>
  <c r="Y13" i="3" s="1"/>
  <c r="O30" i="3" s="1"/>
  <c r="P67" i="3"/>
  <c r="N68" i="3"/>
  <c r="P68" i="3" s="1"/>
  <c r="X10" i="3"/>
  <c r="N103" i="3"/>
  <c r="Y10" i="3" s="1"/>
  <c r="N52" i="3"/>
  <c r="Y5" i="3" s="1"/>
  <c r="AA5" i="3" s="1"/>
  <c r="Z6" i="3"/>
  <c r="N64" i="3"/>
  <c r="Y6" i="3" s="1"/>
  <c r="AA6" i="3" s="1"/>
  <c r="AA4" i="3"/>
  <c r="Q12" i="2"/>
  <c r="Q11" i="2"/>
  <c r="T11" i="2"/>
  <c r="T12" i="2"/>
  <c r="S12" i="2"/>
  <c r="S11" i="2"/>
  <c r="R11" i="2"/>
  <c r="R12" i="2" s="1"/>
  <c r="N17" i="2"/>
  <c r="N18" i="2" s="1"/>
  <c r="AA7" i="3" l="1"/>
  <c r="AA10" i="3"/>
  <c r="N20" i="2"/>
  <c r="N21" i="2" s="1"/>
</calcChain>
</file>

<file path=xl/sharedStrings.xml><?xml version="1.0" encoding="utf-8"?>
<sst xmlns="http://schemas.openxmlformats.org/spreadsheetml/2006/main" count="427" uniqueCount="214">
  <si>
    <t>הוצאות מימון אשראי ספיציפי</t>
  </si>
  <si>
    <t>ממוצע אשראי ספיציפי</t>
  </si>
  <si>
    <t>עלויות</t>
  </si>
  <si>
    <t>1.1.23</t>
  </si>
  <si>
    <t>1.6.23</t>
  </si>
  <si>
    <t>1.8.23</t>
  </si>
  <si>
    <t>31.12.23</t>
  </si>
  <si>
    <t>אשראי ספיציפי:</t>
  </si>
  <si>
    <t>ממוצע נכס לא כשיר:</t>
  </si>
  <si>
    <t>ממוצע אשראי לא ספיציפי</t>
  </si>
  <si>
    <t>אשראי לא ספיציפי:</t>
  </si>
  <si>
    <t>הוצאות מימון</t>
  </si>
  <si>
    <t>תשלום</t>
  </si>
  <si>
    <t>הוצאות מימון אשראי לא ספיציפי</t>
  </si>
  <si>
    <t>הלוואה 1</t>
  </si>
  <si>
    <t>הלוואה 2</t>
  </si>
  <si>
    <t>מענק</t>
  </si>
  <si>
    <t>1.7.23</t>
  </si>
  <si>
    <t>ריבית להיוון</t>
  </si>
  <si>
    <t>אשראי לא ספיציפי</t>
  </si>
  <si>
    <t>ריבית להיוון*ממוצע אשראי לא ספיציפי</t>
  </si>
  <si>
    <t>התחייבות לספק</t>
  </si>
  <si>
    <t>חישוב נכס:</t>
  </si>
  <si>
    <t>עלות</t>
  </si>
  <si>
    <t>אשראי ספיציפי</t>
  </si>
  <si>
    <t>סה"כ</t>
  </si>
  <si>
    <t>פקודת יומן ליום הרכישה:</t>
  </si>
  <si>
    <t>חובה</t>
  </si>
  <si>
    <t>זכות</t>
  </si>
  <si>
    <t>התחייבות בגין חכירה</t>
  </si>
  <si>
    <t>נכס זכות שימוש</t>
  </si>
  <si>
    <t>מזומן</t>
  </si>
  <si>
    <t>תנועה בהתחייבות בגין חכירה</t>
  </si>
  <si>
    <t>31.12.24</t>
  </si>
  <si>
    <t>31.12.25</t>
  </si>
  <si>
    <t>31.12.26</t>
  </si>
  <si>
    <t>תנועה בנכס זכות שימוש</t>
  </si>
  <si>
    <t>פחת נצבר</t>
  </si>
  <si>
    <t>עלות מופחתת</t>
  </si>
  <si>
    <t>דוח התאמה למס:</t>
  </si>
  <si>
    <t>רווח לפני מס מפעולות נמשכות</t>
  </si>
  <si>
    <t>הוסף:</t>
  </si>
  <si>
    <t>הפחת:</t>
  </si>
  <si>
    <t>שיעורי מס:</t>
  </si>
  <si>
    <t>31.12.22</t>
  </si>
  <si>
    <t>שינוי</t>
  </si>
  <si>
    <t>לפי מס הכנסה</t>
  </si>
  <si>
    <t>לפי חשבונאות</t>
  </si>
  <si>
    <t>הפרש עיתוי</t>
  </si>
  <si>
    <t>מס נדחה</t>
  </si>
  <si>
    <t>שיעור מס</t>
  </si>
  <si>
    <t>יצירה/היפוך</t>
  </si>
  <si>
    <t>שינוי בגין שיעור מס</t>
  </si>
  <si>
    <t>מכונות 1</t>
  </si>
  <si>
    <t>הוצאות פחת מכונה  1-מס הכנסה</t>
  </si>
  <si>
    <t>הוצאות פחת מכונה  1-ספרים</t>
  </si>
  <si>
    <t>שינוי בגין מס</t>
  </si>
  <si>
    <t>מכונות 2</t>
  </si>
  <si>
    <t>הוצאות פחת מכונה 2-מס הכנסה</t>
  </si>
  <si>
    <t>הוצאות פחת מכונה 2-ספרים</t>
  </si>
  <si>
    <t>מכונית</t>
  </si>
  <si>
    <t>הוצאות פחת מכונית-מס הכנסה</t>
  </si>
  <si>
    <t>הוצאות פחת מכונית-ספרים</t>
  </si>
  <si>
    <t>ריהוט</t>
  </si>
  <si>
    <t>הוצאות בגין השבחה</t>
  </si>
  <si>
    <t>הוצאות פחת ריהוט-מס</t>
  </si>
  <si>
    <t>הוצאות פחת ריהוט-ספרים</t>
  </si>
  <si>
    <t>נדל"ש</t>
  </si>
  <si>
    <t>מלאי</t>
  </si>
  <si>
    <t>הוצאות פחת נדל"ש-מס</t>
  </si>
  <si>
    <t>רווח מע"ע נדל"ש-ספרים</t>
  </si>
  <si>
    <t>הוצאות בגין מלאי-ספרים</t>
  </si>
  <si>
    <t>הוצאות בגין מלאי-מס</t>
  </si>
  <si>
    <t>הפרשה לחומ"ס</t>
  </si>
  <si>
    <t>הוצאות בגין חומ"ס-ספרים</t>
  </si>
  <si>
    <t>הפרשה לאחריות</t>
  </si>
  <si>
    <t>הוצאות אחריות-מס</t>
  </si>
  <si>
    <t>הוצאות בגין פרשה לאחריות</t>
  </si>
  <si>
    <t>הכנסות על בסיס מזומן</t>
  </si>
  <si>
    <t>הוצאות מס שוטפות</t>
  </si>
  <si>
    <t>הוצאות מס נדחות</t>
  </si>
  <si>
    <t>הוצאות לא מוכרות</t>
  </si>
  <si>
    <t>הדוח על הפעילויות לשנת 2023</t>
  </si>
  <si>
    <t>סוגיות מדידה א - פתרון שאלת מלכ״רים</t>
  </si>
  <si>
    <t>מחזור הפעילויות</t>
  </si>
  <si>
    <t>אירוע 1 - גיוס תרומה ללא מגבלה</t>
  </si>
  <si>
    <t>הכנסות מתרומות (1, 6, 12)</t>
  </si>
  <si>
    <t xml:space="preserve">בהתאם לסעיף 54 בתקן 40, תרומות שהתקבלו מוכרות כהכנסות בתקופה שבה התקבלו (בהנחת אי מגבלה/חסם). </t>
  </si>
  <si>
    <t>שחרור מהגבלה (3, 5, 13)</t>
  </si>
  <si>
    <t>שירותים ללא תמורה (11)</t>
  </si>
  <si>
    <t xml:space="preserve">נכסים ללא תמורה (9,10,14) </t>
  </si>
  <si>
    <t>הכנסות מתרומה</t>
  </si>
  <si>
    <t>אירוע  2 - רכישת מכונה לחימום נקניק</t>
  </si>
  <si>
    <t>עלות הפעילות</t>
  </si>
  <si>
    <t>לאור הנתון המפורש לפי המלכ״ר מפצל בין נכסים נטו שלא קיימת לגביהם הגבלה לשימוש לפעילויות לנכסים נטו</t>
  </si>
  <si>
    <t>שלא קיימת לגביהם הגבלה ששימשו לרכוש קבוע, תתועד הרכישה כדלקמן:</t>
  </si>
  <si>
    <t>חלוקת נקניק (5,10)</t>
  </si>
  <si>
    <t>שכירות (3)</t>
  </si>
  <si>
    <t>פחת (2)</t>
  </si>
  <si>
    <t>מכונה לחימום נקניק (רכוש קבוע)</t>
  </si>
  <si>
    <t>הרצאות (11)</t>
  </si>
  <si>
    <t>לאחר מכן יש לייעד את הסכומים לרכוש קבוע בהתאמה:</t>
  </si>
  <si>
    <t>עודף הכנסות</t>
  </si>
  <si>
    <t>נכסים נטו לא מוגבלים שלא יועדו</t>
  </si>
  <si>
    <t>הדוח על השינויים בנכסים נטו בשנת 2023</t>
  </si>
  <si>
    <t>נכסים נטו לא מוגבלים ששימשו לר״ק</t>
  </si>
  <si>
    <t>נכסים נטו שלא קיימת לגביהם הגבלה</t>
  </si>
  <si>
    <t>לשימוש לפ׳</t>
  </si>
  <si>
    <t>שיועדו</t>
  </si>
  <si>
    <t>ששי׳ לר״ק</t>
  </si>
  <si>
    <t>נ״נ מוגבלים</t>
  </si>
  <si>
    <t>סה״כ</t>
  </si>
  <si>
    <t>יתרה ליום 1.1.2023</t>
  </si>
  <si>
    <t>יש לבצע רישום של הוצאות הפחת השנתיות בהתאמה. הואיל והרכישה היא בסמוך לגיוס התרומה לעיל יש להניח</t>
  </si>
  <si>
    <t>שבוצעה בתחילת השנה ולכן הפחת נמשך שנה שלמה, כדלקמן:</t>
  </si>
  <si>
    <t>תוספות:</t>
  </si>
  <si>
    <t>תרומות מוגבלות (3,4,7,8,13)</t>
  </si>
  <si>
    <t>הוצאות פחת (בגין מכונת נקניק)</t>
  </si>
  <si>
    <t xml:space="preserve">200,000 / 5 = </t>
  </si>
  <si>
    <t>פחת נצבר מכונת נקניק</t>
  </si>
  <si>
    <t>גריעות:</t>
  </si>
  <si>
    <t>העברה לר״ק (2,9,14)</t>
  </si>
  <si>
    <t xml:space="preserve">שחרור סכומים לפחת (2) </t>
  </si>
  <si>
    <t>שחרור מנ״נ שהוגבלו (5)</t>
  </si>
  <si>
    <t>יתרה ליום 31.12.2023</t>
  </si>
  <si>
    <t>אירוע 3 - זכות שימוש במבנה ללא תמורה</t>
  </si>
  <si>
    <t>האירוע יטופל על בסיס הכרה בנ״נ מוגבלים לפי השווי ההוגן (בדרך של היוון) של דמי השכירות הצפויים. חשוב לציין</t>
  </si>
  <si>
    <t xml:space="preserve">שלא מדובר בעסקת חכירה הואיל והפעילות ללא תמורה. יחד עם זאת, זכות השימוש היא ספציפית ואיננה לשיקול </t>
  </si>
  <si>
    <t>דעתו של המלכ״ר וככזו, לא תוכר כהכנסה אלא כעלייה ישירה בנכסים נטו שקיימת לגביהם הגבלה.</t>
  </si>
  <si>
    <t>(*)</t>
  </si>
  <si>
    <t>הפניה: מחברת הקורס, Lecture 8 New, שורות 244 ואילך.</t>
  </si>
  <si>
    <t>מועד ההכרה</t>
  </si>
  <si>
    <t>חייבים</t>
  </si>
  <si>
    <t>rate</t>
  </si>
  <si>
    <t>נכסים נטו שקיימת לגביהם הגבלה</t>
  </si>
  <si>
    <t>nper</t>
  </si>
  <si>
    <t>pmt</t>
  </si>
  <si>
    <t>pv</t>
  </si>
  <si>
    <t>fv</t>
  </si>
  <si>
    <t>מדידה בחלוף שנה</t>
  </si>
  <si>
    <t>הוצאות שכירות</t>
  </si>
  <si>
    <t>הכנסות בגין שחרור מהגבלה</t>
  </si>
  <si>
    <t>אירוע 4 - תרומה למימון נקניק</t>
  </si>
  <si>
    <t>התרומה מוגבלת לפעילות ספציפית ולכן תוכר כנגד נכסים נטו מוגבלים.</t>
  </si>
  <si>
    <t>נכסים נטו מוגבלים (מימון נקניק)</t>
  </si>
  <si>
    <t>אירוע 5 - מימוש תרומה למימון נקניק לרבות השלמה ממקורות המלכ״ר</t>
  </si>
  <si>
    <t xml:space="preserve">החלק הראשון יכיר בהוצאות כנגד מזומן, וזאת בגובה כל הפעילות (מלוא שווי הנקניק אשר חולק). </t>
  </si>
  <si>
    <t>הוצאות חלוקת נקניק</t>
  </si>
  <si>
    <t>החלק השני יכיר בהכנסות בגין שחרור מהגבלה בגין התרומה מאירוע 4. יש לשים לב שאין לרשום פקודה נוספת</t>
  </si>
  <si>
    <t xml:space="preserve">בגין הרכיב שהוקצה ממקורות המלכ״ר - שהרי עצם הרישום כהוצאה מוביל לכך (נזקף בעקיפין לנכסים נטו </t>
  </si>
  <si>
    <t xml:space="preserve">שאינם מוגבלים). </t>
  </si>
  <si>
    <t>אירוע 6 - הבטחה לתרומה לפעילות שוטפת (הבטחה בלתי מותנית)</t>
  </si>
  <si>
    <t>בהתאם לסעיף 62 בתקן 40, הבטחה בלתי מותנית תוכר כהכנסות (או כרווח) או כתוספת לנכסים נטו שקיימת לגביהם</t>
  </si>
  <si>
    <t xml:space="preserve">הגבלה בתקופה שבה התקבלה... בתנאי שקיימות ראיות מספקות... שניתנה הבטחה וקיימת יכולת אכיפה משפטית </t>
  </si>
  <si>
    <t xml:space="preserve">של ההבטחה... </t>
  </si>
  <si>
    <t>ובמקביל נאמר:</t>
  </si>
  <si>
    <t>הבטחות בלתי מותנות עם מועדי פירעון בתקופות עתידיות יוכרו כתוספת לנכסים נטו שקיימת לגביהם הגבלה...</t>
  </si>
  <si>
    <t xml:space="preserve">ויוכרו כהכנסות באותן תקופות עתידיות אלא אם כן תנאים מפורשים של התורם או נסיבות קבלת ההבטחה מבהירים </t>
  </si>
  <si>
    <t>שהתורם התכוון שהתרומה תשמש לתמיכה בפעילויות של התקופה השוטפת...</t>
  </si>
  <si>
    <t>יהיה זה סביר להניח שעל ידי קביעת מועדי פירעון עתידיים, התורם מייעד את התרומות שלו לתמוך בפעילויות בתקופות</t>
  </si>
  <si>
    <t>עתידיות</t>
  </si>
  <si>
    <t xml:space="preserve">על פי הנתון המפורש בשאלה, התורם מייעד את הסכומים לתמיכה בפעילות *השוטפת*, קצרת הטווח של המלכ״ר. </t>
  </si>
  <si>
    <t>אנו מתייחסים לאירוע בהקשר זה משל הסכומים מיועדים לתקופה השוטפת ואין לראות בהם התניה הקשורה לחלוף</t>
  </si>
  <si>
    <t xml:space="preserve">הזמן. </t>
  </si>
  <si>
    <t>הפניה מקבילה: מחברת הקורס, Lecture 7 New, שורה 428.</t>
  </si>
  <si>
    <t>אירועים 7 ו-8: הבטחה לתרומה המותנית במציאת תורמים מקבילים</t>
  </si>
  <si>
    <t>מדובר בתרומה מותנית שהטיפול וההכרה בה תלוי בהתקיימות התנאי המתלה. בהתאם, רק במועד גיוס התרומה</t>
  </si>
  <si>
    <t xml:space="preserve">המקבילה על ידי המלכ״ר יש להכיר בסכום הרלוונטי. </t>
  </si>
  <si>
    <t xml:space="preserve">הואיל והפרופורציה היא 300,000 ש״ח מהתורם על כל 150,000 ש״ח שיגוייסו מהעמותה, היחס הוא 1 ל-2, כלומר כל 1 </t>
  </si>
  <si>
    <t>ש״ח של תרומות אחרות ילווה ב-2 ש״ח תרומה מטליה. כמו כן, התרומה מוגבלת למטרה ספציפית.</t>
  </si>
  <si>
    <t xml:space="preserve">יש לשים לב שאין כל מידע על קבלת הכסף בפועל מטליה ו/או על ביצוע החלוקה בפועל. </t>
  </si>
  <si>
    <t>הסכום שגייס המלכ״ר:</t>
  </si>
  <si>
    <t>תרומה נוספת לפי מפתח טליה:</t>
  </si>
  <si>
    <t xml:space="preserve">300,000 / 150,000 * 100,000 = </t>
  </si>
  <si>
    <t>סך התרומה</t>
  </si>
  <si>
    <t>נכסים נטו מוגבלים (רכש נקניק)</t>
  </si>
  <si>
    <t xml:space="preserve">אירוע 9 - תרומת נכסים שאיננה מוגבלת </t>
  </si>
  <si>
    <t xml:space="preserve">לפי סעיף 67(ב)(i) לתקן, נכסים שתמורתם לא הוגבלה והתורם לא קבע את משך השימוש שהנכס שנתרם חייב לשמש את </t>
  </si>
  <si>
    <t>המלכ״ר, שוויו ההוגן של הנכס יוכר כהכנסות אך בסעיף נפרד בדוח על הפעילויות.</t>
  </si>
  <si>
    <t>חשוב לציין שאין להתייחס לתרומה כקבלת מזומן אלא כקבלת הנכס עצמו.</t>
  </si>
  <si>
    <t>הפניה: Lecture 8 New, שורה 30</t>
  </si>
  <si>
    <t>ככלל, היה מצופה לייצר כאן גם פקודת פחת. אבל הואיל ותקופת ההפחתה ועיתוי התרומה הספציפי לא ידוע, יש להניח</t>
  </si>
  <si>
    <t xml:space="preserve">כי אין צורך לרשום הוצאות פחת בתקופת הדיווח בגין הפריט. </t>
  </si>
  <si>
    <t>מכונת נקניק</t>
  </si>
  <si>
    <t>הכנסות מתרומת נכסים (רכוש קבוע)</t>
  </si>
  <si>
    <t>אירוע  10 - הנחה ברכש נקניק</t>
  </si>
  <si>
    <t>ההנחה מלווה בהכרה בהכנסות מנכסים שהועברו ללא תמורה בגובה ההנחה, שהיא בשיעור 30% מהעלות. בהקשר זה,</t>
  </si>
  <si>
    <t>התקבלו שתי גרסאות פתרון. האחת, שהעלות הנתונה היא לפני הנחה. השניה, שהעלות הנתונה היא אחרי הנחה.</t>
  </si>
  <si>
    <t>העלות הנתונה לפני הנחה:</t>
  </si>
  <si>
    <t>הכנסות מנכסים שהועברו ללא תמורה</t>
  </si>
  <si>
    <t>העלות הנתונה אחרי הנחה:</t>
  </si>
  <si>
    <t>לשם פשטות, המשך הפתרון מניח התייחסות לגרסת הפתרון הראשונה, אך ניקוד מלא ניתן גם בעת בחירה בחלופה</t>
  </si>
  <si>
    <t>השניה.</t>
  </si>
  <si>
    <t>כמו כן, למרות שבנתונים 7 ו-8 קיימת תרומה מוגבלת שלכאורה מיועדת למטרה זהה, החלטתי להתחשב ובהיעדר הפניה</t>
  </si>
  <si>
    <t xml:space="preserve">ספציפית לסעיפים אלו בסעיף הספציפי, גם מי שלא התייחס להכנסות שחרור מגבלה בגין אירועים 7,8 יקבל את </t>
  </si>
  <si>
    <t xml:space="preserve">מלוא הניקוד. </t>
  </si>
  <si>
    <t>אירוע 11 - שירות ללא תמורה</t>
  </si>
  <si>
    <t xml:space="preserve">חובה הוצאות בגין הרצאות </t>
  </si>
  <si>
    <t>זכות הכנסות משירותים ללא תרומה</t>
  </si>
  <si>
    <t>אירוע 12 - הבטחה בלתי מותנית</t>
  </si>
  <si>
    <t xml:space="preserve">זהה לאירוע  6, בהנמקה וברישום. </t>
  </si>
  <si>
    <t>אירוע 13 - תרומה מותנית</t>
  </si>
  <si>
    <t>חשוב לציין שאירוע זה איננו מהווה הבטחה לתרומה אלא תרומה ממש. וכל עוד התנאים טרם התקיימו (חלוף הזמן)</t>
  </si>
  <si>
    <t xml:space="preserve">מדובר במגבלה. </t>
  </si>
  <si>
    <t>המגבלה מופשרת להכנסות באופן יחסי על פני פרק הזמן לניצול:</t>
  </si>
  <si>
    <t>הכנסות שחרור מהגבלה</t>
  </si>
  <si>
    <t>אירוע 14 - תרומה בתנאי אנונה</t>
  </si>
  <si>
    <t>מכונה לחימום נקניק</t>
  </si>
  <si>
    <t>התחייבות בתנאי אנונה לשלם</t>
  </si>
  <si>
    <t>הכנסות מתרומות - העברת נכסים</t>
  </si>
  <si>
    <t>הוצאות פחת</t>
  </si>
  <si>
    <t>נתונים התחייבות בגין חכירה</t>
  </si>
  <si>
    <t>שוטפת</t>
  </si>
  <si>
    <t>לא שוטפת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</si>
</sst>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(#,##0\)"/>
  </numFmts>
  <fonts count="1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name val="David"/>
      <family val="2"/>
    </font>
    <font>
      <b/>
      <sz val="12"/>
      <name val="David"/>
      <family val="2"/>
    </font>
    <font>
      <sz val="12"/>
      <color theme="1"/>
      <name val="David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D5D30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61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0" fillId="0" borderId="1" xfId="0" applyNumberFormat="1" applyBorder="1"/>
    <xf numFmtId="10" fontId="0" fillId="0" borderId="0" xfId="1" applyNumberFormat="1" applyFont="1"/>
    <xf numFmtId="164" fontId="3" fillId="2" borderId="0" xfId="0" applyNumberFormat="1" applyFont="1" applyFill="1"/>
    <xf numFmtId="164" fontId="0" fillId="2" borderId="0" xfId="0" applyNumberFormat="1" applyFill="1"/>
    <xf numFmtId="164" fontId="0" fillId="0" borderId="0" xfId="1" applyNumberFormat="1" applyFont="1"/>
    <xf numFmtId="164" fontId="3" fillId="0" borderId="0" xfId="0" applyNumberFormat="1" applyFont="1"/>
    <xf numFmtId="9" fontId="0" fillId="0" borderId="0" xfId="1" applyFont="1"/>
    <xf numFmtId="164" fontId="0" fillId="0" borderId="2" xfId="0" applyNumberFormat="1" applyBorder="1"/>
    <xf numFmtId="164" fontId="0" fillId="0" borderId="3" xfId="0" applyNumberFormat="1" applyBorder="1"/>
    <xf numFmtId="164" fontId="5" fillId="0" borderId="4" xfId="0" applyNumberFormat="1" applyFon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3" fillId="0" borderId="7" xfId="0" applyNumberFormat="1" applyFon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7" fillId="0" borderId="0" xfId="2" applyFont="1"/>
    <xf numFmtId="0" fontId="7" fillId="0" borderId="14" xfId="2" applyFont="1" applyBorder="1"/>
    <xf numFmtId="0" fontId="7" fillId="2" borderId="0" xfId="2" applyFont="1" applyFill="1"/>
    <xf numFmtId="0" fontId="7" fillId="3" borderId="0" xfId="2" applyFont="1" applyFill="1"/>
    <xf numFmtId="3" fontId="7" fillId="0" borderId="0" xfId="2" applyNumberFormat="1" applyFont="1"/>
    <xf numFmtId="0" fontId="7" fillId="4" borderId="0" xfId="2" applyFont="1" applyFill="1"/>
    <xf numFmtId="0" fontId="8" fillId="0" borderId="14" xfId="2" applyFont="1" applyBorder="1"/>
    <xf numFmtId="0" fontId="7" fillId="5" borderId="0" xfId="2" applyFont="1" applyFill="1"/>
    <xf numFmtId="0" fontId="7" fillId="6" borderId="0" xfId="2" applyFont="1" applyFill="1"/>
    <xf numFmtId="3" fontId="7" fillId="7" borderId="0" xfId="2" applyNumberFormat="1" applyFont="1" applyFill="1"/>
    <xf numFmtId="3" fontId="7" fillId="0" borderId="16" xfId="2" applyNumberFormat="1" applyFont="1" applyBorder="1"/>
    <xf numFmtId="0" fontId="7" fillId="8" borderId="0" xfId="2" applyFont="1" applyFill="1"/>
    <xf numFmtId="0" fontId="7" fillId="9" borderId="0" xfId="2" applyFont="1" applyFill="1"/>
    <xf numFmtId="3" fontId="7" fillId="10" borderId="16" xfId="2" applyNumberFormat="1" applyFont="1" applyFill="1" applyBorder="1"/>
    <xf numFmtId="37" fontId="7" fillId="0" borderId="0" xfId="2" applyNumberFormat="1" applyFont="1"/>
    <xf numFmtId="37" fontId="7" fillId="10" borderId="0" xfId="2" applyNumberFormat="1" applyFont="1" applyFill="1"/>
    <xf numFmtId="37" fontId="7" fillId="11" borderId="0" xfId="2" applyNumberFormat="1" applyFont="1" applyFill="1"/>
    <xf numFmtId="3" fontId="7" fillId="9" borderId="0" xfId="2" applyNumberFormat="1" applyFont="1" applyFill="1"/>
    <xf numFmtId="37" fontId="7" fillId="0" borderId="16" xfId="2" applyNumberFormat="1" applyFont="1" applyBorder="1"/>
    <xf numFmtId="0" fontId="7" fillId="0" borderId="0" xfId="2" applyFont="1" applyAlignment="1">
      <alignment horizontal="center"/>
    </xf>
    <xf numFmtId="9" fontId="7" fillId="0" borderId="0" xfId="2" applyNumberFormat="1" applyFont="1"/>
    <xf numFmtId="3" fontId="7" fillId="11" borderId="0" xfId="2" applyNumberFormat="1" applyFont="1" applyFill="1"/>
    <xf numFmtId="3" fontId="7" fillId="4" borderId="0" xfId="2" applyNumberFormat="1" applyFont="1" applyFill="1"/>
    <xf numFmtId="3" fontId="7" fillId="8" borderId="0" xfId="2" applyNumberFormat="1" applyFont="1" applyFill="1"/>
    <xf numFmtId="3" fontId="7" fillId="6" borderId="0" xfId="2" applyNumberFormat="1" applyFont="1" applyFill="1"/>
    <xf numFmtId="3" fontId="7" fillId="5" borderId="0" xfId="2" applyNumberFormat="1" applyFont="1" applyFill="1"/>
    <xf numFmtId="3" fontId="7" fillId="12" borderId="0" xfId="2" applyNumberFormat="1" applyFont="1" applyFill="1"/>
    <xf numFmtId="0" fontId="9" fillId="0" borderId="0" xfId="2" applyFont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0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2" fillId="0" borderId="2" xfId="0" applyNumberFormat="1" applyFont="1" applyBorder="1"/>
  </cellXfs>
  <cellStyles count="3">
    <cellStyle name="Normal" xfId="0" builtinId="0"/>
    <cellStyle name="Normal 2" xfId="2" xr:uid="{CEF1ACE1-C332-4876-BF24-89B4428F9AC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395232</xdr:colOff>
      <xdr:row>42</xdr:row>
      <xdr:rowOff>16272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BCA7CB1E-DB9F-6A0E-C3CA-A8447E0B8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2356488" y="0"/>
          <a:ext cx="6430272" cy="73924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22860</xdr:rowOff>
    </xdr:from>
    <xdr:to>
      <xdr:col>9</xdr:col>
      <xdr:colOff>252337</xdr:colOff>
      <xdr:row>76</xdr:row>
      <xdr:rowOff>88446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28334E88-5F45-5229-C333-758AD4104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2499383" y="7574280"/>
          <a:ext cx="6287377" cy="5849166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74</xdr:row>
      <xdr:rowOff>104048</xdr:rowOff>
    </xdr:from>
    <xdr:to>
      <xdr:col>9</xdr:col>
      <xdr:colOff>327660</xdr:colOff>
      <xdr:row>115</xdr:row>
      <xdr:rowOff>136216</xdr:rowOff>
    </xdr:to>
    <xdr:pic>
      <xdr:nvPicPr>
        <xdr:cNvPr id="4" name="תמונה 3">
          <a:extLst>
            <a:ext uri="{FF2B5EF4-FFF2-40B4-BE49-F238E27FC236}">
              <a16:creationId xmlns:a16="http://schemas.microsoft.com/office/drawing/2014/main" id="{109F98F3-AA14-D981-1ACB-89FDA035F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2424060" y="13088528"/>
          <a:ext cx="6309360" cy="72178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129540</xdr:rowOff>
    </xdr:from>
    <xdr:to>
      <xdr:col>9</xdr:col>
      <xdr:colOff>214232</xdr:colOff>
      <xdr:row>152</xdr:row>
      <xdr:rowOff>155189</xdr:rowOff>
    </xdr:to>
    <xdr:pic>
      <xdr:nvPicPr>
        <xdr:cNvPr id="5" name="תמונה 4">
          <a:extLst>
            <a:ext uri="{FF2B5EF4-FFF2-40B4-BE49-F238E27FC236}">
              <a16:creationId xmlns:a16="http://schemas.microsoft.com/office/drawing/2014/main" id="{10901C73-B79A-F8FF-EA95-84FC94B4F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82537488" y="20474940"/>
          <a:ext cx="6249272" cy="6335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8466</xdr:rowOff>
    </xdr:from>
    <xdr:to>
      <xdr:col>6</xdr:col>
      <xdr:colOff>851777</xdr:colOff>
      <xdr:row>74</xdr:row>
      <xdr:rowOff>63509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1394AA5E-732B-4DFE-8E07-7C553B4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36592090" y="6824133"/>
          <a:ext cx="6287377" cy="76496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623146</xdr:colOff>
      <xdr:row>36</xdr:row>
      <xdr:rowOff>20031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8392FBA8-0A2A-4961-B818-D8595A613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6820721" y="0"/>
          <a:ext cx="6058746" cy="70304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10</xdr:col>
      <xdr:colOff>153856</xdr:colOff>
      <xdr:row>42</xdr:row>
      <xdr:rowOff>99061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3B5A4A3B-10A0-2334-F3B4-8F8C0CEAF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9595584" y="1"/>
          <a:ext cx="6859455" cy="7452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10</xdr:col>
      <xdr:colOff>95608</xdr:colOff>
      <xdr:row>38</xdr:row>
      <xdr:rowOff>45721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id="{B7FC15F1-5319-24E6-B92E-72B5062CD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9653832" y="1"/>
          <a:ext cx="6801208" cy="6736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E161-7B65-44A8-9765-D6BE10FD4B1E}">
  <dimension ref="L2:AA117"/>
  <sheetViews>
    <sheetView rightToLeft="1" tabSelected="1" workbookViewId="0">
      <selection activeCell="L70" sqref="L70:O78"/>
    </sheetView>
  </sheetViews>
  <sheetFormatPr defaultColWidth="8.69921875" defaultRowHeight="13.8" x14ac:dyDescent="0.25"/>
  <cols>
    <col min="1" max="11" width="8.69921875" style="1"/>
    <col min="12" max="12" width="24.19921875" style="1" bestFit="1" customWidth="1"/>
    <col min="13" max="13" width="10.09765625" style="1" bestFit="1" customWidth="1"/>
    <col min="14" max="14" width="11.3984375" style="1" customWidth="1"/>
    <col min="15" max="15" width="11.69921875" style="1" customWidth="1"/>
    <col min="16" max="21" width="8.69921875" style="1"/>
    <col min="22" max="22" width="16.19921875" style="1" customWidth="1"/>
    <col min="23" max="24" width="8.69921875" style="1"/>
    <col min="25" max="25" width="9.59765625" style="1" bestFit="1" customWidth="1"/>
    <col min="26" max="16384" width="8.69921875" style="1"/>
  </cols>
  <sheetData>
    <row r="2" spans="12:27" x14ac:dyDescent="0.25">
      <c r="S2" s="1" t="s">
        <v>43</v>
      </c>
    </row>
    <row r="3" spans="12:27" x14ac:dyDescent="0.25">
      <c r="L3" s="12" t="s">
        <v>39</v>
      </c>
      <c r="M3" s="13"/>
      <c r="N3" s="13"/>
      <c r="O3" s="14"/>
      <c r="S3" s="1">
        <v>2022</v>
      </c>
      <c r="T3" s="9">
        <v>0.23</v>
      </c>
      <c r="W3" s="1" t="s">
        <v>44</v>
      </c>
      <c r="X3" s="1" t="s">
        <v>45</v>
      </c>
      <c r="Y3" s="1" t="s">
        <v>56</v>
      </c>
      <c r="Z3" s="1" t="s">
        <v>6</v>
      </c>
    </row>
    <row r="4" spans="12:27" x14ac:dyDescent="0.25">
      <c r="L4" s="15" t="s">
        <v>40</v>
      </c>
      <c r="O4" s="16">
        <v>3000000</v>
      </c>
      <c r="S4" s="1">
        <v>2023</v>
      </c>
      <c r="T4" s="9">
        <v>0.23</v>
      </c>
      <c r="V4" s="1" t="str">
        <f>L35</f>
        <v>מכונות 1</v>
      </c>
      <c r="W4" s="1">
        <f>M39</f>
        <v>-34500</v>
      </c>
      <c r="X4" s="1">
        <f>-N39</f>
        <v>-34500</v>
      </c>
      <c r="Y4" s="1">
        <f>-N40</f>
        <v>-51000</v>
      </c>
      <c r="Z4" s="1">
        <f>O39</f>
        <v>-120000</v>
      </c>
      <c r="AA4" s="1">
        <f t="shared" ref="AA4:AA12" si="0">W4+X4+Y4-Z4</f>
        <v>0</v>
      </c>
    </row>
    <row r="5" spans="12:27" x14ac:dyDescent="0.25">
      <c r="L5" s="15"/>
      <c r="O5" s="16"/>
      <c r="S5" s="1">
        <v>2024</v>
      </c>
      <c r="T5" s="9">
        <v>0.3</v>
      </c>
      <c r="V5" s="1" t="str">
        <f>L47</f>
        <v>מכונות 2</v>
      </c>
      <c r="W5" s="1">
        <f>M51</f>
        <v>0</v>
      </c>
      <c r="X5" s="1">
        <f>-N51</f>
        <v>-4600</v>
      </c>
      <c r="Y5" s="1">
        <f>-N52</f>
        <v>-3400</v>
      </c>
      <c r="Z5" s="1">
        <f>O51</f>
        <v>-8000</v>
      </c>
      <c r="AA5" s="1">
        <f t="shared" si="0"/>
        <v>0</v>
      </c>
    </row>
    <row r="6" spans="12:27" x14ac:dyDescent="0.25">
      <c r="L6" s="15" t="s">
        <v>41</v>
      </c>
      <c r="O6" s="16"/>
      <c r="S6" s="1">
        <v>2025</v>
      </c>
      <c r="T6" s="9">
        <v>0.4</v>
      </c>
      <c r="V6" s="1" t="s">
        <v>60</v>
      </c>
      <c r="W6" s="1">
        <f>M63</f>
        <v>0</v>
      </c>
      <c r="X6" s="1">
        <f>-N63</f>
        <v>766.6666666666689</v>
      </c>
      <c r="Y6" s="1">
        <f>-N64</f>
        <v>566.66666666666845</v>
      </c>
      <c r="Z6" s="1">
        <f>O63</f>
        <v>1333.3333333333374</v>
      </c>
      <c r="AA6" s="1">
        <f t="shared" si="0"/>
        <v>0</v>
      </c>
    </row>
    <row r="7" spans="12:27" x14ac:dyDescent="0.25">
      <c r="L7" s="15" t="s">
        <v>55</v>
      </c>
      <c r="O7" s="16">
        <f>N37</f>
        <v>150000</v>
      </c>
      <c r="V7" s="1" t="s">
        <v>63</v>
      </c>
      <c r="W7" s="1">
        <f>M75</f>
        <v>25875</v>
      </c>
      <c r="X7" s="1">
        <f>-N75</f>
        <v>-8625</v>
      </c>
      <c r="Y7" s="1">
        <f>-N76</f>
        <v>-11000</v>
      </c>
      <c r="Z7" s="1">
        <f>O75</f>
        <v>6250</v>
      </c>
      <c r="AA7" s="1">
        <f t="shared" si="0"/>
        <v>0</v>
      </c>
    </row>
    <row r="8" spans="12:27" x14ac:dyDescent="0.25">
      <c r="L8" s="15" t="s">
        <v>59</v>
      </c>
      <c r="O8" s="16">
        <f>N49</f>
        <v>80000</v>
      </c>
      <c r="V8" s="1" t="s">
        <v>67</v>
      </c>
      <c r="W8" s="1">
        <f>M88</f>
        <v>-89010</v>
      </c>
      <c r="X8" s="1">
        <f>-N88</f>
        <v>-33005</v>
      </c>
      <c r="Y8" s="1">
        <f>-N89</f>
        <v>-90185</v>
      </c>
      <c r="Z8" s="1">
        <f>O88</f>
        <v>-212200</v>
      </c>
      <c r="AA8" s="1">
        <f t="shared" si="0"/>
        <v>0</v>
      </c>
    </row>
    <row r="9" spans="12:27" x14ac:dyDescent="0.25">
      <c r="L9" s="15" t="s">
        <v>62</v>
      </c>
      <c r="O9" s="16">
        <f>N61</f>
        <v>23333.333333333343</v>
      </c>
      <c r="V9" s="1" t="s">
        <v>68</v>
      </c>
      <c r="W9" s="1">
        <f>M95</f>
        <v>0</v>
      </c>
      <c r="X9" s="1">
        <f>-N95</f>
        <v>25300</v>
      </c>
      <c r="Y9" s="1">
        <f>-N96</f>
        <v>7700</v>
      </c>
      <c r="Z9" s="1">
        <f>O95</f>
        <v>33000</v>
      </c>
      <c r="AA9" s="1">
        <f t="shared" si="0"/>
        <v>0</v>
      </c>
    </row>
    <row r="10" spans="12:27" x14ac:dyDescent="0.25">
      <c r="L10" s="15" t="s">
        <v>66</v>
      </c>
      <c r="O10" s="16">
        <f>N73</f>
        <v>0</v>
      </c>
      <c r="V10" s="1" t="s">
        <v>73</v>
      </c>
      <c r="W10" s="1">
        <f>M102</f>
        <v>9200</v>
      </c>
      <c r="X10" s="1">
        <f>-N102</f>
        <v>10580</v>
      </c>
      <c r="Y10" s="1">
        <f>-N103</f>
        <v>6020</v>
      </c>
      <c r="Z10" s="1">
        <f>O102</f>
        <v>25800</v>
      </c>
      <c r="AA10" s="1">
        <f t="shared" si="0"/>
        <v>0</v>
      </c>
    </row>
    <row r="11" spans="12:27" x14ac:dyDescent="0.25">
      <c r="L11" s="15" t="s">
        <v>72</v>
      </c>
      <c r="O11" s="16">
        <f>-N92</f>
        <v>200000</v>
      </c>
      <c r="V11" s="1" t="s">
        <v>75</v>
      </c>
      <c r="W11" s="1">
        <f>M109</f>
        <v>920000</v>
      </c>
      <c r="X11" s="1">
        <f>-N109</f>
        <v>200100</v>
      </c>
      <c r="Y11" s="1">
        <f>-N110</f>
        <v>439900</v>
      </c>
      <c r="Z11" s="1">
        <f>O109</f>
        <v>1560000</v>
      </c>
      <c r="AA11" s="1">
        <f t="shared" si="0"/>
        <v>0</v>
      </c>
    </row>
    <row r="12" spans="12:27" x14ac:dyDescent="0.25">
      <c r="L12" s="15" t="s">
        <v>74</v>
      </c>
      <c r="O12" s="16">
        <f>N100</f>
        <v>46000</v>
      </c>
      <c r="V12" s="1" t="s">
        <v>78</v>
      </c>
      <c r="W12" s="1">
        <f>M116</f>
        <v>0</v>
      </c>
      <c r="X12" s="1">
        <f>-N116</f>
        <v>-52900</v>
      </c>
      <c r="Y12" s="1">
        <f>-N117</f>
        <v>121900</v>
      </c>
      <c r="Z12" s="1">
        <f>O116</f>
        <v>69000</v>
      </c>
      <c r="AA12" s="1">
        <f t="shared" si="0"/>
        <v>0</v>
      </c>
    </row>
    <row r="13" spans="12:27" x14ac:dyDescent="0.25">
      <c r="L13" s="15" t="s">
        <v>77</v>
      </c>
      <c r="O13" s="16">
        <f>N107</f>
        <v>1200000</v>
      </c>
      <c r="V13" s="3" t="s">
        <v>25</v>
      </c>
      <c r="W13" s="3">
        <f>SUM(W4:W12)</f>
        <v>831565</v>
      </c>
      <c r="X13" s="3">
        <f t="shared" ref="X13:Z13" si="1">SUM(X4:X12)</f>
        <v>103116.66666666669</v>
      </c>
      <c r="Y13" s="3">
        <f t="shared" si="1"/>
        <v>420501.66666666669</v>
      </c>
      <c r="Z13" s="3">
        <f t="shared" si="1"/>
        <v>1355183.3333333335</v>
      </c>
      <c r="AA13" s="3"/>
    </row>
    <row r="14" spans="12:27" x14ac:dyDescent="0.25">
      <c r="L14" s="15" t="s">
        <v>81</v>
      </c>
      <c r="O14" s="16">
        <v>20000</v>
      </c>
    </row>
    <row r="15" spans="12:27" x14ac:dyDescent="0.25">
      <c r="L15" s="15"/>
      <c r="O15" s="16"/>
    </row>
    <row r="16" spans="12:27" x14ac:dyDescent="0.25">
      <c r="L16" s="17"/>
      <c r="O16" s="16"/>
    </row>
    <row r="17" spans="12:15" x14ac:dyDescent="0.25">
      <c r="L17" s="15" t="s">
        <v>42</v>
      </c>
      <c r="O17" s="16"/>
    </row>
    <row r="18" spans="12:15" x14ac:dyDescent="0.25">
      <c r="L18" s="15" t="s">
        <v>54</v>
      </c>
      <c r="O18" s="16">
        <f>-N36</f>
        <v>-300000</v>
      </c>
    </row>
    <row r="19" spans="12:15" x14ac:dyDescent="0.25">
      <c r="L19" s="15" t="s">
        <v>58</v>
      </c>
      <c r="O19" s="16">
        <f>-N48</f>
        <v>-100000</v>
      </c>
    </row>
    <row r="20" spans="12:15" x14ac:dyDescent="0.25">
      <c r="L20" s="15" t="s">
        <v>61</v>
      </c>
      <c r="O20" s="16">
        <f>-N60</f>
        <v>-20000</v>
      </c>
    </row>
    <row r="21" spans="12:15" x14ac:dyDescent="0.25">
      <c r="L21" s="15" t="s">
        <v>65</v>
      </c>
      <c r="O21" s="16">
        <f>-N72-N78</f>
        <v>-87500</v>
      </c>
    </row>
    <row r="22" spans="12:15" x14ac:dyDescent="0.25">
      <c r="L22" s="15" t="s">
        <v>69</v>
      </c>
      <c r="O22" s="16">
        <f>-N85</f>
        <v>-53500</v>
      </c>
    </row>
    <row r="23" spans="12:15" x14ac:dyDescent="0.25">
      <c r="L23" s="15" t="s">
        <v>70</v>
      </c>
      <c r="O23" s="16">
        <f>N86</f>
        <v>-90000</v>
      </c>
    </row>
    <row r="24" spans="12:15" x14ac:dyDescent="0.25">
      <c r="L24" s="15" t="s">
        <v>71</v>
      </c>
      <c r="O24" s="16">
        <f>N93</f>
        <v>-90000</v>
      </c>
    </row>
    <row r="25" spans="12:15" x14ac:dyDescent="0.25">
      <c r="L25" s="15" t="s">
        <v>76</v>
      </c>
      <c r="O25" s="16">
        <f>-N106</f>
        <v>-330000</v>
      </c>
    </row>
    <row r="26" spans="12:15" x14ac:dyDescent="0.25">
      <c r="L26" s="15"/>
      <c r="O26" s="16"/>
    </row>
    <row r="27" spans="12:15" x14ac:dyDescent="0.25">
      <c r="L27" s="15" t="s">
        <v>25</v>
      </c>
      <c r="O27" s="16">
        <f>SUM(O4:O26)</f>
        <v>3648333.333333334</v>
      </c>
    </row>
    <row r="28" spans="12:15" ht="14.4" thickBot="1" x14ac:dyDescent="0.3">
      <c r="L28" s="15"/>
      <c r="O28" s="16"/>
    </row>
    <row r="29" spans="12:15" x14ac:dyDescent="0.25">
      <c r="L29" s="18" t="s">
        <v>79</v>
      </c>
      <c r="M29" s="10"/>
      <c r="N29" s="10"/>
      <c r="O29" s="19">
        <f>-O27*23%+400000*10%</f>
        <v>-799116.66666666686</v>
      </c>
    </row>
    <row r="30" spans="12:15" ht="14.4" thickBot="1" x14ac:dyDescent="0.3">
      <c r="L30" s="20" t="s">
        <v>80</v>
      </c>
      <c r="M30" s="11"/>
      <c r="N30" s="11"/>
      <c r="O30" s="21">
        <f>-X13-Y13</f>
        <v>-523618.33333333337</v>
      </c>
    </row>
    <row r="31" spans="12:15" x14ac:dyDescent="0.25">
      <c r="L31" s="22"/>
      <c r="M31" s="23"/>
      <c r="N31" s="23"/>
      <c r="O31" s="24"/>
    </row>
    <row r="35" spans="12:16" x14ac:dyDescent="0.25">
      <c r="L35" s="8" t="s">
        <v>53</v>
      </c>
      <c r="M35" s="1" t="s">
        <v>44</v>
      </c>
      <c r="N35" s="1" t="s">
        <v>45</v>
      </c>
      <c r="O35" s="1" t="s">
        <v>6</v>
      </c>
    </row>
    <row r="36" spans="12:16" x14ac:dyDescent="0.25">
      <c r="L36" s="1" t="s">
        <v>46</v>
      </c>
      <c r="M36" s="1">
        <f>1500000/5*4</f>
        <v>1200000</v>
      </c>
      <c r="N36" s="1">
        <f>M36-O36</f>
        <v>300000</v>
      </c>
      <c r="O36" s="1">
        <f>1500000/5*3</f>
        <v>900000</v>
      </c>
    </row>
    <row r="37" spans="12:16" x14ac:dyDescent="0.25">
      <c r="L37" s="1" t="s">
        <v>47</v>
      </c>
      <c r="M37" s="1">
        <f>1500000/10*9</f>
        <v>1350000</v>
      </c>
      <c r="N37" s="1">
        <f>M37-O37</f>
        <v>150000</v>
      </c>
      <c r="O37" s="1">
        <f>1500000/10*8</f>
        <v>1200000</v>
      </c>
    </row>
    <row r="38" spans="12:16" x14ac:dyDescent="0.25">
      <c r="L38" s="1" t="s">
        <v>48</v>
      </c>
      <c r="M38" s="1">
        <f>M36-M37</f>
        <v>-150000</v>
      </c>
      <c r="N38" s="1">
        <f t="shared" ref="N38:O38" si="2">N36-N37</f>
        <v>150000</v>
      </c>
      <c r="O38" s="1">
        <f t="shared" si="2"/>
        <v>-300000</v>
      </c>
    </row>
    <row r="39" spans="12:16" x14ac:dyDescent="0.25">
      <c r="L39" s="1" t="s">
        <v>49</v>
      </c>
      <c r="M39" s="1">
        <f>M38*T3</f>
        <v>-34500</v>
      </c>
      <c r="N39" s="1">
        <f>N38*T4</f>
        <v>34500</v>
      </c>
      <c r="O39" s="1">
        <f>O38*T6</f>
        <v>-120000</v>
      </c>
    </row>
    <row r="40" spans="12:16" x14ac:dyDescent="0.25">
      <c r="L40" s="1" t="s">
        <v>52</v>
      </c>
      <c r="N40" s="1">
        <f>M39-O39-N39</f>
        <v>51000</v>
      </c>
    </row>
    <row r="43" spans="12:16" x14ac:dyDescent="0.25">
      <c r="M43" s="1" t="s">
        <v>50</v>
      </c>
      <c r="N43" s="1" t="s">
        <v>46</v>
      </c>
      <c r="O43" s="1" t="s">
        <v>47</v>
      </c>
      <c r="P43" s="1" t="s">
        <v>51</v>
      </c>
    </row>
    <row r="44" spans="12:16" x14ac:dyDescent="0.25">
      <c r="L44" s="1">
        <v>2024</v>
      </c>
      <c r="M44" s="9">
        <f>T5</f>
        <v>0.3</v>
      </c>
      <c r="N44" s="1">
        <f>N36</f>
        <v>300000</v>
      </c>
      <c r="O44" s="1">
        <f>N37</f>
        <v>150000</v>
      </c>
      <c r="P44" s="1">
        <f>N44-O44</f>
        <v>150000</v>
      </c>
    </row>
    <row r="45" spans="12:16" x14ac:dyDescent="0.25">
      <c r="L45" s="1">
        <v>2025</v>
      </c>
      <c r="M45" s="9">
        <f>T6</f>
        <v>0.4</v>
      </c>
      <c r="N45" s="1">
        <f>O36-N36</f>
        <v>600000</v>
      </c>
      <c r="O45" s="1">
        <f>O37-O44</f>
        <v>1050000</v>
      </c>
      <c r="P45" s="1">
        <f>N45-O45</f>
        <v>-450000</v>
      </c>
    </row>
    <row r="47" spans="12:16" x14ac:dyDescent="0.25">
      <c r="L47" s="8" t="s">
        <v>57</v>
      </c>
      <c r="M47" s="1" t="s">
        <v>44</v>
      </c>
      <c r="N47" s="1" t="s">
        <v>45</v>
      </c>
      <c r="O47" s="1" t="s">
        <v>6</v>
      </c>
    </row>
    <row r="48" spans="12:16" x14ac:dyDescent="0.25">
      <c r="L48" s="1" t="s">
        <v>46</v>
      </c>
      <c r="M48" s="1">
        <v>0</v>
      </c>
      <c r="N48" s="1">
        <v>100000</v>
      </c>
      <c r="O48" s="1">
        <f>800000/8*7</f>
        <v>700000</v>
      </c>
    </row>
    <row r="49" spans="12:16" x14ac:dyDescent="0.25">
      <c r="L49" s="1" t="s">
        <v>47</v>
      </c>
      <c r="M49" s="1">
        <v>0</v>
      </c>
      <c r="N49" s="1">
        <v>80000</v>
      </c>
      <c r="O49" s="1">
        <f>800000/10*9</f>
        <v>720000</v>
      </c>
    </row>
    <row r="50" spans="12:16" x14ac:dyDescent="0.25">
      <c r="L50" s="1" t="s">
        <v>48</v>
      </c>
      <c r="M50" s="1">
        <f>M48-M49</f>
        <v>0</v>
      </c>
      <c r="N50" s="1">
        <f t="shared" ref="N50" si="3">N48-N49</f>
        <v>20000</v>
      </c>
      <c r="O50" s="1">
        <f t="shared" ref="O50" si="4">O48-O49</f>
        <v>-20000</v>
      </c>
    </row>
    <row r="51" spans="12:16" x14ac:dyDescent="0.25">
      <c r="L51" s="1" t="s">
        <v>49</v>
      </c>
      <c r="M51" s="1">
        <f>M50*T15</f>
        <v>0</v>
      </c>
      <c r="N51" s="1">
        <f>N50*T4</f>
        <v>4600</v>
      </c>
      <c r="O51" s="1">
        <f>O50*T6</f>
        <v>-8000</v>
      </c>
    </row>
    <row r="52" spans="12:16" x14ac:dyDescent="0.25">
      <c r="L52" s="1" t="s">
        <v>52</v>
      </c>
      <c r="N52" s="1">
        <f>M51-O51-N51</f>
        <v>3400</v>
      </c>
    </row>
    <row r="54" spans="12:16" x14ac:dyDescent="0.25">
      <c r="M54" s="1" t="s">
        <v>50</v>
      </c>
      <c r="N54" s="1" t="s">
        <v>46</v>
      </c>
      <c r="O54" s="1" t="s">
        <v>47</v>
      </c>
      <c r="P54" s="1" t="s">
        <v>51</v>
      </c>
    </row>
    <row r="55" spans="12:16" x14ac:dyDescent="0.25">
      <c r="L55" s="1">
        <v>2024</v>
      </c>
      <c r="M55" s="9">
        <f>M44</f>
        <v>0.3</v>
      </c>
      <c r="N55" s="1">
        <f>N48</f>
        <v>100000</v>
      </c>
      <c r="O55" s="1">
        <f>N49</f>
        <v>80000</v>
      </c>
      <c r="P55" s="1">
        <f>N55-O55</f>
        <v>20000</v>
      </c>
    </row>
    <row r="56" spans="12:16" x14ac:dyDescent="0.25">
      <c r="L56" s="1">
        <v>2025</v>
      </c>
      <c r="M56" s="9">
        <f>M45</f>
        <v>0.4</v>
      </c>
      <c r="N56" s="1">
        <f>O48-N48</f>
        <v>600000</v>
      </c>
      <c r="O56" s="1">
        <f>O49-N49</f>
        <v>640000</v>
      </c>
      <c r="P56" s="1">
        <f>N56-O56</f>
        <v>-40000</v>
      </c>
    </row>
    <row r="59" spans="12:16" x14ac:dyDescent="0.25">
      <c r="L59" s="8" t="s">
        <v>60</v>
      </c>
      <c r="M59" s="1" t="s">
        <v>44</v>
      </c>
      <c r="N59" s="1" t="s">
        <v>45</v>
      </c>
      <c r="O59" s="1" t="s">
        <v>6</v>
      </c>
    </row>
    <row r="60" spans="12:16" x14ac:dyDescent="0.25">
      <c r="L60" s="1" t="s">
        <v>46</v>
      </c>
      <c r="M60" s="1">
        <f>200000/10*7</f>
        <v>140000</v>
      </c>
      <c r="N60" s="1">
        <f>M60-O60</f>
        <v>20000</v>
      </c>
      <c r="O60" s="1">
        <f>200000/10*6</f>
        <v>120000</v>
      </c>
    </row>
    <row r="61" spans="12:16" x14ac:dyDescent="0.25">
      <c r="L61" s="1" t="s">
        <v>47</v>
      </c>
      <c r="M61" s="1">
        <f>200000/10*7</f>
        <v>140000</v>
      </c>
      <c r="N61" s="1">
        <f>M61-O61</f>
        <v>23333.333333333343</v>
      </c>
      <c r="O61" s="1">
        <f>M61/6*5</f>
        <v>116666.66666666666</v>
      </c>
    </row>
    <row r="62" spans="12:16" x14ac:dyDescent="0.25">
      <c r="L62" s="1" t="s">
        <v>48</v>
      </c>
      <c r="M62" s="1">
        <f>M60-M61</f>
        <v>0</v>
      </c>
      <c r="N62" s="1">
        <f t="shared" ref="N62:O62" si="5">N60-N61</f>
        <v>-3333.333333333343</v>
      </c>
      <c r="O62" s="1">
        <f t="shared" si="5"/>
        <v>3333.333333333343</v>
      </c>
    </row>
    <row r="63" spans="12:16" x14ac:dyDescent="0.25">
      <c r="L63" s="1" t="s">
        <v>49</v>
      </c>
      <c r="M63" s="1">
        <f>M62*T3</f>
        <v>0</v>
      </c>
      <c r="N63" s="1">
        <f>N62*T4</f>
        <v>-766.6666666666689</v>
      </c>
      <c r="O63" s="1">
        <f>O62*M68</f>
        <v>1333.3333333333374</v>
      </c>
    </row>
    <row r="64" spans="12:16" x14ac:dyDescent="0.25">
      <c r="L64" s="1" t="s">
        <v>52</v>
      </c>
      <c r="N64" s="1">
        <f>M63-O63-N63</f>
        <v>-566.66666666666845</v>
      </c>
    </row>
    <row r="66" spans="12:16" x14ac:dyDescent="0.25">
      <c r="M66" s="1" t="s">
        <v>50</v>
      </c>
      <c r="N66" s="1" t="s">
        <v>46</v>
      </c>
      <c r="O66" s="1" t="s">
        <v>47</v>
      </c>
      <c r="P66" s="1" t="s">
        <v>51</v>
      </c>
    </row>
    <row r="67" spans="12:16" x14ac:dyDescent="0.25">
      <c r="L67" s="1">
        <v>2024</v>
      </c>
      <c r="M67" s="9">
        <f>M55</f>
        <v>0.3</v>
      </c>
      <c r="N67" s="1">
        <f>N60</f>
        <v>20000</v>
      </c>
      <c r="O67" s="1">
        <f>N61</f>
        <v>23333.333333333343</v>
      </c>
      <c r="P67" s="1">
        <f>N67-O67</f>
        <v>-3333.333333333343</v>
      </c>
    </row>
    <row r="68" spans="12:16" x14ac:dyDescent="0.25">
      <c r="L68" s="1">
        <v>2025</v>
      </c>
      <c r="M68" s="9">
        <f>M56</f>
        <v>0.4</v>
      </c>
      <c r="N68" s="1">
        <f>O60-N67</f>
        <v>100000</v>
      </c>
      <c r="O68" s="1">
        <f>O61-O67</f>
        <v>93333.333333333314</v>
      </c>
      <c r="P68" s="1">
        <f>N68-O68</f>
        <v>6666.6666666666861</v>
      </c>
    </row>
    <row r="71" spans="12:16" x14ac:dyDescent="0.25">
      <c r="L71" s="8" t="s">
        <v>63</v>
      </c>
      <c r="M71" s="1" t="s">
        <v>44</v>
      </c>
      <c r="N71" s="1" t="s">
        <v>45</v>
      </c>
      <c r="O71" s="1" t="s">
        <v>6</v>
      </c>
    </row>
    <row r="72" spans="12:16" x14ac:dyDescent="0.25">
      <c r="L72" s="1" t="s">
        <v>46</v>
      </c>
      <c r="M72" s="1">
        <f>300000/8*3</f>
        <v>112500</v>
      </c>
      <c r="N72" s="1">
        <f>M72-O72</f>
        <v>37500</v>
      </c>
      <c r="O72" s="1">
        <f>300000/8*2</f>
        <v>75000</v>
      </c>
    </row>
    <row r="73" spans="12:16" x14ac:dyDescent="0.25">
      <c r="L73" s="1" t="s">
        <v>47</v>
      </c>
      <c r="M73" s="1">
        <f>300000/5*0</f>
        <v>0</v>
      </c>
      <c r="N73" s="1">
        <v>0</v>
      </c>
      <c r="O73" s="1">
        <v>50000</v>
      </c>
    </row>
    <row r="74" spans="12:16" x14ac:dyDescent="0.25">
      <c r="L74" s="1" t="s">
        <v>48</v>
      </c>
      <c r="M74" s="1">
        <f>M72-M73</f>
        <v>112500</v>
      </c>
      <c r="N74" s="1">
        <f t="shared" ref="N74:O74" si="6">N72-N73</f>
        <v>37500</v>
      </c>
      <c r="O74" s="1">
        <f t="shared" si="6"/>
        <v>25000</v>
      </c>
    </row>
    <row r="75" spans="12:16" x14ac:dyDescent="0.25">
      <c r="L75" s="1" t="s">
        <v>49</v>
      </c>
      <c r="M75" s="1">
        <f>M74*T3</f>
        <v>25875</v>
      </c>
      <c r="N75" s="1">
        <f>N74*23%</f>
        <v>8625</v>
      </c>
      <c r="O75" s="1">
        <f>P81*M81+P82*M82</f>
        <v>6250</v>
      </c>
    </row>
    <row r="76" spans="12:16" x14ac:dyDescent="0.25">
      <c r="L76" s="1" t="s">
        <v>52</v>
      </c>
      <c r="N76" s="1">
        <f>M75-O75-N75</f>
        <v>11000</v>
      </c>
    </row>
    <row r="78" spans="12:16" x14ac:dyDescent="0.25">
      <c r="L78" s="1" t="s">
        <v>64</v>
      </c>
      <c r="N78" s="1">
        <v>50000</v>
      </c>
    </row>
    <row r="80" spans="12:16" x14ac:dyDescent="0.25">
      <c r="M80" s="1" t="s">
        <v>50</v>
      </c>
      <c r="N80" s="1" t="s">
        <v>46</v>
      </c>
      <c r="O80" s="1" t="s">
        <v>47</v>
      </c>
      <c r="P80" s="1" t="s">
        <v>51</v>
      </c>
    </row>
    <row r="81" spans="12:16" x14ac:dyDescent="0.25">
      <c r="L81" s="1">
        <v>2024</v>
      </c>
      <c r="M81" s="9">
        <v>0.3</v>
      </c>
      <c r="N81" s="1">
        <f>N72</f>
        <v>37500</v>
      </c>
      <c r="O81" s="1">
        <f>N73</f>
        <v>0</v>
      </c>
      <c r="P81" s="1">
        <f>N81-O81</f>
        <v>37500</v>
      </c>
    </row>
    <row r="82" spans="12:16" x14ac:dyDescent="0.25">
      <c r="L82" s="1">
        <v>2025</v>
      </c>
      <c r="M82" s="9">
        <v>0.4</v>
      </c>
      <c r="N82" s="1">
        <f>O72-N72</f>
        <v>37500</v>
      </c>
      <c r="O82" s="1">
        <f>O73-O81</f>
        <v>50000</v>
      </c>
      <c r="P82" s="1">
        <f>N82-O82</f>
        <v>-12500</v>
      </c>
    </row>
    <row r="84" spans="12:16" x14ac:dyDescent="0.25">
      <c r="L84" s="8" t="s">
        <v>67</v>
      </c>
      <c r="M84" s="1" t="s">
        <v>44</v>
      </c>
      <c r="N84" s="1" t="s">
        <v>45</v>
      </c>
      <c r="O84" s="1" t="s">
        <v>6</v>
      </c>
    </row>
    <row r="85" spans="12:16" x14ac:dyDescent="0.25">
      <c r="L85" s="1" t="s">
        <v>46</v>
      </c>
      <c r="M85" s="1">
        <f>((3000000+210000)*2/3)/40*38+((3000000+210000)*1/3)</f>
        <v>3103000</v>
      </c>
      <c r="N85" s="1">
        <f>M85-O85</f>
        <v>53500</v>
      </c>
      <c r="O85" s="1">
        <f>((3000000+210000)*2/3)/40*37+((3000000+210000)*1/3)</f>
        <v>3049500</v>
      </c>
    </row>
    <row r="86" spans="12:16" x14ac:dyDescent="0.25">
      <c r="L86" s="1" t="s">
        <v>47</v>
      </c>
      <c r="M86" s="1">
        <v>3490000</v>
      </c>
      <c r="N86" s="1">
        <f>M86-O86</f>
        <v>-90000</v>
      </c>
      <c r="O86" s="1">
        <v>3580000</v>
      </c>
    </row>
    <row r="87" spans="12:16" x14ac:dyDescent="0.25">
      <c r="L87" s="1" t="s">
        <v>48</v>
      </c>
      <c r="M87" s="1">
        <f>M85-M86</f>
        <v>-387000</v>
      </c>
      <c r="N87" s="1">
        <f t="shared" ref="N87:O87" si="7">N85-N86</f>
        <v>143500</v>
      </c>
      <c r="O87" s="1">
        <f t="shared" si="7"/>
        <v>-530500</v>
      </c>
    </row>
    <row r="88" spans="12:16" x14ac:dyDescent="0.25">
      <c r="L88" s="1" t="s">
        <v>49</v>
      </c>
      <c r="M88" s="1">
        <f>M87*23%</f>
        <v>-89010</v>
      </c>
      <c r="N88" s="1">
        <f>N87*23%</f>
        <v>33005</v>
      </c>
      <c r="O88" s="1">
        <f>O87*40%</f>
        <v>-212200</v>
      </c>
    </row>
    <row r="89" spans="12:16" x14ac:dyDescent="0.25">
      <c r="L89" s="1" t="s">
        <v>52</v>
      </c>
      <c r="N89" s="1">
        <f>M88-O88-N88</f>
        <v>90185</v>
      </c>
    </row>
    <row r="91" spans="12:16" x14ac:dyDescent="0.25">
      <c r="L91" s="8" t="s">
        <v>68</v>
      </c>
      <c r="M91" s="1" t="s">
        <v>44</v>
      </c>
      <c r="N91" s="1" t="s">
        <v>45</v>
      </c>
      <c r="O91" s="1" t="s">
        <v>6</v>
      </c>
    </row>
    <row r="92" spans="12:16" x14ac:dyDescent="0.25">
      <c r="L92" s="1" t="s">
        <v>46</v>
      </c>
      <c r="M92" s="1">
        <v>500000</v>
      </c>
      <c r="N92" s="1">
        <f>M92-O92</f>
        <v>-200000</v>
      </c>
      <c r="O92" s="1">
        <v>700000</v>
      </c>
    </row>
    <row r="93" spans="12:16" x14ac:dyDescent="0.25">
      <c r="L93" s="1" t="s">
        <v>47</v>
      </c>
      <c r="M93" s="1">
        <v>500000</v>
      </c>
      <c r="N93" s="1">
        <f>M93-O93</f>
        <v>-90000</v>
      </c>
      <c r="O93" s="1">
        <v>590000</v>
      </c>
    </row>
    <row r="94" spans="12:16" x14ac:dyDescent="0.25">
      <c r="L94" s="1" t="s">
        <v>48</v>
      </c>
      <c r="M94" s="1">
        <f>M92-M93</f>
        <v>0</v>
      </c>
      <c r="N94" s="1">
        <f t="shared" ref="N94:O94" si="8">N92-N93</f>
        <v>-110000</v>
      </c>
      <c r="O94" s="1">
        <f t="shared" si="8"/>
        <v>110000</v>
      </c>
    </row>
    <row r="95" spans="12:16" x14ac:dyDescent="0.25">
      <c r="L95" s="1" t="s">
        <v>49</v>
      </c>
      <c r="M95" s="1">
        <f>M94*23%</f>
        <v>0</v>
      </c>
      <c r="N95" s="1">
        <f>N94*23%</f>
        <v>-25300</v>
      </c>
      <c r="O95" s="1">
        <f>O94*T5</f>
        <v>33000</v>
      </c>
    </row>
    <row r="96" spans="12:16" x14ac:dyDescent="0.25">
      <c r="L96" s="1" t="s">
        <v>52</v>
      </c>
      <c r="N96" s="1">
        <f>M95-O95-N95</f>
        <v>-7700</v>
      </c>
    </row>
    <row r="98" spans="12:15" x14ac:dyDescent="0.25">
      <c r="L98" s="8" t="s">
        <v>73</v>
      </c>
      <c r="M98" s="1" t="s">
        <v>44</v>
      </c>
      <c r="N98" s="1" t="s">
        <v>45</v>
      </c>
      <c r="O98" s="1" t="s">
        <v>6</v>
      </c>
    </row>
    <row r="99" spans="12:15" x14ac:dyDescent="0.25">
      <c r="L99" s="1" t="s">
        <v>46</v>
      </c>
      <c r="M99" s="1">
        <v>0</v>
      </c>
      <c r="N99" s="1">
        <v>0</v>
      </c>
      <c r="O99" s="1">
        <v>0</v>
      </c>
    </row>
    <row r="100" spans="12:15" x14ac:dyDescent="0.25">
      <c r="L100" s="1" t="s">
        <v>47</v>
      </c>
      <c r="M100" s="1">
        <f>-1000000*4%</f>
        <v>-40000</v>
      </c>
      <c r="N100" s="1">
        <f>M100-O100</f>
        <v>46000</v>
      </c>
      <c r="O100" s="1">
        <f>-700000*8%-600000*5%</f>
        <v>-86000</v>
      </c>
    </row>
    <row r="101" spans="12:15" x14ac:dyDescent="0.25">
      <c r="L101" s="1" t="s">
        <v>48</v>
      </c>
      <c r="M101" s="1">
        <f>M99-M100</f>
        <v>40000</v>
      </c>
      <c r="N101" s="1">
        <f t="shared" ref="N101:O101" si="9">N99-N100</f>
        <v>-46000</v>
      </c>
      <c r="O101" s="1">
        <f t="shared" si="9"/>
        <v>86000</v>
      </c>
    </row>
    <row r="102" spans="12:15" x14ac:dyDescent="0.25">
      <c r="L102" s="1" t="s">
        <v>49</v>
      </c>
      <c r="M102" s="1">
        <f>M101*23%</f>
        <v>9200</v>
      </c>
      <c r="N102" s="1">
        <f>N101*23%</f>
        <v>-10580</v>
      </c>
      <c r="O102" s="1">
        <f>O101*30%</f>
        <v>25800</v>
      </c>
    </row>
    <row r="103" spans="12:15" x14ac:dyDescent="0.25">
      <c r="L103" s="1" t="s">
        <v>52</v>
      </c>
      <c r="N103" s="1">
        <f>M102-O102-N102</f>
        <v>-6020</v>
      </c>
    </row>
    <row r="105" spans="12:15" x14ac:dyDescent="0.25">
      <c r="L105" s="8" t="s">
        <v>75</v>
      </c>
      <c r="M105" s="1" t="s">
        <v>44</v>
      </c>
      <c r="N105" s="1" t="s">
        <v>45</v>
      </c>
      <c r="O105" s="1" t="s">
        <v>6</v>
      </c>
    </row>
    <row r="106" spans="12:15" x14ac:dyDescent="0.25">
      <c r="L106" s="1" t="s">
        <v>46</v>
      </c>
      <c r="M106" s="1">
        <v>0</v>
      </c>
      <c r="N106" s="1">
        <v>330000</v>
      </c>
      <c r="O106" s="1">
        <v>0</v>
      </c>
    </row>
    <row r="107" spans="12:15" x14ac:dyDescent="0.25">
      <c r="L107" s="1" t="s">
        <v>47</v>
      </c>
      <c r="M107" s="1">
        <f>-400*10000</f>
        <v>-4000000</v>
      </c>
      <c r="N107" s="1">
        <f>M107-O107</f>
        <v>1200000</v>
      </c>
      <c r="O107" s="1">
        <f>-400*13000</f>
        <v>-5200000</v>
      </c>
    </row>
    <row r="108" spans="12:15" x14ac:dyDescent="0.25">
      <c r="L108" s="1" t="s">
        <v>48</v>
      </c>
      <c r="M108" s="1">
        <f>M106-M107</f>
        <v>4000000</v>
      </c>
      <c r="N108" s="1">
        <f t="shared" ref="N108:O108" si="10">N106-N107</f>
        <v>-870000</v>
      </c>
      <c r="O108" s="1">
        <f t="shared" si="10"/>
        <v>5200000</v>
      </c>
    </row>
    <row r="109" spans="12:15" x14ac:dyDescent="0.25">
      <c r="L109" s="1" t="s">
        <v>49</v>
      </c>
      <c r="M109" s="1">
        <f>M108*23%</f>
        <v>920000</v>
      </c>
      <c r="N109" s="1">
        <f>N108*23%</f>
        <v>-200100</v>
      </c>
      <c r="O109" s="1">
        <f>O108*30%</f>
        <v>1560000</v>
      </c>
    </row>
    <row r="110" spans="12:15" x14ac:dyDescent="0.25">
      <c r="L110" s="1" t="s">
        <v>52</v>
      </c>
      <c r="N110" s="1">
        <f>M109-O109-N109</f>
        <v>-439900</v>
      </c>
    </row>
    <row r="112" spans="12:15" x14ac:dyDescent="0.25">
      <c r="L112" s="8" t="s">
        <v>78</v>
      </c>
      <c r="M112" s="1" t="s">
        <v>44</v>
      </c>
      <c r="N112" s="1" t="s">
        <v>45</v>
      </c>
      <c r="O112" s="1" t="s">
        <v>6</v>
      </c>
    </row>
    <row r="113" spans="12:15" x14ac:dyDescent="0.25">
      <c r="L113" s="1" t="s">
        <v>46</v>
      </c>
      <c r="M113" s="1">
        <v>0</v>
      </c>
      <c r="N113" s="1">
        <v>-340000</v>
      </c>
      <c r="O113" s="1">
        <f>-N114+N113</f>
        <v>230000</v>
      </c>
    </row>
    <row r="114" spans="12:15" x14ac:dyDescent="0.25">
      <c r="L114" s="1" t="s">
        <v>47</v>
      </c>
      <c r="M114" s="1">
        <v>0</v>
      </c>
      <c r="N114" s="1">
        <v>-570000</v>
      </c>
      <c r="O114" s="1">
        <v>0</v>
      </c>
    </row>
    <row r="115" spans="12:15" x14ac:dyDescent="0.25">
      <c r="L115" s="1" t="s">
        <v>48</v>
      </c>
      <c r="M115" s="1">
        <f>M113-M114</f>
        <v>0</v>
      </c>
      <c r="N115" s="1">
        <f t="shared" ref="N115:O115" si="11">N113-N114</f>
        <v>230000</v>
      </c>
      <c r="O115" s="1">
        <f t="shared" si="11"/>
        <v>230000</v>
      </c>
    </row>
    <row r="116" spans="12:15" x14ac:dyDescent="0.25">
      <c r="L116" s="1" t="s">
        <v>49</v>
      </c>
      <c r="M116" s="1">
        <f>M115*23%</f>
        <v>0</v>
      </c>
      <c r="N116" s="1">
        <f>N115*23%</f>
        <v>52900</v>
      </c>
      <c r="O116" s="1">
        <f>O115*30%</f>
        <v>69000</v>
      </c>
    </row>
    <row r="117" spans="12:15" x14ac:dyDescent="0.25">
      <c r="L117" s="1" t="s">
        <v>52</v>
      </c>
      <c r="N117" s="1">
        <f>M116-O116-N116</f>
        <v>-121900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85B0-9838-4ED1-B905-287D90D55ED2}">
  <dimension ref="B1:Y201"/>
  <sheetViews>
    <sheetView rightToLeft="1" zoomScale="90" zoomScaleNormal="90" workbookViewId="0">
      <selection activeCell="O23" sqref="O23"/>
    </sheetView>
  </sheetViews>
  <sheetFormatPr defaultColWidth="11.8984375" defaultRowHeight="15.6" x14ac:dyDescent="0.3"/>
  <cols>
    <col min="1" max="1" width="11.8984375" style="52"/>
    <col min="8" max="13" width="11.8984375" style="25"/>
    <col min="14" max="14" width="12.796875" style="25" bestFit="1" customWidth="1"/>
    <col min="15" max="25" width="11.8984375" style="25"/>
    <col min="26" max="16384" width="11.8984375" style="52"/>
  </cols>
  <sheetData>
    <row r="1" spans="8:20" x14ac:dyDescent="0.3">
      <c r="R1" s="26" t="s">
        <v>82</v>
      </c>
      <c r="S1" s="26"/>
      <c r="T1" s="26"/>
    </row>
    <row r="2" spans="8:20" x14ac:dyDescent="0.3">
      <c r="H2" s="25" t="s">
        <v>83</v>
      </c>
    </row>
    <row r="3" spans="8:20" x14ac:dyDescent="0.3">
      <c r="R3" s="26" t="s">
        <v>84</v>
      </c>
      <c r="S3" s="26"/>
      <c r="T3" s="26"/>
    </row>
    <row r="4" spans="8:20" x14ac:dyDescent="0.3">
      <c r="H4" s="27" t="s">
        <v>85</v>
      </c>
      <c r="I4" s="27"/>
      <c r="J4" s="27"/>
      <c r="K4" s="27"/>
      <c r="L4" s="27"/>
      <c r="M4" s="27"/>
      <c r="N4" s="27"/>
      <c r="O4" s="27"/>
      <c r="Q4" s="28"/>
      <c r="R4" s="25" t="s">
        <v>86</v>
      </c>
      <c r="T4" s="29">
        <f>L8+L103+L176</f>
        <v>840000</v>
      </c>
    </row>
    <row r="5" spans="8:20" x14ac:dyDescent="0.3">
      <c r="H5" s="25" t="s">
        <v>87</v>
      </c>
      <c r="Q5" s="30"/>
      <c r="R5" s="25" t="s">
        <v>88</v>
      </c>
      <c r="T5" s="29">
        <f>L58+L82+L190</f>
        <v>190000</v>
      </c>
    </row>
    <row r="6" spans="8:20" x14ac:dyDescent="0.3">
      <c r="K6" s="31" t="s">
        <v>27</v>
      </c>
      <c r="L6" s="31" t="s">
        <v>28</v>
      </c>
      <c r="Q6" s="32"/>
      <c r="R6" s="25" t="s">
        <v>89</v>
      </c>
      <c r="T6" s="29">
        <f>L168</f>
        <v>10000</v>
      </c>
    </row>
    <row r="7" spans="8:20" x14ac:dyDescent="0.3">
      <c r="H7" s="25" t="s">
        <v>31</v>
      </c>
      <c r="K7" s="29">
        <v>600000</v>
      </c>
      <c r="Q7" s="33"/>
      <c r="R7" s="25" t="s">
        <v>90</v>
      </c>
      <c r="T7" s="29">
        <f>L135+L150+L197</f>
        <v>1013939.2049369164</v>
      </c>
    </row>
    <row r="8" spans="8:20" x14ac:dyDescent="0.3">
      <c r="H8" s="25" t="s">
        <v>91</v>
      </c>
      <c r="L8" s="34">
        <f>K7</f>
        <v>600000</v>
      </c>
      <c r="T8" s="35">
        <f>SUM(T4:T7)</f>
        <v>2053939.2049369165</v>
      </c>
    </row>
    <row r="10" spans="8:20" x14ac:dyDescent="0.3">
      <c r="H10" s="27" t="s">
        <v>92</v>
      </c>
      <c r="I10" s="27"/>
      <c r="J10" s="27"/>
      <c r="K10" s="27"/>
      <c r="L10" s="27"/>
      <c r="M10" s="27"/>
      <c r="N10" s="27"/>
      <c r="O10" s="27"/>
      <c r="R10" s="26" t="s">
        <v>93</v>
      </c>
      <c r="S10" s="26"/>
      <c r="T10" s="26"/>
    </row>
    <row r="11" spans="8:20" x14ac:dyDescent="0.3">
      <c r="H11" s="25" t="s">
        <v>94</v>
      </c>
    </row>
    <row r="12" spans="8:20" x14ac:dyDescent="0.3">
      <c r="H12" s="25" t="s">
        <v>95</v>
      </c>
      <c r="Q12" s="36"/>
      <c r="R12" s="25" t="s">
        <v>96</v>
      </c>
      <c r="T12" s="29">
        <f>K73+K148</f>
        <v>420000</v>
      </c>
    </row>
    <row r="13" spans="8:20" x14ac:dyDescent="0.3">
      <c r="Q13" s="37"/>
      <c r="R13" s="25" t="s">
        <v>97</v>
      </c>
      <c r="T13" s="29">
        <f>K54</f>
        <v>30000</v>
      </c>
    </row>
    <row r="14" spans="8:20" x14ac:dyDescent="0.3">
      <c r="K14" s="31" t="s">
        <v>27</v>
      </c>
      <c r="L14" s="31" t="s">
        <v>28</v>
      </c>
      <c r="Q14" s="37"/>
      <c r="R14" s="25" t="s">
        <v>98</v>
      </c>
      <c r="T14" s="29">
        <f>K29</f>
        <v>40000</v>
      </c>
    </row>
    <row r="15" spans="8:20" x14ac:dyDescent="0.3">
      <c r="H15" s="25" t="s">
        <v>99</v>
      </c>
      <c r="K15" s="29">
        <v>200000</v>
      </c>
      <c r="Q15" s="37"/>
      <c r="R15" s="25" t="s">
        <v>100</v>
      </c>
      <c r="T15" s="29">
        <f>K167</f>
        <v>10000</v>
      </c>
    </row>
    <row r="16" spans="8:20" x14ac:dyDescent="0.3">
      <c r="H16" s="25" t="s">
        <v>31</v>
      </c>
      <c r="L16" s="29">
        <v>200000</v>
      </c>
      <c r="T16" s="35">
        <f>SUM(T12:T15)</f>
        <v>500000</v>
      </c>
    </row>
    <row r="18" spans="8:24" x14ac:dyDescent="0.3">
      <c r="H18" s="25" t="s">
        <v>101</v>
      </c>
      <c r="R18" s="25" t="s">
        <v>102</v>
      </c>
      <c r="T18" s="38">
        <f>T8-T16</f>
        <v>1553939.2049369165</v>
      </c>
    </row>
    <row r="20" spans="8:24" x14ac:dyDescent="0.3">
      <c r="K20" s="31" t="s">
        <v>27</v>
      </c>
      <c r="L20" s="31" t="s">
        <v>28</v>
      </c>
    </row>
    <row r="21" spans="8:24" x14ac:dyDescent="0.3">
      <c r="H21" s="25" t="s">
        <v>103</v>
      </c>
      <c r="K21" s="29">
        <v>200000</v>
      </c>
      <c r="R21" s="26" t="s">
        <v>104</v>
      </c>
      <c r="S21" s="26"/>
      <c r="T21" s="26"/>
    </row>
    <row r="22" spans="8:24" x14ac:dyDescent="0.3">
      <c r="H22" s="25" t="s">
        <v>105</v>
      </c>
      <c r="L22" s="29">
        <v>200000</v>
      </c>
      <c r="T22" s="25" t="s">
        <v>106</v>
      </c>
    </row>
    <row r="23" spans="8:24" x14ac:dyDescent="0.3">
      <c r="T23" s="26" t="s">
        <v>107</v>
      </c>
      <c r="U23" s="26" t="s">
        <v>108</v>
      </c>
      <c r="V23" s="26" t="s">
        <v>109</v>
      </c>
      <c r="W23" s="26" t="s">
        <v>110</v>
      </c>
      <c r="X23" s="26" t="s">
        <v>111</v>
      </c>
    </row>
    <row r="24" spans="8:24" x14ac:dyDescent="0.3">
      <c r="R24" s="25" t="s">
        <v>112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</row>
    <row r="25" spans="8:24" x14ac:dyDescent="0.3">
      <c r="H25" s="25" t="s">
        <v>113</v>
      </c>
      <c r="T25" s="39"/>
      <c r="U25" s="39"/>
      <c r="V25" s="39"/>
      <c r="W25" s="39"/>
      <c r="X25" s="39"/>
    </row>
    <row r="26" spans="8:24" x14ac:dyDescent="0.3">
      <c r="H26" s="25" t="s">
        <v>114</v>
      </c>
      <c r="R26" s="25" t="s">
        <v>115</v>
      </c>
      <c r="T26" s="39"/>
      <c r="U26" s="39"/>
      <c r="V26" s="39"/>
      <c r="W26" s="39"/>
      <c r="X26" s="39">
        <f t="shared" ref="X26:X34" si="0">SUM(T26:W26)</f>
        <v>0</v>
      </c>
    </row>
    <row r="27" spans="8:24" x14ac:dyDescent="0.3">
      <c r="R27" s="25" t="s">
        <v>102</v>
      </c>
      <c r="T27" s="40">
        <f>T18</f>
        <v>1553939.2049369165</v>
      </c>
      <c r="U27" s="39"/>
      <c r="V27" s="39"/>
      <c r="W27" s="39"/>
      <c r="X27" s="39">
        <f t="shared" si="0"/>
        <v>1553939.2049369165</v>
      </c>
    </row>
    <row r="28" spans="8:24" x14ac:dyDescent="0.3">
      <c r="K28" s="31" t="s">
        <v>27</v>
      </c>
      <c r="L28" s="31" t="s">
        <v>28</v>
      </c>
      <c r="R28" s="25" t="s">
        <v>116</v>
      </c>
      <c r="T28" s="39"/>
      <c r="U28" s="39"/>
      <c r="V28" s="39"/>
      <c r="W28" s="41">
        <f>L45+L52++L66+L119+L123+L184</f>
        <v>1124743.4947503754</v>
      </c>
      <c r="X28" s="39">
        <f t="shared" si="0"/>
        <v>1124743.4947503754</v>
      </c>
    </row>
    <row r="29" spans="8:24" x14ac:dyDescent="0.3">
      <c r="H29" s="25" t="s">
        <v>117</v>
      </c>
      <c r="K29" s="42">
        <f>K15/5</f>
        <v>40000</v>
      </c>
      <c r="O29" s="25" t="s">
        <v>118</v>
      </c>
      <c r="T29" s="39"/>
      <c r="U29" s="39"/>
      <c r="V29" s="39"/>
      <c r="W29" s="39"/>
      <c r="X29" s="39">
        <f t="shared" si="0"/>
        <v>0</v>
      </c>
    </row>
    <row r="30" spans="8:24" x14ac:dyDescent="0.3">
      <c r="H30" s="25" t="s">
        <v>119</v>
      </c>
      <c r="L30" s="29">
        <f>K29</f>
        <v>40000</v>
      </c>
      <c r="R30" s="25" t="s">
        <v>120</v>
      </c>
      <c r="T30" s="39"/>
      <c r="U30" s="39"/>
      <c r="V30" s="39"/>
      <c r="W30" s="39"/>
      <c r="X30" s="39">
        <f t="shared" si="0"/>
        <v>0</v>
      </c>
    </row>
    <row r="31" spans="8:24" x14ac:dyDescent="0.3">
      <c r="R31" s="25" t="s">
        <v>121</v>
      </c>
      <c r="T31" s="39">
        <f>-K21-K200-K138</f>
        <v>-1200000</v>
      </c>
      <c r="U31" s="39"/>
      <c r="V31" s="39">
        <f>-T31</f>
        <v>1200000</v>
      </c>
      <c r="W31" s="39"/>
      <c r="X31" s="39">
        <f t="shared" si="0"/>
        <v>0</v>
      </c>
    </row>
    <row r="32" spans="8:24" x14ac:dyDescent="0.3">
      <c r="K32" s="31" t="s">
        <v>27</v>
      </c>
      <c r="L32" s="31" t="s">
        <v>28</v>
      </c>
      <c r="R32" s="25" t="s">
        <v>122</v>
      </c>
      <c r="T32" s="39">
        <f>K33</f>
        <v>40000</v>
      </c>
      <c r="U32" s="39"/>
      <c r="V32" s="39">
        <f>-T32</f>
        <v>-40000</v>
      </c>
      <c r="W32" s="39"/>
      <c r="X32" s="39">
        <f t="shared" si="0"/>
        <v>0</v>
      </c>
    </row>
    <row r="33" spans="8:24" x14ac:dyDescent="0.3">
      <c r="H33" s="25" t="s">
        <v>105</v>
      </c>
      <c r="K33" s="29">
        <f>K29</f>
        <v>40000</v>
      </c>
      <c r="R33" s="25" t="s">
        <v>123</v>
      </c>
      <c r="T33" s="39"/>
      <c r="U33" s="39"/>
      <c r="V33" s="39"/>
      <c r="W33" s="39">
        <f>-T5</f>
        <v>-190000</v>
      </c>
      <c r="X33" s="39">
        <f t="shared" si="0"/>
        <v>-190000</v>
      </c>
    </row>
    <row r="34" spans="8:24" x14ac:dyDescent="0.3">
      <c r="H34" s="25" t="s">
        <v>103</v>
      </c>
      <c r="L34" s="29">
        <f>K33</f>
        <v>40000</v>
      </c>
      <c r="R34" s="25" t="s">
        <v>124</v>
      </c>
      <c r="T34" s="43">
        <f>SUM(T24:T33)</f>
        <v>393939.20493691647</v>
      </c>
      <c r="U34" s="43">
        <f>SUM(U24:U33)</f>
        <v>0</v>
      </c>
      <c r="V34" s="43">
        <f>SUM(V24:V33)</f>
        <v>1160000</v>
      </c>
      <c r="W34" s="43">
        <f>SUM(W24:W33)</f>
        <v>934743.49475037539</v>
      </c>
      <c r="X34" s="43">
        <f t="shared" si="0"/>
        <v>2488682.6996872919</v>
      </c>
    </row>
    <row r="37" spans="8:24" x14ac:dyDescent="0.3">
      <c r="H37" s="27" t="s">
        <v>125</v>
      </c>
      <c r="I37" s="27"/>
      <c r="J37" s="27"/>
      <c r="K37" s="27"/>
      <c r="L37" s="27"/>
      <c r="M37" s="27"/>
      <c r="N37" s="27"/>
      <c r="O37" s="27"/>
    </row>
    <row r="38" spans="8:24" x14ac:dyDescent="0.3">
      <c r="H38" s="25" t="s">
        <v>126</v>
      </c>
    </row>
    <row r="39" spans="8:24" x14ac:dyDescent="0.3">
      <c r="H39" s="25" t="s">
        <v>127</v>
      </c>
    </row>
    <row r="40" spans="8:24" x14ac:dyDescent="0.3">
      <c r="H40" s="25" t="s">
        <v>128</v>
      </c>
    </row>
    <row r="41" spans="8:24" x14ac:dyDescent="0.3">
      <c r="H41" s="44" t="s">
        <v>129</v>
      </c>
      <c r="I41" s="25" t="s">
        <v>130</v>
      </c>
    </row>
    <row r="43" spans="8:24" x14ac:dyDescent="0.3">
      <c r="K43" s="31" t="s">
        <v>27</v>
      </c>
      <c r="L43" s="31" t="s">
        <v>28</v>
      </c>
      <c r="N43" s="26" t="s">
        <v>131</v>
      </c>
      <c r="O43" s="26"/>
    </row>
    <row r="44" spans="8:24" x14ac:dyDescent="0.3">
      <c r="H44" s="25" t="s">
        <v>132</v>
      </c>
      <c r="K44" s="29">
        <f>-N47</f>
        <v>344097.63655695791</v>
      </c>
      <c r="N44" s="45">
        <v>0.06</v>
      </c>
      <c r="O44" s="25" t="s">
        <v>133</v>
      </c>
    </row>
    <row r="45" spans="8:24" x14ac:dyDescent="0.3">
      <c r="H45" s="25" t="s">
        <v>134</v>
      </c>
      <c r="L45" s="46">
        <f>K44</f>
        <v>344097.63655695791</v>
      </c>
      <c r="N45" s="25">
        <v>20</v>
      </c>
      <c r="O45" s="25" t="s">
        <v>135</v>
      </c>
    </row>
    <row r="46" spans="8:24" x14ac:dyDescent="0.3">
      <c r="N46" s="25">
        <v>30000</v>
      </c>
      <c r="O46" s="25" t="s">
        <v>136</v>
      </c>
    </row>
    <row r="47" spans="8:24" x14ac:dyDescent="0.3">
      <c r="N47" s="29">
        <f>PV(N44,N45,N46,N48)</f>
        <v>-344097.63655695791</v>
      </c>
      <c r="O47" s="25" t="s">
        <v>137</v>
      </c>
    </row>
    <row r="48" spans="8:24" x14ac:dyDescent="0.3">
      <c r="N48" s="25">
        <v>0</v>
      </c>
      <c r="O48" s="25" t="s">
        <v>138</v>
      </c>
    </row>
    <row r="50" spans="8:15" x14ac:dyDescent="0.3">
      <c r="K50" s="31" t="s">
        <v>27</v>
      </c>
      <c r="L50" s="31" t="s">
        <v>28</v>
      </c>
      <c r="N50" s="26" t="s">
        <v>139</v>
      </c>
      <c r="O50" s="26"/>
    </row>
    <row r="51" spans="8:15" x14ac:dyDescent="0.3">
      <c r="H51" s="25" t="s">
        <v>132</v>
      </c>
      <c r="K51" s="29">
        <f>K44*N51</f>
        <v>20645.858193417473</v>
      </c>
      <c r="L51" s="29"/>
      <c r="N51" s="45">
        <v>0.06</v>
      </c>
      <c r="O51" s="25" t="s">
        <v>133</v>
      </c>
    </row>
    <row r="52" spans="8:15" x14ac:dyDescent="0.3">
      <c r="H52" s="25" t="s">
        <v>134</v>
      </c>
      <c r="K52" s="29"/>
      <c r="L52" s="46">
        <f>K51</f>
        <v>20645.858193417473</v>
      </c>
      <c r="N52" s="25">
        <v>19</v>
      </c>
      <c r="O52" s="25" t="s">
        <v>135</v>
      </c>
    </row>
    <row r="53" spans="8:15" x14ac:dyDescent="0.3">
      <c r="N53" s="25">
        <v>30000</v>
      </c>
      <c r="O53" s="25" t="s">
        <v>136</v>
      </c>
    </row>
    <row r="54" spans="8:15" x14ac:dyDescent="0.3">
      <c r="H54" s="25" t="s">
        <v>140</v>
      </c>
      <c r="K54" s="42">
        <f>N53</f>
        <v>30000</v>
      </c>
      <c r="L54" s="29"/>
      <c r="N54" s="29">
        <f>PV(N51,N52,N53,N55)</f>
        <v>-334743.49475037534</v>
      </c>
      <c r="O54" s="25" t="s">
        <v>137</v>
      </c>
    </row>
    <row r="55" spans="8:15" x14ac:dyDescent="0.3">
      <c r="H55" s="25" t="s">
        <v>132</v>
      </c>
      <c r="K55" s="29"/>
      <c r="L55" s="29">
        <f>K54</f>
        <v>30000</v>
      </c>
      <c r="N55" s="25">
        <v>0</v>
      </c>
      <c r="O55" s="25" t="s">
        <v>138</v>
      </c>
    </row>
    <row r="57" spans="8:15" x14ac:dyDescent="0.3">
      <c r="H57" s="25" t="s">
        <v>134</v>
      </c>
      <c r="K57" s="29">
        <f>K54</f>
        <v>30000</v>
      </c>
    </row>
    <row r="58" spans="8:15" x14ac:dyDescent="0.3">
      <c r="H58" s="25" t="s">
        <v>141</v>
      </c>
      <c r="L58" s="47">
        <f>K57</f>
        <v>30000</v>
      </c>
    </row>
    <row r="60" spans="8:15" x14ac:dyDescent="0.3">
      <c r="H60" s="27" t="s">
        <v>142</v>
      </c>
      <c r="I60" s="27"/>
      <c r="J60" s="27"/>
      <c r="K60" s="27"/>
      <c r="L60" s="27"/>
      <c r="M60" s="27"/>
      <c r="N60" s="27"/>
      <c r="O60" s="27"/>
    </row>
    <row r="62" spans="8:15" x14ac:dyDescent="0.3">
      <c r="H62" s="25" t="s">
        <v>143</v>
      </c>
    </row>
    <row r="64" spans="8:15" x14ac:dyDescent="0.3">
      <c r="K64" s="31" t="s">
        <v>27</v>
      </c>
      <c r="L64" s="31" t="s">
        <v>28</v>
      </c>
    </row>
    <row r="65" spans="8:15" x14ac:dyDescent="0.3">
      <c r="H65" s="25" t="s">
        <v>31</v>
      </c>
      <c r="K65" s="29">
        <v>100000</v>
      </c>
      <c r="L65" s="29"/>
    </row>
    <row r="66" spans="8:15" x14ac:dyDescent="0.3">
      <c r="H66" s="25" t="s">
        <v>144</v>
      </c>
      <c r="K66" s="29"/>
      <c r="L66" s="46">
        <f>K65</f>
        <v>100000</v>
      </c>
    </row>
    <row r="68" spans="8:15" x14ac:dyDescent="0.3">
      <c r="H68" s="27" t="s">
        <v>145</v>
      </c>
      <c r="I68" s="27"/>
      <c r="J68" s="27"/>
      <c r="K68" s="27"/>
      <c r="L68" s="27"/>
      <c r="M68" s="27"/>
      <c r="N68" s="27"/>
      <c r="O68" s="27"/>
    </row>
    <row r="70" spans="8:15" x14ac:dyDescent="0.3">
      <c r="H70" s="25" t="s">
        <v>146</v>
      </c>
    </row>
    <row r="72" spans="8:15" x14ac:dyDescent="0.3">
      <c r="K72" s="31" t="s">
        <v>27</v>
      </c>
      <c r="L72" s="31" t="s">
        <v>28</v>
      </c>
    </row>
    <row r="73" spans="8:15" x14ac:dyDescent="0.3">
      <c r="H73" s="25" t="s">
        <v>147</v>
      </c>
      <c r="K73" s="48">
        <v>120000</v>
      </c>
      <c r="L73" s="29"/>
    </row>
    <row r="74" spans="8:15" x14ac:dyDescent="0.3">
      <c r="H74" s="25" t="s">
        <v>31</v>
      </c>
      <c r="K74" s="29"/>
      <c r="L74" s="29">
        <f>K73</f>
        <v>120000</v>
      </c>
    </row>
    <row r="76" spans="8:15" x14ac:dyDescent="0.3">
      <c r="H76" s="25" t="s">
        <v>148</v>
      </c>
    </row>
    <row r="77" spans="8:15" x14ac:dyDescent="0.3">
      <c r="H77" s="25" t="s">
        <v>149</v>
      </c>
    </row>
    <row r="78" spans="8:15" x14ac:dyDescent="0.3">
      <c r="H78" s="25" t="s">
        <v>150</v>
      </c>
    </row>
    <row r="80" spans="8:15" x14ac:dyDescent="0.3">
      <c r="K80" s="31" t="s">
        <v>27</v>
      </c>
      <c r="L80" s="31" t="s">
        <v>28</v>
      </c>
    </row>
    <row r="81" spans="8:15" x14ac:dyDescent="0.3">
      <c r="H81" s="25" t="s">
        <v>144</v>
      </c>
      <c r="K81" s="29">
        <f>K65</f>
        <v>100000</v>
      </c>
      <c r="L81" s="29"/>
    </row>
    <row r="82" spans="8:15" x14ac:dyDescent="0.3">
      <c r="H82" s="25" t="s">
        <v>141</v>
      </c>
      <c r="K82" s="29"/>
      <c r="L82" s="47">
        <f>K81</f>
        <v>100000</v>
      </c>
    </row>
    <row r="84" spans="8:15" x14ac:dyDescent="0.3">
      <c r="H84" s="27" t="s">
        <v>151</v>
      </c>
      <c r="I84" s="27"/>
      <c r="J84" s="27"/>
      <c r="K84" s="27"/>
      <c r="L84" s="27"/>
      <c r="M84" s="27"/>
      <c r="N84" s="27"/>
      <c r="O84" s="27"/>
    </row>
    <row r="86" spans="8:15" x14ac:dyDescent="0.3">
      <c r="H86" s="25" t="s">
        <v>152</v>
      </c>
    </row>
    <row r="87" spans="8:15" x14ac:dyDescent="0.3">
      <c r="H87" s="25" t="s">
        <v>153</v>
      </c>
    </row>
    <row r="88" spans="8:15" x14ac:dyDescent="0.3">
      <c r="H88" s="25" t="s">
        <v>154</v>
      </c>
    </row>
    <row r="89" spans="8:15" x14ac:dyDescent="0.3">
      <c r="H89" s="25" t="s">
        <v>155</v>
      </c>
    </row>
    <row r="90" spans="8:15" x14ac:dyDescent="0.3">
      <c r="H90" s="25" t="s">
        <v>156</v>
      </c>
    </row>
    <row r="91" spans="8:15" x14ac:dyDescent="0.3">
      <c r="H91" s="25" t="s">
        <v>157</v>
      </c>
    </row>
    <row r="92" spans="8:15" x14ac:dyDescent="0.3">
      <c r="H92" s="25" t="s">
        <v>158</v>
      </c>
    </row>
    <row r="93" spans="8:15" x14ac:dyDescent="0.3">
      <c r="H93" s="25" t="s">
        <v>159</v>
      </c>
    </row>
    <row r="94" spans="8:15" x14ac:dyDescent="0.3">
      <c r="H94" s="25" t="s">
        <v>160</v>
      </c>
    </row>
    <row r="96" spans="8:15" x14ac:dyDescent="0.3">
      <c r="H96" s="25" t="s">
        <v>161</v>
      </c>
    </row>
    <row r="97" spans="8:15" x14ac:dyDescent="0.3">
      <c r="H97" s="25" t="s">
        <v>162</v>
      </c>
    </row>
    <row r="98" spans="8:15" x14ac:dyDescent="0.3">
      <c r="H98" s="25" t="s">
        <v>163</v>
      </c>
    </row>
    <row r="99" spans="8:15" x14ac:dyDescent="0.3">
      <c r="H99" s="25" t="s">
        <v>164</v>
      </c>
    </row>
    <row r="101" spans="8:15" x14ac:dyDescent="0.3">
      <c r="K101" s="31" t="s">
        <v>27</v>
      </c>
      <c r="L101" s="31" t="s">
        <v>28</v>
      </c>
    </row>
    <row r="102" spans="8:15" x14ac:dyDescent="0.3">
      <c r="H102" s="25" t="s">
        <v>132</v>
      </c>
      <c r="K102" s="29">
        <v>150000</v>
      </c>
      <c r="L102" s="29"/>
    </row>
    <row r="103" spans="8:15" x14ac:dyDescent="0.3">
      <c r="H103" s="25" t="s">
        <v>91</v>
      </c>
      <c r="K103" s="29"/>
      <c r="L103" s="34">
        <f>K102</f>
        <v>150000</v>
      </c>
    </row>
    <row r="105" spans="8:15" x14ac:dyDescent="0.3">
      <c r="H105" s="27" t="s">
        <v>165</v>
      </c>
      <c r="I105" s="27"/>
      <c r="J105" s="27"/>
      <c r="K105" s="27"/>
      <c r="L105" s="27"/>
      <c r="M105" s="27"/>
      <c r="N105" s="27"/>
      <c r="O105" s="27"/>
    </row>
    <row r="107" spans="8:15" x14ac:dyDescent="0.3">
      <c r="H107" s="25" t="s">
        <v>166</v>
      </c>
    </row>
    <row r="108" spans="8:15" x14ac:dyDescent="0.3">
      <c r="H108" s="25" t="s">
        <v>167</v>
      </c>
    </row>
    <row r="109" spans="8:15" x14ac:dyDescent="0.3">
      <c r="H109" s="25" t="s">
        <v>168</v>
      </c>
    </row>
    <row r="110" spans="8:15" x14ac:dyDescent="0.3">
      <c r="H110" s="25" t="s">
        <v>169</v>
      </c>
    </row>
    <row r="111" spans="8:15" x14ac:dyDescent="0.3">
      <c r="H111" s="25" t="s">
        <v>170</v>
      </c>
    </row>
    <row r="113" spans="8:15" x14ac:dyDescent="0.3">
      <c r="H113" s="25" t="s">
        <v>171</v>
      </c>
      <c r="J113" s="29">
        <v>100000</v>
      </c>
    </row>
    <row r="114" spans="8:15" x14ac:dyDescent="0.3">
      <c r="H114" s="25" t="s">
        <v>172</v>
      </c>
      <c r="J114" s="29">
        <f>2*J113</f>
        <v>200000</v>
      </c>
      <c r="M114" s="25" t="s">
        <v>173</v>
      </c>
    </row>
    <row r="115" spans="8:15" x14ac:dyDescent="0.3">
      <c r="H115" s="25" t="s">
        <v>174</v>
      </c>
      <c r="J115" s="29">
        <f>J113+J114</f>
        <v>300000</v>
      </c>
    </row>
    <row r="117" spans="8:15" x14ac:dyDescent="0.3">
      <c r="K117" s="31" t="s">
        <v>27</v>
      </c>
      <c r="L117" s="31" t="s">
        <v>28</v>
      </c>
    </row>
    <row r="118" spans="8:15" x14ac:dyDescent="0.3">
      <c r="H118" s="25" t="s">
        <v>31</v>
      </c>
      <c r="K118" s="29">
        <f>J113</f>
        <v>100000</v>
      </c>
      <c r="L118" s="29"/>
    </row>
    <row r="119" spans="8:15" x14ac:dyDescent="0.3">
      <c r="H119" s="25" t="s">
        <v>175</v>
      </c>
      <c r="K119" s="29"/>
      <c r="L119" s="46">
        <f>K118</f>
        <v>100000</v>
      </c>
    </row>
    <row r="121" spans="8:15" x14ac:dyDescent="0.3">
      <c r="K121" s="31" t="s">
        <v>27</v>
      </c>
      <c r="L121" s="31" t="s">
        <v>28</v>
      </c>
    </row>
    <row r="122" spans="8:15" x14ac:dyDescent="0.3">
      <c r="H122" s="25" t="s">
        <v>132</v>
      </c>
      <c r="K122" s="29">
        <f>J114</f>
        <v>200000</v>
      </c>
      <c r="L122" s="29"/>
    </row>
    <row r="123" spans="8:15" x14ac:dyDescent="0.3">
      <c r="H123" s="25" t="s">
        <v>175</v>
      </c>
      <c r="K123" s="29"/>
      <c r="L123" s="46">
        <f>K122</f>
        <v>200000</v>
      </c>
    </row>
    <row r="125" spans="8:15" x14ac:dyDescent="0.3">
      <c r="H125" s="27" t="s">
        <v>176</v>
      </c>
      <c r="I125" s="27"/>
      <c r="J125" s="27"/>
      <c r="K125" s="27"/>
      <c r="L125" s="27"/>
      <c r="M125" s="27"/>
      <c r="N125" s="27"/>
      <c r="O125" s="27"/>
    </row>
    <row r="126" spans="8:15" x14ac:dyDescent="0.3">
      <c r="H126" s="25" t="s">
        <v>177</v>
      </c>
    </row>
    <row r="127" spans="8:15" x14ac:dyDescent="0.3">
      <c r="H127" s="25" t="s">
        <v>178</v>
      </c>
    </row>
    <row r="128" spans="8:15" x14ac:dyDescent="0.3">
      <c r="H128" s="25" t="s">
        <v>179</v>
      </c>
    </row>
    <row r="129" spans="8:15" x14ac:dyDescent="0.3">
      <c r="H129" s="25" t="s">
        <v>180</v>
      </c>
    </row>
    <row r="130" spans="8:15" x14ac:dyDescent="0.3">
      <c r="H130" s="25" t="s">
        <v>181</v>
      </c>
    </row>
    <row r="131" spans="8:15" x14ac:dyDescent="0.3">
      <c r="H131" s="25" t="s">
        <v>182</v>
      </c>
    </row>
    <row r="133" spans="8:15" x14ac:dyDescent="0.3">
      <c r="K133" s="31" t="s">
        <v>27</v>
      </c>
      <c r="L133" s="31" t="s">
        <v>28</v>
      </c>
    </row>
    <row r="134" spans="8:15" x14ac:dyDescent="0.3">
      <c r="H134" s="25" t="s">
        <v>183</v>
      </c>
      <c r="K134" s="29">
        <v>600000</v>
      </c>
      <c r="L134" s="29"/>
    </row>
    <row r="135" spans="8:15" x14ac:dyDescent="0.3">
      <c r="H135" s="25" t="s">
        <v>184</v>
      </c>
      <c r="K135" s="29"/>
      <c r="L135" s="49">
        <f>K134</f>
        <v>600000</v>
      </c>
    </row>
    <row r="137" spans="8:15" x14ac:dyDescent="0.3">
      <c r="K137" s="31" t="s">
        <v>27</v>
      </c>
      <c r="L137" s="31" t="s">
        <v>28</v>
      </c>
    </row>
    <row r="138" spans="8:15" x14ac:dyDescent="0.3">
      <c r="H138" s="25" t="s">
        <v>103</v>
      </c>
      <c r="K138" s="29">
        <f>K134</f>
        <v>600000</v>
      </c>
    </row>
    <row r="139" spans="8:15" x14ac:dyDescent="0.3">
      <c r="H139" s="25" t="s">
        <v>105</v>
      </c>
      <c r="L139" s="29">
        <f>K138</f>
        <v>600000</v>
      </c>
    </row>
    <row r="141" spans="8:15" x14ac:dyDescent="0.3">
      <c r="H141" s="27" t="s">
        <v>185</v>
      </c>
      <c r="I141" s="27"/>
      <c r="J141" s="27"/>
      <c r="K141" s="27"/>
      <c r="L141" s="27"/>
      <c r="M141" s="27"/>
      <c r="N141" s="27"/>
      <c r="O141" s="27"/>
    </row>
    <row r="143" spans="8:15" x14ac:dyDescent="0.3">
      <c r="H143" s="25" t="s">
        <v>186</v>
      </c>
    </row>
    <row r="144" spans="8:15" x14ac:dyDescent="0.3">
      <c r="H144" s="25" t="s">
        <v>187</v>
      </c>
    </row>
    <row r="147" spans="8:12" x14ac:dyDescent="0.3">
      <c r="H147" s="25" t="s">
        <v>188</v>
      </c>
      <c r="K147" s="31" t="s">
        <v>27</v>
      </c>
      <c r="L147" s="31" t="s">
        <v>28</v>
      </c>
    </row>
    <row r="148" spans="8:12" x14ac:dyDescent="0.3">
      <c r="H148" s="25" t="s">
        <v>147</v>
      </c>
      <c r="K148" s="48">
        <v>300000</v>
      </c>
      <c r="L148" s="29"/>
    </row>
    <row r="149" spans="8:12" x14ac:dyDescent="0.3">
      <c r="H149" s="25" t="s">
        <v>31</v>
      </c>
      <c r="K149" s="29"/>
      <c r="L149" s="29">
        <f>K148*0.7</f>
        <v>210000</v>
      </c>
    </row>
    <row r="150" spans="8:12" x14ac:dyDescent="0.3">
      <c r="H150" s="25" t="s">
        <v>189</v>
      </c>
      <c r="L150" s="49">
        <v>90000</v>
      </c>
    </row>
    <row r="152" spans="8:12" x14ac:dyDescent="0.3">
      <c r="H152" s="25" t="s">
        <v>190</v>
      </c>
      <c r="K152" s="31" t="s">
        <v>27</v>
      </c>
      <c r="L152" s="31" t="s">
        <v>28</v>
      </c>
    </row>
    <row r="153" spans="8:12" x14ac:dyDescent="0.3">
      <c r="H153" s="25" t="s">
        <v>147</v>
      </c>
      <c r="K153" s="29">
        <f>300000/0.7</f>
        <v>428571.42857142858</v>
      </c>
      <c r="L153" s="29"/>
    </row>
    <row r="154" spans="8:12" x14ac:dyDescent="0.3">
      <c r="H154" s="25" t="s">
        <v>31</v>
      </c>
      <c r="K154" s="29"/>
      <c r="L154" s="29">
        <f>K153*0.7</f>
        <v>300000</v>
      </c>
    </row>
    <row r="155" spans="8:12" x14ac:dyDescent="0.3">
      <c r="H155" s="25" t="s">
        <v>189</v>
      </c>
      <c r="L155" s="29">
        <f>K153-L154</f>
        <v>128571.42857142858</v>
      </c>
    </row>
    <row r="157" spans="8:12" x14ac:dyDescent="0.3">
      <c r="H157" s="25" t="s">
        <v>191</v>
      </c>
    </row>
    <row r="158" spans="8:12" x14ac:dyDescent="0.3">
      <c r="H158" s="25" t="s">
        <v>192</v>
      </c>
    </row>
    <row r="160" spans="8:12" x14ac:dyDescent="0.3">
      <c r="H160" s="25" t="s">
        <v>193</v>
      </c>
    </row>
    <row r="161" spans="8:15" x14ac:dyDescent="0.3">
      <c r="H161" s="25" t="s">
        <v>194</v>
      </c>
    </row>
    <row r="162" spans="8:15" x14ac:dyDescent="0.3">
      <c r="H162" s="25" t="s">
        <v>195</v>
      </c>
    </row>
    <row r="164" spans="8:15" x14ac:dyDescent="0.3">
      <c r="H164" s="27" t="s">
        <v>196</v>
      </c>
      <c r="I164" s="27"/>
      <c r="J164" s="27"/>
      <c r="K164" s="27"/>
      <c r="L164" s="27"/>
      <c r="M164" s="27"/>
      <c r="N164" s="27"/>
      <c r="O164" s="27"/>
    </row>
    <row r="166" spans="8:15" x14ac:dyDescent="0.3">
      <c r="K166" s="31" t="s">
        <v>27</v>
      </c>
      <c r="L166" s="31" t="s">
        <v>28</v>
      </c>
    </row>
    <row r="167" spans="8:15" x14ac:dyDescent="0.3">
      <c r="H167" s="25" t="s">
        <v>197</v>
      </c>
      <c r="K167" s="42">
        <v>10000</v>
      </c>
      <c r="L167" s="29"/>
    </row>
    <row r="168" spans="8:15" x14ac:dyDescent="0.3">
      <c r="H168" s="25" t="s">
        <v>198</v>
      </c>
      <c r="K168" s="29"/>
      <c r="L168" s="50">
        <f>K167</f>
        <v>10000</v>
      </c>
    </row>
    <row r="170" spans="8:15" x14ac:dyDescent="0.3">
      <c r="H170" s="27" t="s">
        <v>199</v>
      </c>
      <c r="I170" s="27"/>
      <c r="J170" s="27"/>
      <c r="K170" s="27"/>
      <c r="L170" s="27"/>
      <c r="M170" s="27"/>
      <c r="N170" s="27"/>
      <c r="O170" s="27"/>
    </row>
    <row r="172" spans="8:15" x14ac:dyDescent="0.3">
      <c r="H172" s="25" t="s">
        <v>200</v>
      </c>
    </row>
    <row r="174" spans="8:15" x14ac:dyDescent="0.3">
      <c r="K174" s="31" t="s">
        <v>27</v>
      </c>
      <c r="L174" s="31" t="s">
        <v>28</v>
      </c>
    </row>
    <row r="175" spans="8:15" x14ac:dyDescent="0.3">
      <c r="H175" s="25" t="s">
        <v>132</v>
      </c>
      <c r="K175" s="29">
        <v>90000</v>
      </c>
    </row>
    <row r="176" spans="8:15" x14ac:dyDescent="0.3">
      <c r="H176" s="25" t="s">
        <v>91</v>
      </c>
      <c r="L176" s="34">
        <f>K175</f>
        <v>90000</v>
      </c>
    </row>
    <row r="178" spans="8:15" x14ac:dyDescent="0.3">
      <c r="H178" s="27" t="s">
        <v>201</v>
      </c>
      <c r="I178" s="27"/>
      <c r="J178" s="27"/>
      <c r="K178" s="27"/>
      <c r="L178" s="27"/>
      <c r="M178" s="27"/>
      <c r="N178" s="27"/>
      <c r="O178" s="27"/>
    </row>
    <row r="179" spans="8:15" x14ac:dyDescent="0.3">
      <c r="H179" s="25" t="s">
        <v>202</v>
      </c>
    </row>
    <row r="180" spans="8:15" x14ac:dyDescent="0.3">
      <c r="H180" s="25" t="s">
        <v>203</v>
      </c>
    </row>
    <row r="182" spans="8:15" x14ac:dyDescent="0.3">
      <c r="K182" s="31" t="s">
        <v>27</v>
      </c>
      <c r="L182" s="31" t="s">
        <v>28</v>
      </c>
    </row>
    <row r="183" spans="8:15" x14ac:dyDescent="0.3">
      <c r="H183" s="25" t="s">
        <v>31</v>
      </c>
      <c r="K183" s="29">
        <v>360000</v>
      </c>
    </row>
    <row r="184" spans="8:15" x14ac:dyDescent="0.3">
      <c r="H184" s="25" t="s">
        <v>134</v>
      </c>
      <c r="L184" s="46">
        <f>K183</f>
        <v>360000</v>
      </c>
    </row>
    <row r="186" spans="8:15" x14ac:dyDescent="0.3">
      <c r="H186" s="25" t="s">
        <v>204</v>
      </c>
    </row>
    <row r="188" spans="8:15" x14ac:dyDescent="0.3">
      <c r="K188" s="31" t="s">
        <v>27</v>
      </c>
      <c r="L188" s="31" t="s">
        <v>28</v>
      </c>
    </row>
    <row r="189" spans="8:15" x14ac:dyDescent="0.3">
      <c r="H189" s="25" t="s">
        <v>134</v>
      </c>
      <c r="K189" s="29">
        <f>360000*2/12</f>
        <v>60000</v>
      </c>
    </row>
    <row r="190" spans="8:15" x14ac:dyDescent="0.3">
      <c r="H190" s="25" t="s">
        <v>205</v>
      </c>
      <c r="L190" s="47">
        <f>K189</f>
        <v>60000</v>
      </c>
    </row>
    <row r="192" spans="8:15" x14ac:dyDescent="0.3">
      <c r="H192" s="27" t="s">
        <v>206</v>
      </c>
      <c r="I192" s="27"/>
      <c r="J192" s="27"/>
      <c r="K192" s="27"/>
      <c r="L192" s="27"/>
      <c r="M192" s="27"/>
      <c r="N192" s="27"/>
      <c r="O192" s="27"/>
    </row>
    <row r="194" spans="8:15" x14ac:dyDescent="0.3">
      <c r="K194" s="31" t="s">
        <v>27</v>
      </c>
      <c r="L194" s="31" t="s">
        <v>28</v>
      </c>
      <c r="N194" s="45">
        <v>0.1</v>
      </c>
      <c r="O194" s="25" t="s">
        <v>133</v>
      </c>
    </row>
    <row r="195" spans="8:15" x14ac:dyDescent="0.3">
      <c r="H195" s="25" t="s">
        <v>207</v>
      </c>
      <c r="K195" s="29">
        <v>400000</v>
      </c>
      <c r="N195" s="25">
        <v>15</v>
      </c>
      <c r="O195" s="25" t="s">
        <v>135</v>
      </c>
    </row>
    <row r="196" spans="8:15" x14ac:dyDescent="0.3">
      <c r="H196" s="25" t="s">
        <v>208</v>
      </c>
      <c r="L196" s="29">
        <f>N196</f>
        <v>76060.795063083657</v>
      </c>
      <c r="N196" s="51">
        <f>PV(N194,N195,N197,N198)</f>
        <v>76060.795063083657</v>
      </c>
      <c r="O196" s="25" t="s">
        <v>137</v>
      </c>
    </row>
    <row r="197" spans="8:15" x14ac:dyDescent="0.3">
      <c r="H197" s="25" t="s">
        <v>209</v>
      </c>
      <c r="L197" s="49">
        <f>K195-L196</f>
        <v>323939.20493691636</v>
      </c>
      <c r="N197" s="25">
        <v>-10000</v>
      </c>
      <c r="O197" s="25" t="s">
        <v>136</v>
      </c>
    </row>
    <row r="198" spans="8:15" x14ac:dyDescent="0.3">
      <c r="N198" s="25">
        <v>0</v>
      </c>
      <c r="O198" s="25" t="s">
        <v>138</v>
      </c>
    </row>
    <row r="199" spans="8:15" x14ac:dyDescent="0.3">
      <c r="K199" s="31" t="s">
        <v>27</v>
      </c>
      <c r="L199" s="31" t="s">
        <v>28</v>
      </c>
    </row>
    <row r="200" spans="8:15" x14ac:dyDescent="0.3">
      <c r="H200" s="25" t="s">
        <v>103</v>
      </c>
      <c r="K200" s="29">
        <f>K195</f>
        <v>400000</v>
      </c>
    </row>
    <row r="201" spans="8:15" x14ac:dyDescent="0.3">
      <c r="H201" s="25" t="s">
        <v>105</v>
      </c>
      <c r="L201" s="29">
        <f>K200</f>
        <v>400000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B5201-4786-460F-A3CA-5D53C0D25085}">
  <dimension ref="M2:U44"/>
  <sheetViews>
    <sheetView rightToLeft="1" workbookViewId="0">
      <selection activeCell="B44" sqref="B44"/>
    </sheetView>
  </sheetViews>
  <sheetFormatPr defaultColWidth="8.69921875" defaultRowHeight="13.8" x14ac:dyDescent="0.25"/>
  <cols>
    <col min="1" max="13" width="8.69921875" style="1"/>
    <col min="14" max="14" width="20.19921875" style="1" customWidth="1"/>
    <col min="15" max="15" width="19.3984375" style="1" customWidth="1"/>
    <col min="16" max="17" width="8.69921875" style="1"/>
    <col min="18" max="18" width="10.09765625" style="1" bestFit="1" customWidth="1"/>
    <col min="19" max="16384" width="8.69921875" style="1"/>
  </cols>
  <sheetData>
    <row r="2" spans="13:21" x14ac:dyDescent="0.25">
      <c r="O2" s="1" t="s">
        <v>8</v>
      </c>
    </row>
    <row r="3" spans="13:21" x14ac:dyDescent="0.25">
      <c r="M3" s="1" t="s">
        <v>3</v>
      </c>
      <c r="N3" s="1" t="s">
        <v>2</v>
      </c>
      <c r="O3" s="1">
        <f>800000*12/12</f>
        <v>800000</v>
      </c>
    </row>
    <row r="4" spans="13:21" x14ac:dyDescent="0.25">
      <c r="M4" s="1" t="s">
        <v>4</v>
      </c>
      <c r="N4" s="1" t="s">
        <v>2</v>
      </c>
      <c r="O4" s="1">
        <f>280000*7/12</f>
        <v>163333.33333333334</v>
      </c>
      <c r="R4" s="2" t="s">
        <v>7</v>
      </c>
    </row>
    <row r="5" spans="13:21" x14ac:dyDescent="0.25">
      <c r="M5" s="1" t="s">
        <v>5</v>
      </c>
      <c r="N5" s="1" t="s">
        <v>2</v>
      </c>
      <c r="O5" s="1">
        <f>320000*5/12</f>
        <v>133333.33333333334</v>
      </c>
      <c r="R5" s="1" t="s">
        <v>0</v>
      </c>
      <c r="U5" s="1">
        <v>25000</v>
      </c>
    </row>
    <row r="6" spans="13:21" x14ac:dyDescent="0.25">
      <c r="M6" s="1" t="s">
        <v>6</v>
      </c>
      <c r="N6" s="1" t="s">
        <v>2</v>
      </c>
      <c r="O6" s="1">
        <f>400000*0/12</f>
        <v>0</v>
      </c>
      <c r="R6" s="1" t="s">
        <v>1</v>
      </c>
      <c r="U6" s="1">
        <f>800000*70%*12/12</f>
        <v>560000</v>
      </c>
    </row>
    <row r="7" spans="13:21" x14ac:dyDescent="0.25">
      <c r="N7" s="1" t="s">
        <v>16</v>
      </c>
      <c r="O7" s="1">
        <f>-180000*2/12</f>
        <v>-30000</v>
      </c>
    </row>
    <row r="8" spans="13:21" x14ac:dyDescent="0.25">
      <c r="N8" s="1" t="s">
        <v>21</v>
      </c>
      <c r="O8" s="1">
        <f>-90000*0.0833333333333333</f>
        <v>-7499.9999999999973</v>
      </c>
    </row>
    <row r="9" spans="13:21" ht="13.2" customHeight="1" x14ac:dyDescent="0.25">
      <c r="N9" s="1" t="s">
        <v>1</v>
      </c>
      <c r="O9" s="1">
        <f>-U6</f>
        <v>-560000</v>
      </c>
    </row>
    <row r="10" spans="13:21" x14ac:dyDescent="0.25">
      <c r="N10" s="3" t="s">
        <v>9</v>
      </c>
      <c r="O10" s="3">
        <f>SUM(O3:O9)</f>
        <v>499166.66666666674</v>
      </c>
    </row>
    <row r="12" spans="13:21" x14ac:dyDescent="0.25">
      <c r="R12" s="2" t="s">
        <v>10</v>
      </c>
    </row>
    <row r="13" spans="13:21" x14ac:dyDescent="0.25">
      <c r="O13" s="1" t="s">
        <v>14</v>
      </c>
      <c r="Q13" s="1" t="s">
        <v>3</v>
      </c>
      <c r="R13" s="1">
        <v>-1000000</v>
      </c>
    </row>
    <row r="14" spans="13:21" x14ac:dyDescent="0.25">
      <c r="Q14" s="1" t="s">
        <v>11</v>
      </c>
      <c r="R14" s="1">
        <f>R13*10%</f>
        <v>-100000</v>
      </c>
    </row>
    <row r="15" spans="13:21" x14ac:dyDescent="0.25">
      <c r="Q15" s="1" t="s">
        <v>12</v>
      </c>
      <c r="R15" s="1">
        <f>-R14</f>
        <v>100000</v>
      </c>
    </row>
    <row r="16" spans="13:21" x14ac:dyDescent="0.25">
      <c r="Q16" s="1" t="s">
        <v>6</v>
      </c>
      <c r="R16" s="1">
        <f>SUM(R13:R15)</f>
        <v>-1000000</v>
      </c>
    </row>
    <row r="18" spans="15:20" x14ac:dyDescent="0.25">
      <c r="Q18" s="1" t="s">
        <v>13</v>
      </c>
      <c r="T18" s="1">
        <f>-R14</f>
        <v>100000</v>
      </c>
    </row>
    <row r="19" spans="15:20" x14ac:dyDescent="0.25">
      <c r="Q19" s="1" t="s">
        <v>9</v>
      </c>
      <c r="T19" s="1">
        <f>-R13</f>
        <v>1000000</v>
      </c>
    </row>
    <row r="23" spans="15:20" x14ac:dyDescent="0.25">
      <c r="O23" s="1" t="s">
        <v>15</v>
      </c>
      <c r="Q23" s="1" t="s">
        <v>17</v>
      </c>
      <c r="R23" s="1">
        <v>-500000</v>
      </c>
    </row>
    <row r="24" spans="15:20" x14ac:dyDescent="0.25">
      <c r="Q24" s="1" t="s">
        <v>11</v>
      </c>
      <c r="R24" s="1">
        <f>R23*15%*6/12</f>
        <v>-37500</v>
      </c>
    </row>
    <row r="25" spans="15:20" x14ac:dyDescent="0.25">
      <c r="Q25" s="1" t="s">
        <v>12</v>
      </c>
      <c r="R25" s="1">
        <v>0</v>
      </c>
    </row>
    <row r="26" spans="15:20" x14ac:dyDescent="0.25">
      <c r="Q26" s="1" t="s">
        <v>6</v>
      </c>
      <c r="R26" s="1">
        <f>SUM(R23:R25)</f>
        <v>-537500</v>
      </c>
    </row>
    <row r="28" spans="15:20" x14ac:dyDescent="0.25">
      <c r="Q28" s="1" t="s">
        <v>13</v>
      </c>
      <c r="T28" s="1">
        <f>-R24</f>
        <v>37500</v>
      </c>
    </row>
    <row r="29" spans="15:20" x14ac:dyDescent="0.25">
      <c r="Q29" s="1" t="s">
        <v>9</v>
      </c>
      <c r="T29" s="1">
        <f>-R23*6/12</f>
        <v>250000</v>
      </c>
    </row>
    <row r="33" spans="15:17" x14ac:dyDescent="0.25">
      <c r="O33" s="1" t="s">
        <v>18</v>
      </c>
      <c r="Q33" s="4">
        <f>(T18+T28)/(T19+T29)</f>
        <v>0.11</v>
      </c>
    </row>
    <row r="35" spans="15:17" x14ac:dyDescent="0.25">
      <c r="O35" s="1" t="s">
        <v>13</v>
      </c>
      <c r="Q35" s="1">
        <f>T28+T18</f>
        <v>137500</v>
      </c>
    </row>
    <row r="36" spans="15:17" x14ac:dyDescent="0.25">
      <c r="O36" s="1" t="s">
        <v>20</v>
      </c>
      <c r="Q36" s="1">
        <f>O10*Q33</f>
        <v>54908.333333333343</v>
      </c>
    </row>
    <row r="39" spans="15:17" x14ac:dyDescent="0.25">
      <c r="O39" s="1" t="s">
        <v>22</v>
      </c>
    </row>
    <row r="40" spans="15:17" x14ac:dyDescent="0.25">
      <c r="O40" s="1" t="s">
        <v>23</v>
      </c>
      <c r="P40" s="1">
        <f>800000+280000+320000+400000</f>
        <v>1800000</v>
      </c>
    </row>
    <row r="41" spans="15:17" x14ac:dyDescent="0.25">
      <c r="O41" s="6" t="s">
        <v>24</v>
      </c>
      <c r="P41" s="6">
        <f>U5</f>
        <v>25000</v>
      </c>
    </row>
    <row r="42" spans="15:17" x14ac:dyDescent="0.25">
      <c r="O42" s="6" t="s">
        <v>19</v>
      </c>
      <c r="P42" s="6">
        <f>Q36</f>
        <v>54908.333333333343</v>
      </c>
    </row>
    <row r="43" spans="15:17" x14ac:dyDescent="0.25">
      <c r="O43" s="1" t="s">
        <v>16</v>
      </c>
      <c r="P43" s="1">
        <v>-180000</v>
      </c>
    </row>
    <row r="44" spans="15:17" x14ac:dyDescent="0.25">
      <c r="O44" s="5" t="s">
        <v>25</v>
      </c>
      <c r="P44" s="5">
        <f>SUM(P40:P43)</f>
        <v>1699908.3333333333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80D6-7D50-4ED8-B5FE-E068DCAA4E82}">
  <dimension ref="M2:T33"/>
  <sheetViews>
    <sheetView rightToLeft="1" topLeftCell="H1" workbookViewId="0">
      <selection activeCell="P16" sqref="P16:T21"/>
    </sheetView>
  </sheetViews>
  <sheetFormatPr defaultColWidth="8.69921875" defaultRowHeight="13.8" x14ac:dyDescent="0.25"/>
  <cols>
    <col min="1" max="12" width="8.69921875" style="1"/>
    <col min="13" max="13" width="12" style="1" customWidth="1"/>
    <col min="14" max="14" width="20.19921875" style="1" customWidth="1"/>
    <col min="15" max="15" width="19.3984375" style="1" customWidth="1"/>
    <col min="16" max="16" width="11.8984375" style="1" customWidth="1"/>
    <col min="17" max="17" width="15.59765625" style="1" bestFit="1" customWidth="1"/>
    <col min="18" max="18" width="10.09765625" style="1" bestFit="1" customWidth="1"/>
    <col min="19" max="16384" width="8.69921875" style="1"/>
  </cols>
  <sheetData>
    <row r="2" spans="13:20" x14ac:dyDescent="0.25">
      <c r="P2" s="1" t="s">
        <v>26</v>
      </c>
    </row>
    <row r="3" spans="13:20" x14ac:dyDescent="0.25">
      <c r="R3" s="1" t="s">
        <v>27</v>
      </c>
      <c r="S3" s="1" t="s">
        <v>28</v>
      </c>
    </row>
    <row r="4" spans="13:20" x14ac:dyDescent="0.25">
      <c r="Q4" s="1" t="s">
        <v>29</v>
      </c>
      <c r="R4" s="2"/>
      <c r="S4" s="1">
        <f>PV(7%,5,-100000,-30000,1)</f>
        <v>460110.71103090275</v>
      </c>
    </row>
    <row r="5" spans="13:20" x14ac:dyDescent="0.25">
      <c r="Q5" s="1" t="s">
        <v>30</v>
      </c>
      <c r="R5" s="1">
        <f>S4+S6-5000</f>
        <v>464110.71103090275</v>
      </c>
    </row>
    <row r="6" spans="13:20" x14ac:dyDescent="0.25">
      <c r="Q6" s="1" t="s">
        <v>31</v>
      </c>
      <c r="S6" s="1">
        <v>9000</v>
      </c>
    </row>
    <row r="7" spans="13:20" ht="14.4" thickBot="1" x14ac:dyDescent="0.3"/>
    <row r="8" spans="13:20" x14ac:dyDescent="0.25">
      <c r="N8" s="1" t="s">
        <v>32</v>
      </c>
      <c r="P8" s="53"/>
      <c r="Q8" s="10" t="s">
        <v>36</v>
      </c>
      <c r="R8" s="10"/>
      <c r="S8" s="10"/>
      <c r="T8" s="54"/>
    </row>
    <row r="9" spans="13:20" ht="13.2" customHeight="1" x14ac:dyDescent="0.25">
      <c r="M9" s="1" t="s">
        <v>3</v>
      </c>
      <c r="N9" s="1">
        <f>-S4</f>
        <v>-460110.71103090275</v>
      </c>
      <c r="P9" s="55"/>
      <c r="Q9" s="56" t="s">
        <v>6</v>
      </c>
      <c r="R9" s="56" t="s">
        <v>33</v>
      </c>
      <c r="S9" s="56" t="s">
        <v>34</v>
      </c>
      <c r="T9" s="57" t="s">
        <v>35</v>
      </c>
    </row>
    <row r="10" spans="13:20" x14ac:dyDescent="0.25">
      <c r="M10" s="1" t="s">
        <v>12</v>
      </c>
      <c r="N10" s="1">
        <v>100000</v>
      </c>
      <c r="P10" s="55" t="s">
        <v>23</v>
      </c>
      <c r="Q10" s="56">
        <f>$R$5</f>
        <v>464110.71103090275</v>
      </c>
      <c r="R10" s="56">
        <f t="shared" ref="R10:T10" si="0">$R$5</f>
        <v>464110.71103090275</v>
      </c>
      <c r="S10" s="56">
        <f t="shared" si="0"/>
        <v>464110.71103090275</v>
      </c>
      <c r="T10" s="57">
        <f t="shared" si="0"/>
        <v>464110.71103090275</v>
      </c>
    </row>
    <row r="11" spans="13:20" x14ac:dyDescent="0.25">
      <c r="M11" s="1" t="s">
        <v>11</v>
      </c>
      <c r="N11" s="1">
        <f>(N9+N10)*7%</f>
        <v>-25207.749772163195</v>
      </c>
      <c r="P11" s="55" t="s">
        <v>37</v>
      </c>
      <c r="Q11" s="56">
        <f>-Q10/8</f>
        <v>-58013.838878862844</v>
      </c>
      <c r="R11" s="56">
        <f>-R10/8*2</f>
        <v>-116027.67775772569</v>
      </c>
      <c r="S11" s="56">
        <f>-S10/8*3</f>
        <v>-174041.51663658852</v>
      </c>
      <c r="T11" s="57">
        <f>-T10/8*4</f>
        <v>-232055.35551545137</v>
      </c>
    </row>
    <row r="12" spans="13:20" x14ac:dyDescent="0.25">
      <c r="M12" s="1" t="s">
        <v>6</v>
      </c>
      <c r="N12" s="1">
        <f>SUM(N9:N11)</f>
        <v>-385318.46080306591</v>
      </c>
      <c r="P12" s="55" t="s">
        <v>38</v>
      </c>
      <c r="Q12" s="56">
        <f>SUM(Q10:Q11)</f>
        <v>406096.8721520399</v>
      </c>
      <c r="R12" s="56">
        <f t="shared" ref="R12:T12" si="1">SUM(R10:R11)</f>
        <v>348083.03327317705</v>
      </c>
      <c r="S12" s="56">
        <f t="shared" si="1"/>
        <v>290069.1943943142</v>
      </c>
      <c r="T12" s="57">
        <f t="shared" si="1"/>
        <v>232055.35551545137</v>
      </c>
    </row>
    <row r="13" spans="13:20" x14ac:dyDescent="0.25">
      <c r="M13" s="1" t="s">
        <v>12</v>
      </c>
      <c r="N13" s="1">
        <v>100000</v>
      </c>
      <c r="P13" s="55"/>
      <c r="Q13" s="56"/>
      <c r="R13" s="56"/>
      <c r="S13" s="56"/>
      <c r="T13" s="57"/>
    </row>
    <row r="14" spans="13:20" ht="14.4" thickBot="1" x14ac:dyDescent="0.3">
      <c r="M14" s="1" t="s">
        <v>11</v>
      </c>
      <c r="N14" s="1">
        <f>(N12+N13)*7%</f>
        <v>-19972.292256214616</v>
      </c>
      <c r="P14" s="58" t="s">
        <v>210</v>
      </c>
      <c r="Q14" s="11">
        <f>-$Q$11</f>
        <v>58013.838878862844</v>
      </c>
      <c r="R14" s="11">
        <f t="shared" ref="R14:T14" si="2">-$Q$11</f>
        <v>58013.838878862844</v>
      </c>
      <c r="S14" s="11">
        <f t="shared" si="2"/>
        <v>58013.838878862844</v>
      </c>
      <c r="T14" s="59">
        <f t="shared" si="2"/>
        <v>58013.838878862844</v>
      </c>
    </row>
    <row r="15" spans="13:20" ht="14.4" thickBot="1" x14ac:dyDescent="0.3">
      <c r="M15" s="1" t="s">
        <v>33</v>
      </c>
      <c r="N15" s="1">
        <f>SUM(N12:N14)</f>
        <v>-305290.75305928051</v>
      </c>
    </row>
    <row r="16" spans="13:20" x14ac:dyDescent="0.25">
      <c r="M16" s="1" t="s">
        <v>12</v>
      </c>
      <c r="N16" s="1">
        <f>N13</f>
        <v>100000</v>
      </c>
      <c r="P16" s="53"/>
      <c r="Q16" s="60" t="s">
        <v>211</v>
      </c>
      <c r="R16" s="10"/>
      <c r="S16" s="10"/>
      <c r="T16" s="54"/>
    </row>
    <row r="17" spans="13:20" x14ac:dyDescent="0.25">
      <c r="M17" s="1" t="s">
        <v>11</v>
      </c>
      <c r="N17" s="1">
        <f>(N15+N16)*7%</f>
        <v>-14370.352714149638</v>
      </c>
      <c r="P17" s="55"/>
      <c r="Q17" s="56" t="s">
        <v>6</v>
      </c>
      <c r="R17" s="56" t="s">
        <v>33</v>
      </c>
      <c r="S17" s="56" t="s">
        <v>34</v>
      </c>
      <c r="T17" s="57" t="s">
        <v>35</v>
      </c>
    </row>
    <row r="18" spans="13:20" x14ac:dyDescent="0.25">
      <c r="M18" s="1" t="s">
        <v>34</v>
      </c>
      <c r="N18" s="1">
        <f>SUM(N15:N17)</f>
        <v>-219661.10577343014</v>
      </c>
      <c r="P18" s="55" t="s">
        <v>212</v>
      </c>
      <c r="Q18" s="56">
        <f>-$N$10</f>
        <v>-100000</v>
      </c>
      <c r="R18" s="56">
        <f t="shared" ref="R18:T18" si="3">-$N$10</f>
        <v>-100000</v>
      </c>
      <c r="S18" s="56">
        <f t="shared" si="3"/>
        <v>-100000</v>
      </c>
      <c r="T18" s="57">
        <f t="shared" si="3"/>
        <v>-100000</v>
      </c>
    </row>
    <row r="19" spans="13:20" x14ac:dyDescent="0.25">
      <c r="M19" s="1" t="s">
        <v>12</v>
      </c>
      <c r="N19" s="1">
        <f>N13</f>
        <v>100000</v>
      </c>
      <c r="P19" s="55" t="s">
        <v>213</v>
      </c>
      <c r="Q19" s="56">
        <f>N12-Q18</f>
        <v>-285318.46080306591</v>
      </c>
      <c r="R19" s="56">
        <f>N15-R18</f>
        <v>-205290.75305928051</v>
      </c>
      <c r="S19" s="56">
        <f>N18-S18</f>
        <v>-119661.10577343014</v>
      </c>
      <c r="T19" s="57">
        <f>N21-T18</f>
        <v>-28037.383177570257</v>
      </c>
    </row>
    <row r="20" spans="13:20" x14ac:dyDescent="0.25">
      <c r="M20" s="1" t="s">
        <v>11</v>
      </c>
      <c r="N20" s="1">
        <f>(N18+N19)*7%</f>
        <v>-8376.2774041401117</v>
      </c>
      <c r="P20" s="55"/>
      <c r="Q20" s="56"/>
      <c r="R20" s="56"/>
      <c r="S20" s="56"/>
      <c r="T20" s="57"/>
    </row>
    <row r="21" spans="13:20" ht="14.4" thickBot="1" x14ac:dyDescent="0.3">
      <c r="M21" s="1" t="s">
        <v>35</v>
      </c>
      <c r="N21" s="1">
        <f>SUM(N18:N20)</f>
        <v>-128037.38317757026</v>
      </c>
      <c r="P21" s="58" t="s">
        <v>11</v>
      </c>
      <c r="Q21" s="11">
        <f>-N11</f>
        <v>25207.749772163195</v>
      </c>
      <c r="R21" s="11">
        <f>-N14</f>
        <v>19972.292256214616</v>
      </c>
      <c r="S21" s="11">
        <f>-N17</f>
        <v>14370.352714149638</v>
      </c>
      <c r="T21" s="59">
        <f>-N20</f>
        <v>8376.2774041401117</v>
      </c>
    </row>
    <row r="33" spans="17:17" x14ac:dyDescent="0.25">
      <c r="Q33" s="7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שאלה 1 פתרון</vt:lpstr>
      <vt:lpstr>שאלה 2 פתרון</vt:lpstr>
      <vt:lpstr>שאלה 3 פתרון</vt:lpstr>
      <vt:lpstr>שאלה 4 פתרון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ofek gersten</dc:creator>
  <cp:lastModifiedBy>ofek gersten</cp:lastModifiedBy>
  <dcterms:created xsi:type="dcterms:W3CDTF">2025-01-28T22:26:23Z</dcterms:created>
  <dcterms:modified xsi:type="dcterms:W3CDTF">2025-02-07T09:42:26Z</dcterms:modified>
</cp:coreProperties>
</file>