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vcac-my.sharepoint.com/personal/shayt_yvc_ac_il/Documents/Ariel ACC - Measurement A/"/>
    </mc:Choice>
  </mc:AlternateContent>
  <xr:revisionPtr revIDLastSave="9" documentId="8_{13D1344B-ECB4-3142-82AE-B7D897CFA8DB}" xr6:coauthVersionLast="47" xr6:coauthVersionMax="47" xr10:uidLastSave="{E5826AF8-644F-1C40-94DE-FC86F6B2586E}"/>
  <bookViews>
    <workbookView xWindow="4440" yWindow="0" windowWidth="46760" windowHeight="32000" activeTab="3" xr2:uid="{7BCD3D50-5AC6-B34E-BFCB-939D88B769F1}"/>
  </bookViews>
  <sheets>
    <sheet name="שאלה 1" sheetId="1" r:id="rId1"/>
    <sheet name="שאלה 2" sheetId="2" r:id="rId2"/>
    <sheet name="שאלה 3" sheetId="3" r:id="rId3"/>
    <sheet name="שאלה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2" i="1"/>
  <c r="J112" i="1"/>
  <c r="D26" i="1"/>
  <c r="L103" i="1"/>
  <c r="H53" i="4"/>
  <c r="C53" i="4"/>
  <c r="F40" i="4"/>
  <c r="F44" i="4" s="1"/>
  <c r="E9" i="4" s="1"/>
  <c r="C31" i="4"/>
  <c r="E7" i="4" s="1"/>
  <c r="E20" i="4"/>
  <c r="C16" i="4"/>
  <c r="B4" i="4" s="1"/>
  <c r="E12" i="4"/>
  <c r="E10" i="4"/>
  <c r="C10" i="4"/>
  <c r="C7" i="4"/>
  <c r="E4" i="4"/>
  <c r="D4" i="4"/>
  <c r="C4" i="4"/>
  <c r="D168" i="3"/>
  <c r="F157" i="3"/>
  <c r="I155" i="3"/>
  <c r="H155" i="3"/>
  <c r="I152" i="3"/>
  <c r="H152" i="3"/>
  <c r="I145" i="3"/>
  <c r="E136" i="3"/>
  <c r="E137" i="3" s="1"/>
  <c r="E135" i="3"/>
  <c r="E131" i="3"/>
  <c r="F116" i="3"/>
  <c r="F103" i="3"/>
  <c r="I100" i="3"/>
  <c r="H166" i="3" s="1"/>
  <c r="D99" i="3"/>
  <c r="D97" i="3"/>
  <c r="D95" i="3"/>
  <c r="D94" i="3"/>
  <c r="D96" i="3" s="1"/>
  <c r="F105" i="3" s="1"/>
  <c r="F106" i="3" s="1"/>
  <c r="F91" i="3"/>
  <c r="F90" i="3"/>
  <c r="F87" i="3"/>
  <c r="F81" i="3"/>
  <c r="E125" i="3" s="1"/>
  <c r="F78" i="3"/>
  <c r="D162" i="3" s="1"/>
  <c r="F74" i="3"/>
  <c r="F70" i="3"/>
  <c r="D67" i="3"/>
  <c r="D66" i="3" s="1"/>
  <c r="F69" i="3" s="1"/>
  <c r="F62" i="3"/>
  <c r="F59" i="3"/>
  <c r="F55" i="3"/>
  <c r="E124" i="3" s="1"/>
  <c r="F54" i="3"/>
  <c r="E130" i="3" s="1"/>
  <c r="F47" i="3"/>
  <c r="F44" i="3"/>
  <c r="F37" i="3"/>
  <c r="G154" i="3" s="1"/>
  <c r="E154" i="3" s="1"/>
  <c r="I154" i="3" s="1"/>
  <c r="F34" i="3"/>
  <c r="F35" i="3" s="1"/>
  <c r="D167" i="3" s="1"/>
  <c r="D169" i="3" s="1"/>
  <c r="F32" i="3"/>
  <c r="G153" i="3" s="1"/>
  <c r="F28" i="3"/>
  <c r="E123" i="3" s="1"/>
  <c r="I16" i="3"/>
  <c r="H161" i="3" s="1"/>
  <c r="C16" i="3"/>
  <c r="F11" i="3"/>
  <c r="F8" i="3"/>
  <c r="E122" i="3" s="1"/>
  <c r="F5" i="3"/>
  <c r="F122" i="2"/>
  <c r="F123" i="2" s="1"/>
  <c r="F118" i="2"/>
  <c r="F119" i="2" s="1"/>
  <c r="F115" i="2"/>
  <c r="F114" i="2"/>
  <c r="F112" i="2"/>
  <c r="F109" i="2"/>
  <c r="F100" i="2"/>
  <c r="F96" i="2"/>
  <c r="F102" i="2" s="1"/>
  <c r="F103" i="2" s="1"/>
  <c r="D91" i="2"/>
  <c r="D90" i="2" s="1"/>
  <c r="F93" i="2" s="1"/>
  <c r="F94" i="2" s="1"/>
  <c r="F86" i="2"/>
  <c r="F83" i="2"/>
  <c r="F80" i="2"/>
  <c r="F79" i="2"/>
  <c r="F76" i="2"/>
  <c r="F77" i="2" s="1"/>
  <c r="F74" i="2"/>
  <c r="F71" i="2"/>
  <c r="F68" i="2"/>
  <c r="F64" i="2"/>
  <c r="F61" i="2"/>
  <c r="D54" i="2"/>
  <c r="D56" i="2" s="1"/>
  <c r="F57" i="2" s="1"/>
  <c r="F58" i="2" s="1"/>
  <c r="F51" i="2"/>
  <c r="F50" i="2"/>
  <c r="F47" i="2"/>
  <c r="D55" i="2" s="1"/>
  <c r="F45" i="2"/>
  <c r="F46" i="2" s="1"/>
  <c r="F48" i="2" s="1"/>
  <c r="F43" i="2"/>
  <c r="F40" i="2"/>
  <c r="F37" i="2"/>
  <c r="F34" i="2"/>
  <c r="F31" i="2"/>
  <c r="F21" i="2"/>
  <c r="F24" i="2" s="1"/>
  <c r="F25" i="2" s="1"/>
  <c r="F19" i="2"/>
  <c r="F16" i="2"/>
  <c r="F12" i="2"/>
  <c r="F9" i="2"/>
  <c r="F5" i="2"/>
  <c r="D136" i="1"/>
  <c r="F136" i="1" s="1"/>
  <c r="I135" i="1"/>
  <c r="H135" i="1"/>
  <c r="D132" i="1"/>
  <c r="H132" i="1" s="1"/>
  <c r="I132" i="1" s="1"/>
  <c r="I129" i="1"/>
  <c r="I127" i="1"/>
  <c r="L118" i="1"/>
  <c r="J117" i="1"/>
  <c r="E114" i="1"/>
  <c r="D114" i="1" s="1"/>
  <c r="G113" i="1"/>
  <c r="D113" i="1" s="1"/>
  <c r="I110" i="1"/>
  <c r="D104" i="1"/>
  <c r="D98" i="1"/>
  <c r="D95" i="1"/>
  <c r="D92" i="1"/>
  <c r="D88" i="1"/>
  <c r="D89" i="1" s="1"/>
  <c r="H133" i="1" s="1"/>
  <c r="I133" i="1" s="1"/>
  <c r="D84" i="1"/>
  <c r="K110" i="1" s="1"/>
  <c r="D75" i="1"/>
  <c r="D76" i="1" s="1"/>
  <c r="C71" i="1"/>
  <c r="C66" i="1"/>
  <c r="I61" i="1"/>
  <c r="C70" i="1" s="1"/>
  <c r="D57" i="1"/>
  <c r="H141" i="1" s="1"/>
  <c r="I141" i="1" s="1"/>
  <c r="D54" i="1"/>
  <c r="D51" i="1"/>
  <c r="D48" i="1"/>
  <c r="D45" i="1"/>
  <c r="H131" i="1" s="1"/>
  <c r="J32" i="1"/>
  <c r="D37" i="1" s="1"/>
  <c r="D41" i="1" s="1"/>
  <c r="D42" i="1" s="1"/>
  <c r="D24" i="1"/>
  <c r="D20" i="1"/>
  <c r="D21" i="1" s="1"/>
  <c r="D17" i="1"/>
  <c r="D25" i="1" s="1"/>
  <c r="D15" i="1"/>
  <c r="D12" i="1"/>
  <c r="J105" i="1" s="1"/>
  <c r="D105" i="1" s="1"/>
  <c r="D9" i="1"/>
  <c r="D6" i="1"/>
  <c r="D16" i="3"/>
  <c r="E37" i="1"/>
  <c r="E88" i="1"/>
  <c r="K32" i="1"/>
  <c r="J16" i="3"/>
  <c r="E95" i="3"/>
  <c r="J61" i="1"/>
  <c r="E61" i="1"/>
  <c r="E24" i="1"/>
  <c r="E17" i="1"/>
  <c r="E54" i="2"/>
  <c r="G114" i="2"/>
  <c r="G90" i="3"/>
  <c r="G47" i="2"/>
  <c r="E99" i="3"/>
  <c r="G76" i="2"/>
  <c r="E91" i="2"/>
  <c r="E31" i="1"/>
  <c r="D73" i="1"/>
  <c r="E67" i="3"/>
  <c r="G118" i="2"/>
  <c r="G54" i="3"/>
  <c r="G70" i="3"/>
  <c r="D68" i="1"/>
  <c r="D70" i="1"/>
  <c r="E38" i="1"/>
  <c r="G34" i="3"/>
  <c r="G122" i="2"/>
  <c r="G21" i="2"/>
  <c r="J100" i="3"/>
  <c r="G40" i="4"/>
  <c r="E97" i="3"/>
  <c r="G96" i="2"/>
  <c r="G115" i="2"/>
  <c r="E84" i="1"/>
  <c r="F116" i="2" l="1"/>
  <c r="I99" i="3"/>
  <c r="H162" i="3" s="1"/>
  <c r="H163" i="3" s="1"/>
  <c r="H169" i="3" s="1"/>
  <c r="H148" i="3"/>
  <c r="I148" i="3" s="1"/>
  <c r="D110" i="1"/>
  <c r="F38" i="3"/>
  <c r="E129" i="3"/>
  <c r="E132" i="3" s="1"/>
  <c r="D85" i="1"/>
  <c r="I17" i="3"/>
  <c r="H165" i="3" s="1"/>
  <c r="H167" i="3" s="1"/>
  <c r="D98" i="3"/>
  <c r="F108" i="3" s="1"/>
  <c r="F109" i="3" s="1"/>
  <c r="E126" i="3" s="1"/>
  <c r="I136" i="1"/>
  <c r="E127" i="3"/>
  <c r="G157" i="3"/>
  <c r="E153" i="3"/>
  <c r="I153" i="3" s="1"/>
  <c r="I131" i="1"/>
  <c r="D28" i="1"/>
  <c r="H149" i="3"/>
  <c r="I149" i="3" s="1"/>
  <c r="F71" i="3"/>
  <c r="D18" i="1"/>
  <c r="D58" i="1"/>
  <c r="H140" i="1" s="1"/>
  <c r="D140" i="1" s="1"/>
  <c r="I140" i="1" s="1"/>
  <c r="C73" i="1"/>
  <c r="C72" i="1" s="1"/>
  <c r="D112" i="1"/>
  <c r="D137" i="1" s="1"/>
  <c r="C15" i="3"/>
  <c r="F19" i="3" s="1"/>
  <c r="I106" i="1"/>
  <c r="D106" i="1" s="1"/>
  <c r="D61" i="1"/>
  <c r="C68" i="1"/>
  <c r="H107" i="1"/>
  <c r="D107" i="1" s="1"/>
  <c r="F22" i="2"/>
  <c r="F97" i="2"/>
  <c r="H143" i="1" l="1"/>
  <c r="E133" i="3"/>
  <c r="F137" i="1"/>
  <c r="I137" i="1" s="1"/>
  <c r="C69" i="1"/>
  <c r="D81" i="1" s="1"/>
  <c r="E138" i="3"/>
  <c r="F20" i="3"/>
  <c r="H157" i="3"/>
  <c r="H175" i="3" s="1"/>
  <c r="D29" i="1"/>
  <c r="F138" i="1"/>
  <c r="D138" i="1" s="1"/>
  <c r="I138" i="1" s="1"/>
  <c r="C65" i="1"/>
  <c r="C67" i="1" s="1"/>
  <c r="D78" i="1" s="1"/>
  <c r="D62" i="1"/>
  <c r="D103" i="1" s="1"/>
  <c r="D108" i="1" s="1"/>
  <c r="E139" i="3" l="1"/>
  <c r="E147" i="3" s="1"/>
  <c r="E157" i="3"/>
  <c r="I147" i="3"/>
  <c r="D79" i="1"/>
  <c r="D118" i="1"/>
  <c r="D111" i="1"/>
  <c r="D115" i="1" s="1"/>
  <c r="D119" i="1" s="1"/>
  <c r="D130" i="1" s="1"/>
  <c r="D82" i="1"/>
  <c r="D38" i="1"/>
  <c r="D39" i="1" s="1"/>
  <c r="D34" i="1"/>
  <c r="D35" i="1" s="1"/>
  <c r="D139" i="1" s="1"/>
  <c r="D117" i="1"/>
  <c r="I130" i="1" l="1"/>
  <c r="D143" i="1"/>
  <c r="F139" i="1"/>
  <c r="F143" i="1" s="1"/>
  <c r="I139" i="1"/>
  <c r="H172" i="3"/>
  <c r="H176" i="3" s="1"/>
  <c r="H178" i="3" s="1"/>
  <c r="D171" i="3" s="1"/>
  <c r="D163" i="3" s="1"/>
  <c r="D161" i="3" s="1"/>
  <c r="I157" i="3"/>
  <c r="I143" i="1" l="1"/>
</calcChain>
</file>

<file path=xl/sharedStrings.xml><?xml version="1.0" encoding="utf-8"?>
<sst xmlns="http://schemas.openxmlformats.org/spreadsheetml/2006/main" count="476" uniqueCount="279">
  <si>
    <t>דוח על השינויים בנ"נ</t>
  </si>
  <si>
    <t>נדרש א' - פקודות יומן</t>
  </si>
  <si>
    <t>דוח על הפעילויות</t>
  </si>
  <si>
    <t>נתון</t>
  </si>
  <si>
    <t>סעיף</t>
  </si>
  <si>
    <t>ח (ז)</t>
  </si>
  <si>
    <t>הסבר</t>
  </si>
  <si>
    <t>מזומן מיועד (להשקעה)</t>
  </si>
  <si>
    <t>תרומה שמיועדת לרכישת רכוש קבוע. המזומן מוצג במסגרת סעיף רכוש קבוע.</t>
  </si>
  <si>
    <t>נ"נ שקיימת לגביהם הגבלה</t>
  </si>
  <si>
    <t>מחשבים</t>
  </si>
  <si>
    <t>מזומן מיועד</t>
  </si>
  <si>
    <t>הנכס שבגינו התקבלה תמורה זמין לשימוש ולא קיימת לגביו הגבלה, לכן מכירים בהכנסה</t>
  </si>
  <si>
    <t>הכנסות - שחרור מנ"נ שהוגבלו להשקעה בנכסים קבועים</t>
  </si>
  <si>
    <t>נ"נ שלא קיימת לגביהם הגבלה - לשימוש לפע'</t>
  </si>
  <si>
    <t>המלכ"ר מפצל נ"נ ללא הגבלה, לכן בעת הכרה בהכנסה, משחררים מפע' לנכסים קבועים</t>
  </si>
  <si>
    <t>נ"נ שלא קיימת לגביהם הגבלה - שהושקעו בנכסים קבועים</t>
  </si>
  <si>
    <t>הוצאות פחת</t>
  </si>
  <si>
    <t>פחת עד 1.9</t>
  </si>
  <si>
    <t>פחנ"צ</t>
  </si>
  <si>
    <t>שחרור סכומים לפחת</t>
  </si>
  <si>
    <t>מזומן</t>
  </si>
  <si>
    <t>מכירת 6 מחשבים</t>
  </si>
  <si>
    <t>הוצאות אחרות</t>
  </si>
  <si>
    <t>שחרור מנכסים קבועים לפעילות</t>
  </si>
  <si>
    <t>הפסד מירידת ערך</t>
  </si>
  <si>
    <t>הפסד מירידת ערך 4 מחשבים שנותרו. סב"ה = שווי הוגן שנגזר מתמורת המכירה.</t>
  </si>
  <si>
    <t>הפרשה לירידת ערך</t>
  </si>
  <si>
    <t>סב"ה מחשבים שנותרו:</t>
  </si>
  <si>
    <t>נותרו 32 חודשים</t>
  </si>
  <si>
    <t>שחרור סכומים בגין ירידת ערך</t>
  </si>
  <si>
    <t>פחת בגין 4 מחשבים מ- 1.9 עד 31.12</t>
  </si>
  <si>
    <t>ב- 1.2 לא מכירים בהבטחה כי היא מותנית.</t>
  </si>
  <si>
    <t>סכום שהמלכ"ר התחייב כלפי התורם (הקבלה פנימית)</t>
  </si>
  <si>
    <t>חייבים</t>
  </si>
  <si>
    <t>בגין ההבטחה של התורם שטרם התקבלה השנה</t>
  </si>
  <si>
    <t>הוצאות הדרכה</t>
  </si>
  <si>
    <t>בסה"כ קיימים נ"נ מוגבלים בסך 90,000 מתוכם 1/3 מומן ע"י המלכ"ר ו- 2/3 ע"י תורם.</t>
  </si>
  <si>
    <t>הכנסות שחרור מנ"נ שהוגבלו</t>
  </si>
  <si>
    <t>לכן, בגין החלק שמומן על ידי התורם מכירים בהכנסות ובגין החלק מומן ע"י המלכ"ר משחררים</t>
  </si>
  <si>
    <t>הקבלה פנימית (פקודה הפוכה).</t>
  </si>
  <si>
    <t>התח' בגין אנונה</t>
  </si>
  <si>
    <t>ריבית חודשית:</t>
  </si>
  <si>
    <t>הכנסות מתרומה</t>
  </si>
  <si>
    <t>תנועה בהתחייבות בגין אנונה:</t>
  </si>
  <si>
    <t>תשלומים</t>
  </si>
  <si>
    <t>הוצ' מימון</t>
  </si>
  <si>
    <t>PN</t>
  </si>
  <si>
    <t>30.6 לפני עדכון</t>
  </si>
  <si>
    <t>התאמת אנונה</t>
  </si>
  <si>
    <t>אחרי עדכון</t>
  </si>
  <si>
    <t>הפסד מהתאמת אנונה</t>
  </si>
  <si>
    <t>הוצאות בגין הרצאה</t>
  </si>
  <si>
    <t>המדיניות של המלכ"ר היא להכיר בשירותים שהתקבלו ללא תמורה.</t>
  </si>
  <si>
    <t>הכנסות - שירותים ללא תמורה</t>
  </si>
  <si>
    <t>מתקיימים התנאים להכרה בתרומת השירותים (סכום מהותי, ניתן לאמוד באופן מהימן, השירות חיוני למלכ"ר).</t>
  </si>
  <si>
    <t>הכנסות מהקצבה</t>
  </si>
  <si>
    <t>סכום שהתקבל עבור שנת 2017</t>
  </si>
  <si>
    <t>הוצאות בגין כנסים</t>
  </si>
  <si>
    <t>הוצאות מראש</t>
  </si>
  <si>
    <t>הוצאות שכר עבודה</t>
  </si>
  <si>
    <t>דוח על הפעילויות לשנה שהסתיימה ביום 31.12.16</t>
  </si>
  <si>
    <t>מחזור הפעילויות</t>
  </si>
  <si>
    <t>סה"כ</t>
  </si>
  <si>
    <t>13</t>
  </si>
  <si>
    <t>12</t>
  </si>
  <si>
    <t>11</t>
  </si>
  <si>
    <t>10</t>
  </si>
  <si>
    <t>8</t>
  </si>
  <si>
    <t>5</t>
  </si>
  <si>
    <t>4</t>
  </si>
  <si>
    <t>3</t>
  </si>
  <si>
    <t>תרומות</t>
  </si>
  <si>
    <t>שירותים ללא תמורה</t>
  </si>
  <si>
    <t>שחרור מנכסים נטו שהוגבלו להשקעה בנכסים קבועים</t>
  </si>
  <si>
    <t>שחרור מנכסים נטו שהוגבלו</t>
  </si>
  <si>
    <t>הקצבות</t>
  </si>
  <si>
    <t>עלות הפעילות</t>
  </si>
  <si>
    <t>הדרכות והרצאות</t>
  </si>
  <si>
    <t>פחת</t>
  </si>
  <si>
    <t>כנסים</t>
  </si>
  <si>
    <t>שכר</t>
  </si>
  <si>
    <t>הוצ' אחרות</t>
  </si>
  <si>
    <t>עודף הכנסות</t>
  </si>
  <si>
    <t>דוח על השינויים בנכסים נטו לשנה שהסתיימה ביום 31.12.16</t>
  </si>
  <si>
    <t>נכסים נטו שלא קיימת לגביהם הגבלה</t>
  </si>
  <si>
    <t>נ"נ שקיימת</t>
  </si>
  <si>
    <t>שהושקעו</t>
  </si>
  <si>
    <t>לגביהם</t>
  </si>
  <si>
    <t>לשימוש לפע'</t>
  </si>
  <si>
    <t>בנכסים קבועים</t>
  </si>
  <si>
    <t>הגבלה</t>
  </si>
  <si>
    <t>יתרה ליום 1.1.16</t>
  </si>
  <si>
    <t>תוספות</t>
  </si>
  <si>
    <t>הקבלה פנימית</t>
  </si>
  <si>
    <t>הקצבה</t>
  </si>
  <si>
    <t>גריעות</t>
  </si>
  <si>
    <t>שחרור מנ"נ מוגבלים לרכוש קבוע</t>
  </si>
  <si>
    <t>שחרור מפע' לר"ק</t>
  </si>
  <si>
    <t>שחרור מרכוש קבוע לפע'</t>
  </si>
  <si>
    <t>שחרור סכומים לירידת ערך</t>
  </si>
  <si>
    <t>שחרור הקבלה פנימית</t>
  </si>
  <si>
    <t>שחרור מנ"נ שהוגבלו</t>
  </si>
  <si>
    <t>יתרה ליום 31.12.16</t>
  </si>
  <si>
    <t>קרקע</t>
  </si>
  <si>
    <t>הכנסות - נכסים ללא תמורה</t>
  </si>
  <si>
    <t>נ"נ שלא קיימת לגביהם הגבלה - לשימוש לפע' שלא יועדו</t>
  </si>
  <si>
    <t>מגרש</t>
  </si>
  <si>
    <t>הבטחת משרד החינוך מותנית בגיוס תרומה מקבילה, ובסוף השנה המלכ"ר קיבל הבטחה שמותנית באירוע עתידי. לפיכך, לא ניתן להכיר בתרומה שהובטחה</t>
  </si>
  <si>
    <t>בסוף השנה, וממילא לא מתקיים התנאי להכרה בהבטחה ממשרד החינוך.</t>
  </si>
  <si>
    <t>מאחר ומשרד החינוך העביר כסף למלכ"ר, הסכום שהתקבל יוכר כהתחייבות.</t>
  </si>
  <si>
    <t>זכאים</t>
  </si>
  <si>
    <t>ייעוד סכומים ע"י הנהלת המלכ"ר</t>
  </si>
  <si>
    <t>נ"נ שלא קיימת לגביהם הגבלה - לשימוש לפע' שיועדו</t>
  </si>
  <si>
    <t>הוצאות חלוקת צעיפים</t>
  </si>
  <si>
    <t>שחרור הסכומים שיועדו</t>
  </si>
  <si>
    <t>מוגבל לרכישת נכסים קבועים</t>
  </si>
  <si>
    <t>התח' אנונה</t>
  </si>
  <si>
    <t>התאמת אנונה:</t>
  </si>
  <si>
    <t>התח' צ"ל</t>
  </si>
  <si>
    <t>התח' רשומה</t>
  </si>
  <si>
    <t>שערים</t>
  </si>
  <si>
    <t>הכנסות שחרור מנ"נ שהוגבלו להשקעה בנכסים קבועים</t>
  </si>
  <si>
    <t>פקדון</t>
  </si>
  <si>
    <t>תנועה בפקדון:</t>
  </si>
  <si>
    <t>הפקדה</t>
  </si>
  <si>
    <t>הפרשי שער</t>
  </si>
  <si>
    <t>י.ס. קרן</t>
  </si>
  <si>
    <t>הפרשי שער שנדרשו ע"מ לשמור על הערך הדולרי של הקרן</t>
  </si>
  <si>
    <t>מוגבל לחלוקת מלגות</t>
  </si>
  <si>
    <t>הוצאות חלוגת מלגות</t>
  </si>
  <si>
    <t>ב- 30.11 לא מכירים בתרומה שהובטחה כי היא מותנית.</t>
  </si>
  <si>
    <t>ב- 31.12 העמותה התחייבה כלפי התורם ולכן ההבטחה אינה מותנית. כמו כן, היא ניתנת לאכיפה מבחינה משפטית.</t>
  </si>
  <si>
    <t>לכן מכירים בתרומה שהובטחה:</t>
  </si>
  <si>
    <t>תרומה</t>
  </si>
  <si>
    <t>נ"נ ללא הגבלה - לשימוש לפע' שלא יועדו</t>
  </si>
  <si>
    <t>הכנסות דמי חבר</t>
  </si>
  <si>
    <t>הוצאות חובות מסופקים</t>
  </si>
  <si>
    <t>הלח"מ</t>
  </si>
  <si>
    <t>מס המוטל על השכר נזקף להוצאות שכר עבודה:</t>
  </si>
  <si>
    <t>עבור רכישת המבנה</t>
  </si>
  <si>
    <t>הלוואה לשלם</t>
  </si>
  <si>
    <t>תנועה בהלוואה לשלם:</t>
  </si>
  <si>
    <t>קבלה 1.1</t>
  </si>
  <si>
    <t>יתרה 31.12</t>
  </si>
  <si>
    <t>התח' שוטפת</t>
  </si>
  <si>
    <t>לא שוטף</t>
  </si>
  <si>
    <t>מבנה</t>
  </si>
  <si>
    <t>יש להכיר בהכנסה בגין הסכום שהתקבל בתרומה:</t>
  </si>
  <si>
    <t>שחרור מפעילות להשקעה בגין מלוא עלות המבנה:</t>
  </si>
  <si>
    <t>נ"נ ללא הגבלה - לשימוש לפע'</t>
  </si>
  <si>
    <t>נ"נ ללא הגבלה - שהושקעו בנכסים קבועים</t>
  </si>
  <si>
    <t>3+9</t>
  </si>
  <si>
    <t>המלכ"ר מהווה סוכן, כי התורם קבע באופן ספציפי למי הנכס יועבר. המלכ"ר קיבל נכס לא כספי והתקן מאפשר למלכ"ר</t>
  </si>
  <si>
    <t>כמדיניות חשבונאית לבחור בין הכרה בנכס והתחייבות עד ההעברה לבין אי הכרה בנכס. לפי נתון 18, המלכ"ר מכיר בנכסים ככל שניתן.</t>
  </si>
  <si>
    <t>לכן ב- 31.3 המלכ"ר רשם:</t>
  </si>
  <si>
    <t>נכס להעברה</t>
  </si>
  <si>
    <t>לפי שווי הוגן של הנכס</t>
  </si>
  <si>
    <t>ב- 30.6 רושמים פקודה הפוכה בגין העברה:</t>
  </si>
  <si>
    <t>הערה - לפי תנאי העברת הנכס, העמותה רשאית להשתמש בו ללא תמורה למשך 3 חודשים. לכן תיאורטית יש להכיר בהוצאות</t>
  </si>
  <si>
    <t>שכירות כנגד הכנסות בגובה דמי השכירות המקובלים בשוק. בשאלה אין נתון ביחס לגובה דמי השכירות לכן לא רשמנו פקודה מתאימה.</t>
  </si>
  <si>
    <t xml:space="preserve">תרומת שירותים - בהתאם לתקן המלכ"ר רשאי (אינו חייב) ליישם מדיניות חשבונאית של הכרה בתרומת שירותים בתנאי </t>
  </si>
  <si>
    <t>שמתקיימים 3 תנאים: א. סכום מהותי ביחס להיקף הפעילות ב. ניתן לאמוד את השווי ההוגן של התרומה באופן מהימן. 3. תרומה חיונית.</t>
  </si>
  <si>
    <t>לפי נתון 18, המלכ"ר מכיר בהכנסות והוצאות כשניתן לעשות זאת. כל התנאים מתקיימים.</t>
  </si>
  <si>
    <t>הוצאות שכר</t>
  </si>
  <si>
    <t>5+6+8</t>
  </si>
  <si>
    <t>תרומה מוגבלת כי המלכ"ר אינו יכול להשתמש בקרן של התרומה:</t>
  </si>
  <si>
    <t>תנועה בפיקדון:</t>
  </si>
  <si>
    <t>מימון (כולל הפרשי שער)</t>
  </si>
  <si>
    <t>יתרה 31.12.98</t>
  </si>
  <si>
    <t>הסכום שנדרש על מנת לשמור על הערך הריאלי של הקרן</t>
  </si>
  <si>
    <t>נ"נ שקיימת לגביהם הגבלה (עבור צעצועים)</t>
  </si>
  <si>
    <t>מלאי</t>
  </si>
  <si>
    <t>רכישת הצעצועים לצורך החלוקה</t>
  </si>
  <si>
    <t>בעת הרכישה עדיין לא מכירים בהכנסות, כי התניית התורם הייתה גם לרכישה וגם לחלוקה.</t>
  </si>
  <si>
    <t>הוצאות חלוקה</t>
  </si>
  <si>
    <t>מכירים במקביל בהכנסות שחרור מנ"נ שהוגבלו (יש מספיק נ"נ 102,976):</t>
  </si>
  <si>
    <t>7,11</t>
  </si>
  <si>
    <t>הוצאות ארנונה</t>
  </si>
  <si>
    <t>שכר עבודה</t>
  </si>
  <si>
    <t>שוטפות</t>
  </si>
  <si>
    <t>שכר עבודה - פיצויים</t>
  </si>
  <si>
    <t>10,12</t>
  </si>
  <si>
    <t>התורם לא הגביל את המלכ"ר בשימוש ביתרת הסכום לכן מכירים בהכנסה</t>
  </si>
  <si>
    <t>תנועה בהתחייבות בגין אנונה</t>
  </si>
  <si>
    <t>קבלה 1.7</t>
  </si>
  <si>
    <t>לפני התאמה</t>
  </si>
  <si>
    <t>שוטף</t>
  </si>
  <si>
    <t>רווח מהתאמת אנונה</t>
  </si>
  <si>
    <t>13,14</t>
  </si>
  <si>
    <t>ב- 1.9 לא ניתן להכיר בתרומה, כי היא מותנית בגיוס תמורה נוספת בסך של 10,000 ₪.</t>
  </si>
  <si>
    <t>ב- 30.9 המלכ"ר קיבל הבטחה בלתי מותנית ממשרד החינוך שניתנת לאכיפה מבחינה משפטית. לכן, יש להכיר בתרומה שהובטחה כנגד חייבים.</t>
  </si>
  <si>
    <t>ובמקביל ניתן להכיר בתרומה מהחברה (שגם התקבלה בפועל באותו יום):</t>
  </si>
  <si>
    <t>חייבים (גם יוצגו במסגרת רכוש קבוע)</t>
  </si>
  <si>
    <t>מחזור הפעילות</t>
  </si>
  <si>
    <t>נתונים</t>
  </si>
  <si>
    <t>1 + 10</t>
  </si>
  <si>
    <t>הכנסות שחרור מנ"נ שהוגבלו לרכישת רכוש קבוע</t>
  </si>
  <si>
    <t>שירותי ללא תמורה</t>
  </si>
  <si>
    <t>4,7,11</t>
  </si>
  <si>
    <t>חלוקת צעצועים</t>
  </si>
  <si>
    <t>מחזור הפעילות, נטו</t>
  </si>
  <si>
    <t>הוצאות הנהלה וכלליות</t>
  </si>
  <si>
    <t>ארנונה</t>
  </si>
  <si>
    <t>אחרות</t>
  </si>
  <si>
    <t>1,10</t>
  </si>
  <si>
    <t>דוח על השינויים בנכסים נטו לשנה שהסתיימה ביום 31.12.98</t>
  </si>
  <si>
    <t>שלא יועדו</t>
  </si>
  <si>
    <t>שיועדו</t>
  </si>
  <si>
    <t>יתרה ליום 1.1.1998</t>
  </si>
  <si>
    <t>1,5,13</t>
  </si>
  <si>
    <t>מימון</t>
  </si>
  <si>
    <t>שחרור מנ"נ שהוגבלו להשקעה בנכסים קבועים</t>
  </si>
  <si>
    <t>שחרור מנ"נ ללא הגבלה להשקעה בנכסים קבועים</t>
  </si>
  <si>
    <t>יתרה ליום 31.12.98</t>
  </si>
  <si>
    <t>דוח על המצב הכספי ליום 31.12.1998</t>
  </si>
  <si>
    <t>נכסים שוטפים</t>
  </si>
  <si>
    <t>התח' שוטפות</t>
  </si>
  <si>
    <t>מזומנים ושווי מזומנים</t>
  </si>
  <si>
    <t>ריבית לשלם</t>
  </si>
  <si>
    <t>מלאי צעצועים</t>
  </si>
  <si>
    <t>התח' לא שוטפות</t>
  </si>
  <si>
    <t>נכסים לא שוטפים</t>
  </si>
  <si>
    <t>רכוש קבוע:</t>
  </si>
  <si>
    <t>מבנה, נטו</t>
  </si>
  <si>
    <t>מזומנים והשקעות אחרות שמוגבלים</t>
  </si>
  <si>
    <t>סה"כ התחייבויות</t>
  </si>
  <si>
    <t>נכסים נטו</t>
  </si>
  <si>
    <t>סה"כ נכסים</t>
  </si>
  <si>
    <t>שלא קיימת לגביהם הגבלה:</t>
  </si>
  <si>
    <t>שלא יועדו ע"י הנהלת המלכ"ר</t>
  </si>
  <si>
    <t>שיועדו ע"י הנהלת המלכ"ר</t>
  </si>
  <si>
    <t>שהושקעו בנכסים קבועים</t>
  </si>
  <si>
    <t>נכסים נטו שקיימת לגביהם הגבלה</t>
  </si>
  <si>
    <t>סה"כ נכסים נטו</t>
  </si>
  <si>
    <t>סה"כ התח' + נכסים נטו</t>
  </si>
  <si>
    <t>עליה (ירידה)</t>
  </si>
  <si>
    <t>נ"נ לא מוגבלים</t>
  </si>
  <si>
    <t xml:space="preserve">נתון </t>
  </si>
  <si>
    <t>רכוש קבוע</t>
  </si>
  <si>
    <t>ששימשו לר"ק</t>
  </si>
  <si>
    <t>נ"נ מוגבלים</t>
  </si>
  <si>
    <t>נתון 1</t>
  </si>
  <si>
    <t>ח' הוצאות פחת</t>
  </si>
  <si>
    <t>ז' פחנ"צ</t>
  </si>
  <si>
    <t>מקטין ר"ק</t>
  </si>
  <si>
    <t>נ"נ ללא הגבלה - פע'</t>
  </si>
  <si>
    <t>נתון 2,3</t>
  </si>
  <si>
    <t>תרומת שירותים - חלופה אחת היא לא להכיר בתרומות בגין שירותים (אין השפעה על הדוחות הכספיים).</t>
  </si>
  <si>
    <t>חלופה שניה, היא להכיר בתרומות אם מתקיימים 3 תנאים: מהותי, מהימן, חיוני. מאחר ומדובר בשירותים לא מקצועיים סביר להניח שלא מתקיים תנאי החיוניות.</t>
  </si>
  <si>
    <t>גם אם הוא היה מתקיים (בנתון 3), היינו מכירים בהוצאה והכנסה בסכום זהה כך שלא הייתה השפעה על הסעיפים הרלוונטיים בנדרש.</t>
  </si>
  <si>
    <t>נתון 4</t>
  </si>
  <si>
    <t>בסוף השנה ההבטחה בלתי מותנית והיא ניתנת לאכיפה מבחינה משפטית, לכן מכירים גם במחויבות של המלכ"ר כלפי התורם וגם בתרומה שהובטחה.</t>
  </si>
  <si>
    <t>בגין ההבטחה</t>
  </si>
  <si>
    <t>בגין הסכום שהמלכ"ר התחייב לממן ממקורותיו</t>
  </si>
  <si>
    <t>נתון 5</t>
  </si>
  <si>
    <t>במהלך השנה אין להתחשב בהבטחה כי היא לא ניתנת לאכיפה משפטית. לפיכך, יש להכיר בהכנסות תרומה</t>
  </si>
  <si>
    <t>רק בגין סכומים שהתקבלו בפועל עד 31.12, כלומר בהכנסות בסך 240,000 ₪, שיגדילו אוטו' נ"נ ללא הגבלה לשימוש לפע'.</t>
  </si>
  <si>
    <t>נתון 6</t>
  </si>
  <si>
    <t>כל התרומה מוגבלת לכן ב- 1.2 נרשם:</t>
  </si>
  <si>
    <t>ח' מזומן, נ"נ מוגבלים</t>
  </si>
  <si>
    <t>1/3 מוגבל בהגבלה קבועה ו- 2/3 לחיסונים</t>
  </si>
  <si>
    <t>ח' פקדון, ז' מזומן</t>
  </si>
  <si>
    <t>ח' פקדון, נ"נ מוגבלים</t>
  </si>
  <si>
    <t>ריבית מוגבלת לחיסונים</t>
  </si>
  <si>
    <t>ח' הוצאות, מזומן</t>
  </si>
  <si>
    <t>מקטין נ"נ ללא הגבלה - פע'</t>
  </si>
  <si>
    <t>נ"נ מוגבלים, הכנסות שחרור</t>
  </si>
  <si>
    <t>מקטין נ"נ מוגבלים, מגדיל נ"נ ללא הגבלה - פע'</t>
  </si>
  <si>
    <t>סה"כ השפעה על נ"נ מוגבלים</t>
  </si>
  <si>
    <t>נתון 7</t>
  </si>
  <si>
    <t>לא מכירים בתרומה שהובטחה כי היא מותנית</t>
  </si>
  <si>
    <t>נתון 8</t>
  </si>
  <si>
    <t>ח' רכוש קבוע</t>
  </si>
  <si>
    <t>ז' מזומן</t>
  </si>
  <si>
    <t>הערה - אם הנכס מוחזק במסגרת אוסף ניתן לטפל בו באותו אופן או להכיר בהוצאה בסך 500,000 (תלוי במדיניות של המלכ"ר). אם מכירים בהוצאה, הנ"נ ללא הגבלה - לשימוש לפע'</t>
  </si>
  <si>
    <t>יירדו ב- 500,000 ושאר הסעיפים לא יושפעו.</t>
  </si>
  <si>
    <t>נתון 9</t>
  </si>
  <si>
    <t>רווח ממכירת רכוש קבוע שתמורתו הוגבלה נזקף לנ"נ שקיימת לגביהם הגבלה: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</si>
</sst>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(#,##0\)_ ;_ * &quot;-&quot;_ ;_ @_ 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ptos Narrow"/>
      <family val="2"/>
      <charset val="177"/>
      <scheme val="minor"/>
    </font>
    <font>
      <u val="singleAccounting"/>
      <sz val="11"/>
      <color theme="1"/>
      <name val="Calibri"/>
      <family val="2"/>
    </font>
    <font>
      <u val="doubleAccounting"/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b/>
      <u val="singleAccounting"/>
      <sz val="11"/>
      <color theme="1"/>
      <name val="Calibri"/>
      <family val="2"/>
    </font>
    <font>
      <b/>
      <u val="singleAccounting"/>
      <sz val="12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9" fontId="3" fillId="0" borderId="0" applyFill="0" applyBorder="0" applyProtection="0">
      <alignment horizontal="centerContinuous"/>
    </xf>
  </cellStyleXfs>
  <cellXfs count="33">
    <xf numFmtId="0" fontId="0" fillId="0" borderId="0" xfId="0"/>
    <xf numFmtId="164" fontId="0" fillId="0" borderId="0" xfId="1" applyFont="1"/>
    <xf numFmtId="164" fontId="0" fillId="2" borderId="0" xfId="1" applyFont="1" applyFill="1"/>
    <xf numFmtId="164" fontId="0" fillId="3" borderId="0" xfId="1" applyFont="1" applyFill="1"/>
    <xf numFmtId="49" fontId="3" fillId="0" borderId="0" xfId="2">
      <alignment horizontal="centerContinuous"/>
    </xf>
    <xf numFmtId="164" fontId="3" fillId="0" borderId="0" xfId="1" applyFont="1" applyAlignment="1">
      <alignment horizontal="centerContinuous"/>
    </xf>
    <xf numFmtId="0" fontId="0" fillId="0" borderId="0" xfId="0" applyAlignment="1">
      <alignment horizontal="right"/>
    </xf>
    <xf numFmtId="164" fontId="0" fillId="0" borderId="0" xfId="0" applyNumberFormat="1"/>
    <xf numFmtId="10" fontId="0" fillId="0" borderId="0" xfId="0" applyNumberFormat="1"/>
    <xf numFmtId="164" fontId="3" fillId="0" borderId="0" xfId="1" applyFont="1"/>
    <xf numFmtId="164" fontId="4" fillId="0" borderId="0" xfId="1" applyFont="1"/>
    <xf numFmtId="0" fontId="5" fillId="0" borderId="0" xfId="0" applyFont="1"/>
    <xf numFmtId="0" fontId="6" fillId="0" borderId="0" xfId="0" applyFont="1"/>
    <xf numFmtId="164" fontId="6" fillId="0" borderId="0" xfId="1" applyFont="1"/>
    <xf numFmtId="0" fontId="7" fillId="0" borderId="0" xfId="0" applyFont="1"/>
    <xf numFmtId="49" fontId="8" fillId="0" borderId="0" xfId="2" applyFont="1">
      <alignment horizontal="centerContinuous"/>
    </xf>
    <xf numFmtId="164" fontId="5" fillId="0" borderId="0" xfId="0" applyNumberFormat="1" applyFont="1"/>
    <xf numFmtId="164" fontId="6" fillId="0" borderId="0" xfId="0" applyNumberFormat="1" applyFont="1"/>
    <xf numFmtId="164" fontId="9" fillId="0" borderId="0" xfId="0" applyNumberFormat="1" applyFont="1"/>
    <xf numFmtId="164" fontId="5" fillId="0" borderId="0" xfId="1" applyFont="1"/>
    <xf numFmtId="0" fontId="6" fillId="0" borderId="0" xfId="0" applyFont="1" applyAlignment="1">
      <alignment horizontal="center"/>
    </xf>
    <xf numFmtId="164" fontId="3" fillId="0" borderId="0" xfId="0" applyNumberFormat="1" applyFont="1"/>
    <xf numFmtId="0" fontId="6" fillId="0" borderId="0" xfId="0" applyFont="1" applyAlignment="1">
      <alignment horizontal="right"/>
    </xf>
    <xf numFmtId="164" fontId="3" fillId="0" borderId="1" xfId="1" applyFont="1" applyBorder="1"/>
    <xf numFmtId="164" fontId="0" fillId="0" borderId="1" xfId="1" applyFont="1" applyBorder="1"/>
    <xf numFmtId="0" fontId="10" fillId="0" borderId="0" xfId="0" applyFont="1"/>
    <xf numFmtId="164" fontId="3" fillId="0" borderId="1" xfId="0" applyNumberFormat="1" applyFont="1" applyBorder="1"/>
    <xf numFmtId="0" fontId="1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1" fillId="0" borderId="1" xfId="1" applyFont="1" applyBorder="1"/>
    <xf numFmtId="164" fontId="10" fillId="0" borderId="0" xfId="1" applyFont="1"/>
    <xf numFmtId="0" fontId="11" fillId="4" borderId="0" xfId="0" applyFont="1" applyFill="1"/>
    <xf numFmtId="0" fontId="0" fillId="0" borderId="0" xfId="0" applyAlignment="1">
      <alignment horizontal="right" readingOrder="2"/>
    </xf>
  </cellXfs>
  <cellStyles count="3">
    <cellStyle name="Comma [0]" xfId="1" builtinId="6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ECAB6-E63B-1742-97DF-A83309794907}">
  <dimension ref="A1:L143"/>
  <sheetViews>
    <sheetView rightToLeft="1" topLeftCell="A92" zoomScale="150" zoomScaleNormal="115" workbookViewId="0">
      <selection activeCell="A131" sqref="A131:XFD131"/>
    </sheetView>
  </sheetViews>
  <sheetFormatPr baseColWidth="10" defaultColWidth="8.83203125" defaultRowHeight="15" x14ac:dyDescent="0.2"/>
  <cols>
    <col min="2" max="2" width="29.33203125" customWidth="1"/>
    <col min="3" max="3" width="15.6640625" customWidth="1"/>
    <col min="4" max="4" width="10.6640625" style="1" customWidth="1"/>
    <col min="5" max="5" width="9.5" bestFit="1" customWidth="1"/>
    <col min="6" max="6" width="13.5" customWidth="1"/>
    <col min="7" max="9" width="9.5" bestFit="1" customWidth="1"/>
  </cols>
  <sheetData>
    <row r="1" spans="1:12" x14ac:dyDescent="0.2">
      <c r="E1" t="s">
        <v>0</v>
      </c>
      <c r="G1" s="2"/>
    </row>
    <row r="2" spans="1:12" x14ac:dyDescent="0.2">
      <c r="A2" t="s">
        <v>1</v>
      </c>
      <c r="E2" t="s">
        <v>2</v>
      </c>
      <c r="G2" s="3"/>
    </row>
    <row r="4" spans="1:12" ht="18" x14ac:dyDescent="0.35">
      <c r="A4" s="4" t="s">
        <v>3</v>
      </c>
      <c r="B4" s="4" t="s">
        <v>4</v>
      </c>
      <c r="C4" s="4"/>
      <c r="D4" s="5" t="s">
        <v>5</v>
      </c>
      <c r="F4" s="5" t="s">
        <v>6</v>
      </c>
      <c r="G4" s="5"/>
      <c r="H4" s="5"/>
      <c r="I4" s="5"/>
      <c r="J4" s="5"/>
      <c r="K4" s="5"/>
      <c r="L4" s="5"/>
    </row>
    <row r="5" spans="1:12" x14ac:dyDescent="0.2">
      <c r="A5">
        <v>1</v>
      </c>
      <c r="B5" t="s">
        <v>7</v>
      </c>
      <c r="D5" s="1">
        <v>80000</v>
      </c>
      <c r="F5" t="s">
        <v>8</v>
      </c>
    </row>
    <row r="6" spans="1:12" x14ac:dyDescent="0.2">
      <c r="B6" t="s">
        <v>9</v>
      </c>
      <c r="D6" s="2">
        <f>-D5</f>
        <v>-80000</v>
      </c>
    </row>
    <row r="8" spans="1:12" x14ac:dyDescent="0.2">
      <c r="A8">
        <v>5</v>
      </c>
      <c r="B8" t="s">
        <v>10</v>
      </c>
      <c r="D8" s="1">
        <v>60000</v>
      </c>
    </row>
    <row r="9" spans="1:12" x14ac:dyDescent="0.2">
      <c r="B9" t="s">
        <v>11</v>
      </c>
      <c r="D9" s="1">
        <f>-D8</f>
        <v>-60000</v>
      </c>
    </row>
    <row r="11" spans="1:12" x14ac:dyDescent="0.2">
      <c r="B11" t="s">
        <v>9</v>
      </c>
      <c r="D11" s="2">
        <v>60000</v>
      </c>
      <c r="F11" t="s">
        <v>12</v>
      </c>
    </row>
    <row r="12" spans="1:12" x14ac:dyDescent="0.2">
      <c r="B12" t="s">
        <v>13</v>
      </c>
      <c r="D12" s="3">
        <f>-D11</f>
        <v>-60000</v>
      </c>
    </row>
    <row r="14" spans="1:12" x14ac:dyDescent="0.2">
      <c r="B14" t="s">
        <v>14</v>
      </c>
      <c r="D14" s="2">
        <v>60000</v>
      </c>
      <c r="F14" t="s">
        <v>15</v>
      </c>
    </row>
    <row r="15" spans="1:12" x14ac:dyDescent="0.2">
      <c r="B15" t="s">
        <v>16</v>
      </c>
      <c r="D15" s="2">
        <f>-D14</f>
        <v>-60000</v>
      </c>
    </row>
    <row r="17" spans="1:12" x14ac:dyDescent="0.2">
      <c r="A17">
        <v>9</v>
      </c>
      <c r="B17" t="s">
        <v>17</v>
      </c>
      <c r="D17" s="3">
        <f>60000/3*4/12</f>
        <v>6666.666666666667</v>
      </c>
      <c r="E17" s="6" t="str">
        <f ca="1">_xlfn.FORMULATEXT(D17)</f>
        <v>=60000/3*4/12</v>
      </c>
      <c r="G17" t="s">
        <v>18</v>
      </c>
    </row>
    <row r="18" spans="1:12" x14ac:dyDescent="0.2">
      <c r="B18" t="s">
        <v>19</v>
      </c>
      <c r="D18" s="1">
        <f>-D17</f>
        <v>-6666.666666666667</v>
      </c>
    </row>
    <row r="20" spans="1:12" x14ac:dyDescent="0.2">
      <c r="B20" t="s">
        <v>16</v>
      </c>
      <c r="D20" s="2">
        <f>60000/3*4/12</f>
        <v>6666.666666666667</v>
      </c>
      <c r="G20" t="s">
        <v>20</v>
      </c>
    </row>
    <row r="21" spans="1:12" x14ac:dyDescent="0.2">
      <c r="B21" t="s">
        <v>14</v>
      </c>
      <c r="D21" s="2">
        <f>-D20</f>
        <v>-6666.666666666667</v>
      </c>
    </row>
    <row r="23" spans="1:12" x14ac:dyDescent="0.2">
      <c r="B23" t="s">
        <v>21</v>
      </c>
      <c r="D23" s="1">
        <v>24000</v>
      </c>
      <c r="G23" t="s">
        <v>22</v>
      </c>
    </row>
    <row r="24" spans="1:12" x14ac:dyDescent="0.2">
      <c r="B24" t="s">
        <v>10</v>
      </c>
      <c r="D24" s="1">
        <f>-6000*6</f>
        <v>-36000</v>
      </c>
      <c r="E24" s="6" t="str">
        <f ca="1">_xlfn.FORMULATEXT(D24)</f>
        <v>=-6000*6</v>
      </c>
    </row>
    <row r="25" spans="1:12" x14ac:dyDescent="0.2">
      <c r="B25" t="s">
        <v>19</v>
      </c>
      <c r="D25" s="1">
        <f>D17*6/10</f>
        <v>4000</v>
      </c>
    </row>
    <row r="26" spans="1:12" x14ac:dyDescent="0.2">
      <c r="B26" t="s">
        <v>23</v>
      </c>
      <c r="D26" s="3">
        <f>-SUM(D23:D25)</f>
        <v>8000</v>
      </c>
    </row>
    <row r="28" spans="1:12" x14ac:dyDescent="0.2">
      <c r="B28" t="s">
        <v>16</v>
      </c>
      <c r="D28" s="2">
        <f>-SUM(D24:D25)</f>
        <v>32000</v>
      </c>
      <c r="G28" t="s">
        <v>24</v>
      </c>
    </row>
    <row r="29" spans="1:12" x14ac:dyDescent="0.2">
      <c r="B29" t="s">
        <v>14</v>
      </c>
      <c r="D29" s="2">
        <f>-D28</f>
        <v>-32000</v>
      </c>
    </row>
    <row r="31" spans="1:12" x14ac:dyDescent="0.2">
      <c r="B31" t="s">
        <v>25</v>
      </c>
      <c r="D31" s="3">
        <f>D26*4/6</f>
        <v>5333.333333333333</v>
      </c>
      <c r="E31" s="6" t="str">
        <f ca="1">_xlfn.FORMULATEXT(D31)</f>
        <v>=D26*4/6</v>
      </c>
      <c r="G31" t="s">
        <v>26</v>
      </c>
    </row>
    <row r="32" spans="1:12" x14ac:dyDescent="0.2">
      <c r="B32" t="s">
        <v>27</v>
      </c>
      <c r="D32" s="1">
        <f>-D31</f>
        <v>-5333.333333333333</v>
      </c>
      <c r="G32" t="s">
        <v>28</v>
      </c>
      <c r="J32" s="7">
        <f>D23*4/6</f>
        <v>16000</v>
      </c>
      <c r="K32" s="6" t="str">
        <f ca="1">_xlfn.FORMULATEXT(J32)</f>
        <v>=D23*4/6</v>
      </c>
      <c r="L32" t="s">
        <v>29</v>
      </c>
    </row>
    <row r="34" spans="1:7" x14ac:dyDescent="0.2">
      <c r="B34" t="s">
        <v>16</v>
      </c>
      <c r="D34" s="2">
        <f>D31</f>
        <v>5333.333333333333</v>
      </c>
      <c r="G34" t="s">
        <v>30</v>
      </c>
    </row>
    <row r="35" spans="1:7" x14ac:dyDescent="0.2">
      <c r="B35" t="s">
        <v>14</v>
      </c>
      <c r="D35" s="2">
        <f>-D34</f>
        <v>-5333.333333333333</v>
      </c>
    </row>
    <row r="37" spans="1:7" x14ac:dyDescent="0.2">
      <c r="B37" t="s">
        <v>17</v>
      </c>
      <c r="D37" s="3">
        <f>J32*4/32</f>
        <v>2000</v>
      </c>
      <c r="E37" s="6" t="str">
        <f ca="1">_xlfn.FORMULATEXT(D37)</f>
        <v>=J32*4/32</v>
      </c>
      <c r="G37" t="s">
        <v>31</v>
      </c>
    </row>
    <row r="38" spans="1:7" x14ac:dyDescent="0.2">
      <c r="B38" t="s">
        <v>27</v>
      </c>
      <c r="D38" s="1">
        <f>D31*4/32</f>
        <v>666.66666666666663</v>
      </c>
      <c r="E38" s="6" t="str">
        <f ca="1">_xlfn.FORMULATEXT(D38)</f>
        <v>=D31*4/32</v>
      </c>
    </row>
    <row r="39" spans="1:7" x14ac:dyDescent="0.2">
      <c r="B39" t="s">
        <v>19</v>
      </c>
      <c r="D39" s="1">
        <f>-SUM(D37:D38)</f>
        <v>-2666.6666666666665</v>
      </c>
    </row>
    <row r="41" spans="1:7" x14ac:dyDescent="0.2">
      <c r="B41" t="s">
        <v>16</v>
      </c>
      <c r="D41" s="2">
        <f>D37</f>
        <v>2000</v>
      </c>
      <c r="G41" t="s">
        <v>20</v>
      </c>
    </row>
    <row r="42" spans="1:7" x14ac:dyDescent="0.2">
      <c r="B42" t="s">
        <v>14</v>
      </c>
      <c r="D42" s="2">
        <f>-D41</f>
        <v>-2000</v>
      </c>
    </row>
    <row r="44" spans="1:7" x14ac:dyDescent="0.2">
      <c r="A44">
        <v>2</v>
      </c>
      <c r="B44" t="s">
        <v>21</v>
      </c>
      <c r="D44" s="1">
        <v>30000</v>
      </c>
    </row>
    <row r="45" spans="1:7" x14ac:dyDescent="0.2">
      <c r="B45" t="s">
        <v>9</v>
      </c>
      <c r="D45" s="2">
        <f>-D44</f>
        <v>-30000</v>
      </c>
      <c r="G45" t="s">
        <v>32</v>
      </c>
    </row>
    <row r="47" spans="1:7" x14ac:dyDescent="0.2">
      <c r="A47">
        <v>6</v>
      </c>
      <c r="B47" t="s">
        <v>14</v>
      </c>
      <c r="D47" s="2">
        <v>30000</v>
      </c>
      <c r="G47" t="s">
        <v>33</v>
      </c>
    </row>
    <row r="48" spans="1:7" x14ac:dyDescent="0.2">
      <c r="B48" t="s">
        <v>9</v>
      </c>
      <c r="D48" s="2">
        <f>-D47</f>
        <v>-30000</v>
      </c>
    </row>
    <row r="50" spans="1:10" x14ac:dyDescent="0.2">
      <c r="B50" t="s">
        <v>34</v>
      </c>
      <c r="D50" s="1">
        <v>30000</v>
      </c>
      <c r="G50" t="s">
        <v>35</v>
      </c>
    </row>
    <row r="51" spans="1:10" x14ac:dyDescent="0.2">
      <c r="B51" t="s">
        <v>9</v>
      </c>
      <c r="D51" s="2">
        <f>-D50</f>
        <v>-30000</v>
      </c>
    </row>
    <row r="53" spans="1:10" x14ac:dyDescent="0.2">
      <c r="A53">
        <v>8</v>
      </c>
      <c r="B53" t="s">
        <v>36</v>
      </c>
      <c r="D53" s="3">
        <v>45000</v>
      </c>
    </row>
    <row r="54" spans="1:10" x14ac:dyDescent="0.2">
      <c r="B54" t="s">
        <v>21</v>
      </c>
      <c r="D54" s="1">
        <f>-D53</f>
        <v>-45000</v>
      </c>
    </row>
    <row r="56" spans="1:10" x14ac:dyDescent="0.2">
      <c r="B56" t="s">
        <v>9</v>
      </c>
      <c r="D56" s="2">
        <v>45000</v>
      </c>
      <c r="G56" t="s">
        <v>37</v>
      </c>
    </row>
    <row r="57" spans="1:10" x14ac:dyDescent="0.2">
      <c r="B57" t="s">
        <v>38</v>
      </c>
      <c r="D57" s="3">
        <f>-D56*2/3</f>
        <v>-30000</v>
      </c>
      <c r="G57" t="s">
        <v>39</v>
      </c>
    </row>
    <row r="58" spans="1:10" x14ac:dyDescent="0.2">
      <c r="B58" t="s">
        <v>14</v>
      </c>
      <c r="D58" s="2">
        <f>-SUM(D56:D57)</f>
        <v>-15000</v>
      </c>
      <c r="G58" t="s">
        <v>40</v>
      </c>
    </row>
    <row r="60" spans="1:10" x14ac:dyDescent="0.2">
      <c r="A60">
        <v>3</v>
      </c>
      <c r="B60" t="s">
        <v>21</v>
      </c>
      <c r="D60" s="1">
        <v>120000</v>
      </c>
    </row>
    <row r="61" spans="1:10" x14ac:dyDescent="0.2">
      <c r="B61" t="s">
        <v>41</v>
      </c>
      <c r="D61" s="1">
        <f>PV(I61,24,3000)</f>
        <v>-69827.021574318293</v>
      </c>
      <c r="E61" s="6" t="str">
        <f ca="1">_xlfn.FORMULATEXT(D61)</f>
        <v>=PV(I61,24,3000)</v>
      </c>
      <c r="G61" t="s">
        <v>42</v>
      </c>
      <c r="I61" s="8">
        <f>1.03^(1/12)-1</f>
        <v>2.4662697723036864E-3</v>
      </c>
      <c r="J61" s="6" t="str">
        <f ca="1">_xlfn.FORMULATEXT(I61)</f>
        <v>=1.03^(1/12)-1</v>
      </c>
    </row>
    <row r="62" spans="1:10" x14ac:dyDescent="0.2">
      <c r="B62" t="s">
        <v>43</v>
      </c>
      <c r="D62" s="3">
        <f>-SUM(D60:D61)</f>
        <v>-50172.978425681707</v>
      </c>
    </row>
    <row r="64" spans="1:10" x14ac:dyDescent="0.2">
      <c r="B64" t="s">
        <v>44</v>
      </c>
    </row>
    <row r="65" spans="2:4" x14ac:dyDescent="0.2">
      <c r="B65" s="6">
        <v>1.3</v>
      </c>
      <c r="C65" s="1">
        <f>D61</f>
        <v>-69827.021574318293</v>
      </c>
    </row>
    <row r="66" spans="2:4" x14ac:dyDescent="0.2">
      <c r="B66" s="6" t="s">
        <v>45</v>
      </c>
      <c r="C66" s="1">
        <f>4*3000</f>
        <v>12000</v>
      </c>
    </row>
    <row r="67" spans="2:4" ht="18" x14ac:dyDescent="0.35">
      <c r="B67" s="6" t="s">
        <v>46</v>
      </c>
      <c r="C67" s="9">
        <f>C68-SUM(C65:C66)</f>
        <v>-646.93572368439345</v>
      </c>
      <c r="D67" s="1" t="s">
        <v>47</v>
      </c>
    </row>
    <row r="68" spans="2:4" x14ac:dyDescent="0.2">
      <c r="B68" s="6" t="s">
        <v>48</v>
      </c>
      <c r="C68" s="1">
        <f>PV(I61,20,3000)</f>
        <v>-58473.957298002686</v>
      </c>
      <c r="D68" s="6" t="str">
        <f ca="1">_xlfn.FORMULATEXT(C68)</f>
        <v>=PV(I61,20,3000)</v>
      </c>
    </row>
    <row r="69" spans="2:4" ht="18" x14ac:dyDescent="0.35">
      <c r="B69" s="6" t="s">
        <v>49</v>
      </c>
      <c r="C69" s="9">
        <f>C70-C68</f>
        <v>-44748.741532194967</v>
      </c>
    </row>
    <row r="70" spans="2:4" x14ac:dyDescent="0.2">
      <c r="B70" s="6" t="s">
        <v>50</v>
      </c>
      <c r="C70" s="1">
        <f>PV(I61,36,3000)</f>
        <v>-103222.69883019765</v>
      </c>
      <c r="D70" s="6" t="str">
        <f ca="1">_xlfn.FORMULATEXT(C70)</f>
        <v>=PV(I61,36,3000)</v>
      </c>
    </row>
    <row r="71" spans="2:4" x14ac:dyDescent="0.2">
      <c r="B71" s="6" t="s">
        <v>45</v>
      </c>
      <c r="C71" s="1">
        <f>6*3000</f>
        <v>18000</v>
      </c>
    </row>
    <row r="72" spans="2:4" ht="18" x14ac:dyDescent="0.35">
      <c r="B72" s="6" t="s">
        <v>46</v>
      </c>
      <c r="C72" s="9">
        <f>C73-SUM(C70:C71)</f>
        <v>-1425.5511535251135</v>
      </c>
    </row>
    <row r="73" spans="2:4" ht="18" x14ac:dyDescent="0.35">
      <c r="B73">
        <v>31.12</v>
      </c>
      <c r="C73" s="10">
        <f>PV(I61,30,3000)</f>
        <v>-86648.249983722766</v>
      </c>
      <c r="D73" s="6" t="str">
        <f ca="1">_xlfn.FORMULATEXT(C73)</f>
        <v>=PV(I61,30,3000)</v>
      </c>
    </row>
    <row r="75" spans="2:4" x14ac:dyDescent="0.2">
      <c r="B75" t="s">
        <v>41</v>
      </c>
      <c r="D75" s="1">
        <f>C66+C71</f>
        <v>30000</v>
      </c>
    </row>
    <row r="76" spans="2:4" x14ac:dyDescent="0.2">
      <c r="B76" t="s">
        <v>21</v>
      </c>
      <c r="D76" s="1">
        <f>-D75</f>
        <v>-30000</v>
      </c>
    </row>
    <row r="78" spans="2:4" x14ac:dyDescent="0.2">
      <c r="B78" t="s">
        <v>46</v>
      </c>
      <c r="D78" s="3">
        <f>-C67-C72</f>
        <v>2072.4868772095069</v>
      </c>
    </row>
    <row r="79" spans="2:4" x14ac:dyDescent="0.2">
      <c r="B79" t="s">
        <v>41</v>
      </c>
      <c r="D79" s="1">
        <f>-D78</f>
        <v>-2072.4868772095069</v>
      </c>
    </row>
    <row r="81" spans="1:6" x14ac:dyDescent="0.2">
      <c r="B81" t="s">
        <v>51</v>
      </c>
      <c r="D81" s="3">
        <f>-C69</f>
        <v>44748.741532194967</v>
      </c>
    </row>
    <row r="82" spans="1:6" x14ac:dyDescent="0.2">
      <c r="B82" t="s">
        <v>41</v>
      </c>
      <c r="D82" s="1">
        <f>-D81</f>
        <v>-44748.741532194967</v>
      </c>
    </row>
    <row r="84" spans="1:6" x14ac:dyDescent="0.2">
      <c r="A84">
        <v>4</v>
      </c>
      <c r="B84" t="s">
        <v>52</v>
      </c>
      <c r="D84" s="3">
        <f>3500*2</f>
        <v>7000</v>
      </c>
      <c r="E84" s="6" t="str">
        <f ca="1">_xlfn.FORMULATEXT(D84)</f>
        <v>=3500*2</v>
      </c>
      <c r="F84" t="s">
        <v>53</v>
      </c>
    </row>
    <row r="85" spans="1:6" x14ac:dyDescent="0.2">
      <c r="B85" t="s">
        <v>54</v>
      </c>
      <c r="D85" s="3">
        <f>-D84</f>
        <v>-7000</v>
      </c>
      <c r="F85" t="s">
        <v>55</v>
      </c>
    </row>
    <row r="87" spans="1:6" x14ac:dyDescent="0.2">
      <c r="A87">
        <v>10</v>
      </c>
      <c r="B87" t="s">
        <v>21</v>
      </c>
      <c r="D87" s="1">
        <v>240000</v>
      </c>
    </row>
    <row r="88" spans="1:6" x14ac:dyDescent="0.2">
      <c r="B88" t="s">
        <v>56</v>
      </c>
      <c r="D88" s="3">
        <f>-D87*0.25</f>
        <v>-60000</v>
      </c>
      <c r="E88" s="6" t="str">
        <f ca="1">_xlfn.FORMULATEXT(D88)</f>
        <v>=-D87*0.25</v>
      </c>
    </row>
    <row r="89" spans="1:6" x14ac:dyDescent="0.2">
      <c r="B89" t="s">
        <v>9</v>
      </c>
      <c r="D89" s="2">
        <f>-SUM(D87:D88)</f>
        <v>-180000</v>
      </c>
      <c r="F89" t="s">
        <v>57</v>
      </c>
    </row>
    <row r="91" spans="1:6" x14ac:dyDescent="0.2">
      <c r="A91">
        <v>11</v>
      </c>
      <c r="B91" t="s">
        <v>58</v>
      </c>
      <c r="D91" s="3">
        <v>25000</v>
      </c>
    </row>
    <row r="92" spans="1:6" x14ac:dyDescent="0.2">
      <c r="B92" t="s">
        <v>21</v>
      </c>
      <c r="D92" s="1">
        <f>-D91</f>
        <v>-25000</v>
      </c>
    </row>
    <row r="94" spans="1:6" x14ac:dyDescent="0.2">
      <c r="A94">
        <v>12</v>
      </c>
      <c r="B94" t="s">
        <v>59</v>
      </c>
      <c r="D94" s="1">
        <v>30000</v>
      </c>
    </row>
    <row r="95" spans="1:6" x14ac:dyDescent="0.2">
      <c r="B95" t="s">
        <v>21</v>
      </c>
      <c r="D95" s="1">
        <f>-D94</f>
        <v>-30000</v>
      </c>
    </row>
    <row r="97" spans="1:12" x14ac:dyDescent="0.2">
      <c r="A97">
        <v>13</v>
      </c>
      <c r="B97" t="s">
        <v>60</v>
      </c>
      <c r="D97" s="3">
        <v>60000</v>
      </c>
    </row>
    <row r="98" spans="1:12" x14ac:dyDescent="0.2">
      <c r="B98" t="s">
        <v>21</v>
      </c>
      <c r="D98" s="1">
        <f>-D97</f>
        <v>-60000</v>
      </c>
    </row>
    <row r="100" spans="1:12" ht="16" x14ac:dyDescent="0.2">
      <c r="A100" s="11" t="s">
        <v>61</v>
      </c>
      <c r="B100" s="12"/>
      <c r="C100" s="12"/>
      <c r="D100" s="13"/>
      <c r="E100" s="12"/>
      <c r="F100" s="12"/>
      <c r="G100" s="12"/>
      <c r="H100" s="12"/>
      <c r="I100" s="12"/>
      <c r="J100" s="12"/>
      <c r="K100" s="12"/>
      <c r="L100" s="12"/>
    </row>
    <row r="101" spans="1:12" ht="16" x14ac:dyDescent="0.2">
      <c r="A101" s="12"/>
      <c r="B101" s="12"/>
      <c r="C101" s="12"/>
      <c r="D101" s="13"/>
      <c r="E101" s="12"/>
      <c r="F101" s="12"/>
      <c r="G101" s="12"/>
      <c r="H101" s="12"/>
      <c r="I101" s="12"/>
      <c r="J101" s="12"/>
      <c r="K101" s="12"/>
      <c r="L101" s="12"/>
    </row>
    <row r="102" spans="1:12" ht="19" x14ac:dyDescent="0.35">
      <c r="A102" s="14" t="s">
        <v>62</v>
      </c>
      <c r="B102" s="12"/>
      <c r="C102" s="12"/>
      <c r="D102" s="15" t="s">
        <v>63</v>
      </c>
      <c r="E102" s="4" t="s">
        <v>64</v>
      </c>
      <c r="F102" s="4" t="s">
        <v>65</v>
      </c>
      <c r="G102" s="4" t="s">
        <v>66</v>
      </c>
      <c r="H102" s="4" t="s">
        <v>67</v>
      </c>
      <c r="I102" s="4" t="s">
        <v>68</v>
      </c>
      <c r="J102" s="4" t="s">
        <v>69</v>
      </c>
      <c r="K102" s="4" t="s">
        <v>70</v>
      </c>
      <c r="L102" s="4" t="s">
        <v>71</v>
      </c>
    </row>
    <row r="103" spans="1:12" ht="16" x14ac:dyDescent="0.2">
      <c r="A103" s="12" t="s">
        <v>72</v>
      </c>
      <c r="B103" s="12"/>
      <c r="C103" s="12"/>
      <c r="D103" s="16">
        <f>SUM(E103:L103)</f>
        <v>50172.978425681707</v>
      </c>
      <c r="E103" s="13"/>
      <c r="F103" s="17"/>
      <c r="G103" s="12"/>
      <c r="H103" s="12"/>
      <c r="I103" s="17"/>
      <c r="J103" s="17"/>
      <c r="K103" s="17"/>
      <c r="L103" s="17">
        <f>-D62</f>
        <v>50172.978425681707</v>
      </c>
    </row>
    <row r="104" spans="1:12" ht="16" x14ac:dyDescent="0.2">
      <c r="A104" s="12" t="s">
        <v>73</v>
      </c>
      <c r="B104" s="12"/>
      <c r="C104" s="12"/>
      <c r="D104" s="16">
        <f t="shared" ref="D104:D107" si="0">SUM(E104:L104)</f>
        <v>7000</v>
      </c>
      <c r="E104" s="13"/>
      <c r="F104" s="17"/>
      <c r="G104" s="17"/>
      <c r="H104" s="12"/>
      <c r="I104" s="17"/>
      <c r="J104" s="17"/>
      <c r="K104" s="17">
        <v>7000</v>
      </c>
      <c r="L104" s="17"/>
    </row>
    <row r="105" spans="1:12" ht="16" x14ac:dyDescent="0.2">
      <c r="A105" s="12" t="s">
        <v>74</v>
      </c>
      <c r="B105" s="12"/>
      <c r="C105" s="12"/>
      <c r="D105" s="16">
        <f t="shared" si="0"/>
        <v>60000</v>
      </c>
      <c r="E105" s="13"/>
      <c r="F105" s="17"/>
      <c r="G105" s="17"/>
      <c r="H105" s="12"/>
      <c r="I105" s="17"/>
      <c r="J105" s="17">
        <f>-D12</f>
        <v>60000</v>
      </c>
      <c r="K105" s="17"/>
      <c r="L105" s="17"/>
    </row>
    <row r="106" spans="1:12" ht="16" x14ac:dyDescent="0.2">
      <c r="A106" s="12" t="s">
        <v>75</v>
      </c>
      <c r="B106" s="12"/>
      <c r="C106" s="12"/>
      <c r="D106" s="16">
        <f t="shared" si="0"/>
        <v>30000</v>
      </c>
      <c r="E106" s="13"/>
      <c r="F106" s="17"/>
      <c r="G106" s="17"/>
      <c r="H106" s="12"/>
      <c r="I106" s="17">
        <f>-D57</f>
        <v>30000</v>
      </c>
      <c r="J106" s="17"/>
      <c r="K106" s="17"/>
      <c r="L106" s="17"/>
    </row>
    <row r="107" spans="1:12" ht="19" x14ac:dyDescent="0.35">
      <c r="A107" s="12" t="s">
        <v>76</v>
      </c>
      <c r="B107" s="12"/>
      <c r="C107" s="12"/>
      <c r="D107" s="18">
        <f t="shared" si="0"/>
        <v>60000</v>
      </c>
      <c r="E107" s="13"/>
      <c r="F107" s="17"/>
      <c r="G107" s="17"/>
      <c r="H107" s="17">
        <f>-D88</f>
        <v>60000</v>
      </c>
      <c r="I107" s="17"/>
      <c r="J107" s="17"/>
      <c r="K107" s="17"/>
      <c r="L107" s="17"/>
    </row>
    <row r="108" spans="1:12" ht="16" x14ac:dyDescent="0.2">
      <c r="A108" s="12"/>
      <c r="B108" s="12"/>
      <c r="C108" s="12"/>
      <c r="D108" s="16">
        <f>SUM(D103:D107)</f>
        <v>207172.97842568171</v>
      </c>
      <c r="E108" s="13"/>
      <c r="F108" s="17"/>
      <c r="G108" s="17"/>
      <c r="H108" s="17"/>
      <c r="I108" s="17"/>
      <c r="J108" s="17"/>
      <c r="K108" s="17"/>
      <c r="L108" s="17"/>
    </row>
    <row r="109" spans="1:12" ht="16" x14ac:dyDescent="0.2">
      <c r="A109" s="14" t="s">
        <v>77</v>
      </c>
      <c r="B109" s="12"/>
      <c r="C109" s="12"/>
      <c r="D109" s="19"/>
      <c r="E109" s="13"/>
      <c r="F109" s="17"/>
      <c r="G109" s="17"/>
      <c r="H109" s="12"/>
      <c r="I109" s="17"/>
      <c r="J109" s="17"/>
      <c r="K109" s="17"/>
      <c r="L109" s="17"/>
    </row>
    <row r="110" spans="1:12" ht="16" x14ac:dyDescent="0.2">
      <c r="A110" s="12" t="s">
        <v>78</v>
      </c>
      <c r="B110" s="12"/>
      <c r="C110" s="12"/>
      <c r="D110" s="16">
        <f t="shared" ref="D110:D114" si="1">SUM(E110:L110)</f>
        <v>-52000</v>
      </c>
      <c r="E110" s="13"/>
      <c r="F110" s="17"/>
      <c r="G110" s="17"/>
      <c r="H110" s="12"/>
      <c r="I110" s="17">
        <f>-D53</f>
        <v>-45000</v>
      </c>
      <c r="J110" s="17"/>
      <c r="K110" s="17">
        <f>-D84</f>
        <v>-7000</v>
      </c>
      <c r="L110" s="17"/>
    </row>
    <row r="111" spans="1:12" ht="16" x14ac:dyDescent="0.2">
      <c r="A111" s="12" t="s">
        <v>51</v>
      </c>
      <c r="B111" s="12"/>
      <c r="C111" s="12"/>
      <c r="D111" s="16">
        <f>-D81</f>
        <v>-44748.741532194967</v>
      </c>
      <c r="E111" s="13"/>
      <c r="F111" s="17"/>
      <c r="G111" s="17"/>
      <c r="H111" s="12"/>
      <c r="I111" s="17"/>
      <c r="J111" s="17"/>
      <c r="K111" s="17"/>
      <c r="L111" s="17"/>
    </row>
    <row r="112" spans="1:12" ht="16" x14ac:dyDescent="0.2">
      <c r="A112" s="12" t="s">
        <v>79</v>
      </c>
      <c r="B112" s="12"/>
      <c r="C112" s="12"/>
      <c r="D112" s="16">
        <f t="shared" si="1"/>
        <v>-8666.6666666666679</v>
      </c>
      <c r="E112" s="13"/>
      <c r="F112" s="17"/>
      <c r="G112" s="17"/>
      <c r="H112" s="12"/>
      <c r="I112" s="17"/>
      <c r="J112" s="17">
        <f>-D17-D37</f>
        <v>-8666.6666666666679</v>
      </c>
      <c r="K112" s="17"/>
      <c r="L112" s="17"/>
    </row>
    <row r="113" spans="1:12" ht="16" x14ac:dyDescent="0.2">
      <c r="A113" s="12" t="s">
        <v>80</v>
      </c>
      <c r="B113" s="12"/>
      <c r="C113" s="12"/>
      <c r="D113" s="16">
        <f t="shared" si="1"/>
        <v>-25000</v>
      </c>
      <c r="E113" s="13"/>
      <c r="F113" s="13"/>
      <c r="G113" s="17">
        <f>-D91</f>
        <v>-25000</v>
      </c>
      <c r="H113" s="12"/>
      <c r="I113" s="12"/>
      <c r="J113" s="12"/>
      <c r="K113" s="12"/>
      <c r="L113" s="12"/>
    </row>
    <row r="114" spans="1:12" ht="19" x14ac:dyDescent="0.35">
      <c r="A114" s="12" t="s">
        <v>81</v>
      </c>
      <c r="B114" s="12"/>
      <c r="C114" s="12"/>
      <c r="D114" s="18">
        <f t="shared" si="1"/>
        <v>-60000</v>
      </c>
      <c r="E114" s="13">
        <f>-D97</f>
        <v>-60000</v>
      </c>
      <c r="F114" s="12"/>
      <c r="G114" s="12"/>
      <c r="H114" s="12"/>
      <c r="I114" s="12"/>
      <c r="J114" s="12"/>
      <c r="K114" s="12"/>
      <c r="L114" s="12"/>
    </row>
    <row r="115" spans="1:12" ht="16" x14ac:dyDescent="0.2">
      <c r="A115" s="12"/>
      <c r="B115" s="12"/>
      <c r="C115" s="12"/>
      <c r="D115" s="16">
        <f>SUM(D110:D114)</f>
        <v>-190415.40819886164</v>
      </c>
      <c r="E115" s="13"/>
      <c r="F115" s="12"/>
      <c r="G115" s="12"/>
      <c r="H115" s="12"/>
      <c r="I115" s="12"/>
      <c r="J115" s="12"/>
      <c r="K115" s="12"/>
      <c r="L115" s="12"/>
    </row>
    <row r="116" spans="1:12" ht="16" x14ac:dyDescent="0.2">
      <c r="A116" s="12"/>
      <c r="B116" s="12"/>
      <c r="C116" s="12"/>
      <c r="D116" s="16"/>
      <c r="E116" s="13"/>
      <c r="F116" s="12"/>
      <c r="G116" s="12"/>
      <c r="H116" s="12"/>
      <c r="I116" s="12"/>
      <c r="J116" s="12"/>
      <c r="K116" s="12"/>
      <c r="L116" s="12"/>
    </row>
    <row r="117" spans="1:12" ht="16" x14ac:dyDescent="0.2">
      <c r="A117" s="12" t="s">
        <v>82</v>
      </c>
      <c r="B117" s="12"/>
      <c r="C117" s="12"/>
      <c r="D117" s="16">
        <f>-D26-D31</f>
        <v>-13333.333333333332</v>
      </c>
      <c r="E117" s="13"/>
      <c r="F117" s="13"/>
      <c r="G117" s="12"/>
      <c r="H117" s="12"/>
      <c r="I117" s="12"/>
      <c r="J117" s="17">
        <f>-D43-D49</f>
        <v>0</v>
      </c>
      <c r="K117" s="12"/>
      <c r="L117" s="12"/>
    </row>
    <row r="118" spans="1:12" ht="19" x14ac:dyDescent="0.35">
      <c r="A118" s="12" t="s">
        <v>46</v>
      </c>
      <c r="B118" s="12"/>
      <c r="C118" s="12"/>
      <c r="D118" s="18">
        <f>-D78</f>
        <v>-2072.4868772095069</v>
      </c>
      <c r="E118" s="13"/>
      <c r="F118" s="17"/>
      <c r="G118" s="17"/>
      <c r="H118" s="12"/>
      <c r="I118" s="17"/>
      <c r="J118" s="17"/>
      <c r="K118" s="17"/>
      <c r="L118" s="17">
        <f>-D7</f>
        <v>0</v>
      </c>
    </row>
    <row r="119" spans="1:12" ht="16" x14ac:dyDescent="0.2">
      <c r="A119" s="12" t="s">
        <v>83</v>
      </c>
      <c r="B119" s="12"/>
      <c r="C119" s="12"/>
      <c r="D119" s="19">
        <f>D108+D115+D117+D118</f>
        <v>1351.7500162772303</v>
      </c>
      <c r="E119" s="12"/>
      <c r="F119" s="12"/>
      <c r="G119" s="12"/>
      <c r="H119" s="12"/>
      <c r="I119" s="12"/>
      <c r="J119" s="12"/>
      <c r="K119" s="12"/>
      <c r="L119" s="12"/>
    </row>
    <row r="120" spans="1:12" ht="16" x14ac:dyDescent="0.2">
      <c r="A120" s="12"/>
      <c r="B120" s="12"/>
      <c r="C120" s="12"/>
      <c r="D120" s="13"/>
      <c r="E120" s="12"/>
      <c r="F120" s="12"/>
      <c r="G120" s="12"/>
      <c r="H120" s="12"/>
      <c r="I120" s="12"/>
      <c r="J120" s="12"/>
      <c r="K120" s="12"/>
      <c r="L120" s="12"/>
    </row>
    <row r="121" spans="1:12" ht="16" x14ac:dyDescent="0.2">
      <c r="A121" s="12"/>
      <c r="B121" s="12"/>
      <c r="C121" s="12"/>
      <c r="D121" s="13"/>
      <c r="E121" s="12"/>
      <c r="F121" s="12"/>
      <c r="G121" s="12"/>
      <c r="H121" s="12"/>
      <c r="I121" s="12"/>
      <c r="J121" s="12"/>
      <c r="K121" s="12"/>
      <c r="L121" s="12"/>
    </row>
    <row r="122" spans="1:12" ht="16" x14ac:dyDescent="0.2">
      <c r="A122" s="11" t="s">
        <v>84</v>
      </c>
      <c r="B122" s="12"/>
      <c r="C122" s="12"/>
      <c r="D122" s="13"/>
      <c r="E122" s="12"/>
      <c r="F122" s="12"/>
      <c r="G122" s="12"/>
      <c r="H122" s="12"/>
      <c r="I122" s="12"/>
      <c r="J122" s="12"/>
      <c r="K122" s="12"/>
      <c r="L122" s="12"/>
    </row>
    <row r="123" spans="1:12" ht="16" x14ac:dyDescent="0.2">
      <c r="A123" s="12"/>
      <c r="B123" s="12"/>
      <c r="C123" s="12"/>
      <c r="D123" s="13"/>
      <c r="E123" s="12"/>
      <c r="F123" s="12"/>
      <c r="G123" s="12"/>
      <c r="H123" s="12"/>
      <c r="I123" s="12"/>
      <c r="J123" s="12"/>
      <c r="K123" s="12"/>
      <c r="L123" s="12"/>
    </row>
    <row r="124" spans="1:12" ht="19" x14ac:dyDescent="0.35">
      <c r="A124" s="12"/>
      <c r="B124" s="12"/>
      <c r="C124" s="12"/>
      <c r="D124" s="4" t="s">
        <v>85</v>
      </c>
      <c r="E124" s="4"/>
      <c r="F124" s="4"/>
      <c r="G124" s="12"/>
      <c r="H124" s="20" t="s">
        <v>86</v>
      </c>
      <c r="I124" s="12"/>
      <c r="J124" s="12"/>
      <c r="K124" s="12"/>
      <c r="L124" s="12"/>
    </row>
    <row r="125" spans="1:12" ht="16" x14ac:dyDescent="0.2">
      <c r="A125" s="12"/>
      <c r="B125" s="12"/>
      <c r="C125" s="12"/>
      <c r="D125" s="13"/>
      <c r="E125" s="12"/>
      <c r="F125" s="20" t="s">
        <v>87</v>
      </c>
      <c r="G125" s="12"/>
      <c r="H125" s="20" t="s">
        <v>88</v>
      </c>
      <c r="I125" s="12"/>
      <c r="J125" s="12"/>
      <c r="K125" s="12"/>
      <c r="L125" s="12"/>
    </row>
    <row r="126" spans="1:12" ht="19" x14ac:dyDescent="0.35">
      <c r="A126" s="12"/>
      <c r="B126" s="12"/>
      <c r="C126" s="12"/>
      <c r="D126" s="4" t="s">
        <v>89</v>
      </c>
      <c r="E126" s="12"/>
      <c r="F126" s="4" t="s">
        <v>90</v>
      </c>
      <c r="G126" s="12"/>
      <c r="H126" s="4" t="s">
        <v>91</v>
      </c>
      <c r="I126" s="4" t="s">
        <v>63</v>
      </c>
      <c r="J126" s="12"/>
      <c r="K126" s="12"/>
      <c r="L126" s="12"/>
    </row>
    <row r="127" spans="1:12" ht="16" x14ac:dyDescent="0.2">
      <c r="A127" s="12" t="s">
        <v>92</v>
      </c>
      <c r="B127" s="12"/>
      <c r="C127" s="12"/>
      <c r="D127" s="13">
        <v>0</v>
      </c>
      <c r="E127" s="13"/>
      <c r="F127" s="13">
        <v>0</v>
      </c>
      <c r="G127" s="13"/>
      <c r="H127" s="13">
        <v>0</v>
      </c>
      <c r="I127" s="13">
        <f>SUM(D127:H127)</f>
        <v>0</v>
      </c>
      <c r="J127" s="12"/>
      <c r="K127" s="12"/>
      <c r="L127" s="12"/>
    </row>
    <row r="128" spans="1:12" ht="16" x14ac:dyDescent="0.2">
      <c r="A128" s="12"/>
      <c r="B128" s="12"/>
      <c r="C128" s="12"/>
      <c r="D128" s="13"/>
      <c r="E128" s="13"/>
      <c r="F128" s="13"/>
      <c r="G128" s="13"/>
      <c r="H128" s="13"/>
      <c r="I128" s="13"/>
      <c r="J128" s="12"/>
      <c r="K128" s="12"/>
      <c r="L128" s="12"/>
    </row>
    <row r="129" spans="1:12" ht="16" x14ac:dyDescent="0.2">
      <c r="A129" s="14" t="s">
        <v>93</v>
      </c>
      <c r="B129" s="12"/>
      <c r="C129" s="12"/>
      <c r="D129" s="13"/>
      <c r="E129" s="13"/>
      <c r="F129" s="13"/>
      <c r="G129" s="13"/>
      <c r="H129" s="13"/>
      <c r="I129" s="13">
        <f t="shared" ref="I129:I133" si="2">SUM(D129:H129)</f>
        <v>0</v>
      </c>
      <c r="J129" s="12"/>
      <c r="K129" s="12"/>
      <c r="L129" s="12"/>
    </row>
    <row r="130" spans="1:12" ht="16" x14ac:dyDescent="0.2">
      <c r="A130" s="12" t="s">
        <v>83</v>
      </c>
      <c r="B130" s="12"/>
      <c r="C130" s="12"/>
      <c r="D130" s="13">
        <f>D119</f>
        <v>1351.7500162772303</v>
      </c>
      <c r="E130" s="13"/>
      <c r="F130" s="13"/>
      <c r="G130" s="13"/>
      <c r="H130" s="13"/>
      <c r="I130" s="13">
        <f t="shared" si="2"/>
        <v>1351.7500162772303</v>
      </c>
      <c r="J130" s="12"/>
      <c r="K130" s="12"/>
      <c r="L130" s="12"/>
    </row>
    <row r="131" spans="1:12" ht="16" x14ac:dyDescent="0.2">
      <c r="A131" s="12" t="s">
        <v>72</v>
      </c>
      <c r="B131" s="12"/>
      <c r="C131" s="12"/>
      <c r="D131" s="13"/>
      <c r="E131" s="13"/>
      <c r="F131" s="13"/>
      <c r="G131" s="13"/>
      <c r="H131" s="13">
        <f>-D6-D45-D51</f>
        <v>140000</v>
      </c>
      <c r="I131" s="13">
        <f t="shared" si="2"/>
        <v>140000</v>
      </c>
      <c r="J131" s="12"/>
      <c r="K131" s="12"/>
      <c r="L131" s="12"/>
    </row>
    <row r="132" spans="1:12" ht="16" x14ac:dyDescent="0.2">
      <c r="A132" s="12" t="s">
        <v>94</v>
      </c>
      <c r="B132" s="12"/>
      <c r="C132" s="12"/>
      <c r="D132" s="13">
        <f>-D47</f>
        <v>-30000</v>
      </c>
      <c r="E132" s="13"/>
      <c r="F132" s="13"/>
      <c r="G132" s="13"/>
      <c r="H132" s="13">
        <f>-D132</f>
        <v>30000</v>
      </c>
      <c r="I132" s="13">
        <f t="shared" si="2"/>
        <v>0</v>
      </c>
      <c r="J132" s="12"/>
      <c r="K132" s="12"/>
      <c r="L132" s="12"/>
    </row>
    <row r="133" spans="1:12" ht="16" x14ac:dyDescent="0.2">
      <c r="A133" s="12" t="s">
        <v>95</v>
      </c>
      <c r="B133" s="12"/>
      <c r="C133" s="12"/>
      <c r="D133" s="13"/>
      <c r="E133" s="13"/>
      <c r="F133" s="13"/>
      <c r="G133" s="13"/>
      <c r="H133" s="13">
        <f>-D89</f>
        <v>180000</v>
      </c>
      <c r="I133" s="13">
        <f t="shared" si="2"/>
        <v>180000</v>
      </c>
      <c r="J133" s="12"/>
      <c r="K133" s="12"/>
      <c r="L133" s="12"/>
    </row>
    <row r="134" spans="1:12" ht="16" x14ac:dyDescent="0.2">
      <c r="A134" s="14" t="s">
        <v>96</v>
      </c>
      <c r="B134" s="12"/>
      <c r="C134" s="12"/>
      <c r="D134" s="13"/>
      <c r="E134" s="13"/>
      <c r="F134" s="13"/>
      <c r="G134" s="13"/>
      <c r="H134" s="13"/>
      <c r="I134" s="13"/>
      <c r="J134" s="12"/>
      <c r="K134" s="12"/>
      <c r="L134" s="12"/>
    </row>
    <row r="135" spans="1:12" ht="16" x14ac:dyDescent="0.2">
      <c r="A135" s="12" t="s">
        <v>97</v>
      </c>
      <c r="B135" s="12"/>
      <c r="C135" s="12"/>
      <c r="D135" s="13"/>
      <c r="E135" s="13"/>
      <c r="F135" s="13"/>
      <c r="G135" s="13"/>
      <c r="H135" s="13">
        <f>-D11</f>
        <v>-60000</v>
      </c>
      <c r="I135" s="13">
        <f t="shared" ref="I135:I141" si="3">SUM(D135:H135)</f>
        <v>-60000</v>
      </c>
      <c r="J135" s="12"/>
      <c r="K135" s="12"/>
      <c r="L135" s="12"/>
    </row>
    <row r="136" spans="1:12" ht="16" x14ac:dyDescent="0.2">
      <c r="A136" s="12" t="s">
        <v>98</v>
      </c>
      <c r="B136" s="12"/>
      <c r="C136" s="12"/>
      <c r="D136" s="13">
        <f>-D14</f>
        <v>-60000</v>
      </c>
      <c r="E136" s="13"/>
      <c r="F136" s="13">
        <f>-D136</f>
        <v>60000</v>
      </c>
      <c r="G136" s="13"/>
      <c r="H136" s="13"/>
      <c r="I136" s="13">
        <f t="shared" si="3"/>
        <v>0</v>
      </c>
      <c r="J136" s="12"/>
      <c r="K136" s="12"/>
      <c r="L136" s="12"/>
    </row>
    <row r="137" spans="1:12" ht="16" x14ac:dyDescent="0.2">
      <c r="A137" s="12" t="s">
        <v>20</v>
      </c>
      <c r="B137" s="12"/>
      <c r="C137" s="12"/>
      <c r="D137" s="13">
        <f>-D112</f>
        <v>8666.6666666666679</v>
      </c>
      <c r="E137" s="13"/>
      <c r="F137" s="13">
        <f>-D137</f>
        <v>-8666.6666666666679</v>
      </c>
      <c r="G137" s="13"/>
      <c r="H137" s="13"/>
      <c r="I137" s="13">
        <f t="shared" si="3"/>
        <v>0</v>
      </c>
      <c r="J137" s="12"/>
      <c r="K137" s="12"/>
      <c r="L137" s="12"/>
    </row>
    <row r="138" spans="1:12" ht="16" x14ac:dyDescent="0.2">
      <c r="A138" s="12" t="s">
        <v>99</v>
      </c>
      <c r="B138" s="12"/>
      <c r="C138" s="12"/>
      <c r="D138" s="13">
        <f>-F138</f>
        <v>32000</v>
      </c>
      <c r="E138" s="13"/>
      <c r="F138" s="13">
        <f>-D28</f>
        <v>-32000</v>
      </c>
      <c r="G138" s="13"/>
      <c r="H138" s="13"/>
      <c r="I138" s="13">
        <f t="shared" si="3"/>
        <v>0</v>
      </c>
      <c r="J138" s="12"/>
      <c r="K138" s="12"/>
      <c r="L138" s="12"/>
    </row>
    <row r="139" spans="1:12" ht="16" x14ac:dyDescent="0.2">
      <c r="A139" s="12" t="s">
        <v>100</v>
      </c>
      <c r="B139" s="12"/>
      <c r="C139" s="12"/>
      <c r="D139" s="13">
        <f>-D35</f>
        <v>5333.333333333333</v>
      </c>
      <c r="E139" s="13"/>
      <c r="F139" s="13">
        <f>-D139</f>
        <v>-5333.333333333333</v>
      </c>
      <c r="G139" s="13"/>
      <c r="H139" s="13"/>
      <c r="I139" s="13">
        <f t="shared" si="3"/>
        <v>0</v>
      </c>
      <c r="J139" s="12"/>
      <c r="K139" s="12"/>
      <c r="L139" s="12"/>
    </row>
    <row r="140" spans="1:12" ht="16" x14ac:dyDescent="0.2">
      <c r="A140" s="12" t="s">
        <v>101</v>
      </c>
      <c r="B140" s="12"/>
      <c r="C140" s="12"/>
      <c r="D140" s="13">
        <f>-H140</f>
        <v>15000</v>
      </c>
      <c r="E140" s="13"/>
      <c r="F140" s="13"/>
      <c r="G140" s="13"/>
      <c r="H140" s="13">
        <f>D58</f>
        <v>-15000</v>
      </c>
      <c r="I140" s="13">
        <f t="shared" si="3"/>
        <v>0</v>
      </c>
      <c r="J140" s="12"/>
      <c r="K140" s="12"/>
      <c r="L140" s="12"/>
    </row>
    <row r="141" spans="1:12" ht="16" x14ac:dyDescent="0.2">
      <c r="A141" s="12" t="s">
        <v>102</v>
      </c>
      <c r="B141" s="12"/>
      <c r="C141" s="12"/>
      <c r="D141" s="13"/>
      <c r="E141" s="13"/>
      <c r="F141" s="13"/>
      <c r="G141" s="13"/>
      <c r="H141" s="13">
        <f>D57</f>
        <v>-30000</v>
      </c>
      <c r="I141" s="13">
        <f t="shared" si="3"/>
        <v>-30000</v>
      </c>
      <c r="J141" s="12"/>
      <c r="K141" s="12"/>
      <c r="L141" s="12"/>
    </row>
    <row r="142" spans="1:12" ht="16" x14ac:dyDescent="0.2">
      <c r="A142" s="12"/>
      <c r="B142" s="12"/>
      <c r="C142" s="12"/>
      <c r="D142" s="13"/>
      <c r="E142" s="12"/>
      <c r="F142" s="12"/>
      <c r="G142" s="12"/>
      <c r="H142" s="12"/>
      <c r="I142" s="12"/>
      <c r="J142" s="12"/>
      <c r="K142" s="12"/>
      <c r="L142" s="12"/>
    </row>
    <row r="143" spans="1:12" ht="16" x14ac:dyDescent="0.2">
      <c r="A143" s="12" t="s">
        <v>103</v>
      </c>
      <c r="B143" s="12"/>
      <c r="C143" s="12"/>
      <c r="D143" s="13">
        <f>SUM(D127:D142)</f>
        <v>-27648.249983722759</v>
      </c>
      <c r="E143" s="12"/>
      <c r="F143" s="13">
        <f t="shared" ref="F143:I143" si="4">SUM(F127:F142)</f>
        <v>13999.999999999996</v>
      </c>
      <c r="G143" s="12"/>
      <c r="H143" s="13">
        <f t="shared" si="4"/>
        <v>245000</v>
      </c>
      <c r="I143" s="13">
        <f t="shared" si="4"/>
        <v>231351.75001627719</v>
      </c>
      <c r="J143" s="12"/>
      <c r="K143" s="12"/>
      <c r="L143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B505-05A4-A44F-9D36-B16C65CB7C37}">
  <dimension ref="A1:H123"/>
  <sheetViews>
    <sheetView rightToLeft="1" topLeftCell="A23" zoomScale="150" zoomScaleNormal="160" workbookViewId="0">
      <selection activeCell="F47" sqref="F47"/>
    </sheetView>
  </sheetViews>
  <sheetFormatPr baseColWidth="10" defaultColWidth="8.83203125" defaultRowHeight="15" x14ac:dyDescent="0.2"/>
  <cols>
    <col min="4" max="4" width="9.83203125" bestFit="1" customWidth="1"/>
    <col min="5" max="5" width="18.5" customWidth="1"/>
    <col min="6" max="6" width="11.5" style="1" bestFit="1" customWidth="1"/>
  </cols>
  <sheetData>
    <row r="1" spans="1:6" x14ac:dyDescent="0.2">
      <c r="A1" t="s">
        <v>1</v>
      </c>
    </row>
    <row r="3" spans="1:6" ht="18" x14ac:dyDescent="0.35">
      <c r="A3" s="4" t="s">
        <v>3</v>
      </c>
      <c r="B3" s="4" t="s">
        <v>4</v>
      </c>
      <c r="C3" s="4"/>
      <c r="D3" s="4"/>
      <c r="E3" s="4"/>
      <c r="F3" s="5" t="s">
        <v>5</v>
      </c>
    </row>
    <row r="4" spans="1:6" x14ac:dyDescent="0.2">
      <c r="A4">
        <v>1</v>
      </c>
      <c r="B4" t="s">
        <v>21</v>
      </c>
      <c r="F4" s="1">
        <v>1000000</v>
      </c>
    </row>
    <row r="5" spans="1:6" x14ac:dyDescent="0.2">
      <c r="B5" t="s">
        <v>43</v>
      </c>
      <c r="F5" s="1">
        <f>-F4</f>
        <v>-1000000</v>
      </c>
    </row>
    <row r="7" spans="1:6" x14ac:dyDescent="0.2">
      <c r="A7">
        <v>2</v>
      </c>
      <c r="B7" t="s">
        <v>104</v>
      </c>
      <c r="F7" s="1">
        <v>500000</v>
      </c>
    </row>
    <row r="8" spans="1:6" x14ac:dyDescent="0.2">
      <c r="B8" t="s">
        <v>21</v>
      </c>
      <c r="F8" s="1">
        <v>-300000</v>
      </c>
    </row>
    <row r="9" spans="1:6" x14ac:dyDescent="0.2">
      <c r="B9" t="s">
        <v>105</v>
      </c>
      <c r="F9" s="1">
        <f>-SUM(F7:F8)</f>
        <v>-200000</v>
      </c>
    </row>
    <row r="11" spans="1:6" x14ac:dyDescent="0.2">
      <c r="B11" t="s">
        <v>106</v>
      </c>
      <c r="F11" s="1">
        <v>500000</v>
      </c>
    </row>
    <row r="12" spans="1:6" x14ac:dyDescent="0.2">
      <c r="B12" t="s">
        <v>16</v>
      </c>
      <c r="F12" s="1">
        <f>-F11</f>
        <v>-500000</v>
      </c>
    </row>
    <row r="14" spans="1:6" x14ac:dyDescent="0.2">
      <c r="A14">
        <v>3</v>
      </c>
      <c r="B14" t="s">
        <v>107</v>
      </c>
      <c r="F14" s="1">
        <v>300000</v>
      </c>
    </row>
    <row r="15" spans="1:6" x14ac:dyDescent="0.2">
      <c r="B15" t="s">
        <v>21</v>
      </c>
      <c r="F15" s="1">
        <v>-200000</v>
      </c>
    </row>
    <row r="16" spans="1:6" x14ac:dyDescent="0.2">
      <c r="B16" t="s">
        <v>105</v>
      </c>
      <c r="F16" s="1">
        <f>-SUM(F14:F15)</f>
        <v>-100000</v>
      </c>
    </row>
    <row r="18" spans="1:7" x14ac:dyDescent="0.2">
      <c r="B18" t="s">
        <v>106</v>
      </c>
      <c r="F18" s="1">
        <v>300000</v>
      </c>
    </row>
    <row r="19" spans="1:7" x14ac:dyDescent="0.2">
      <c r="B19" t="s">
        <v>16</v>
      </c>
      <c r="F19" s="1">
        <f>-F18</f>
        <v>-300000</v>
      </c>
    </row>
    <row r="21" spans="1:7" x14ac:dyDescent="0.2">
      <c r="B21" t="s">
        <v>17</v>
      </c>
      <c r="F21" s="1">
        <f>F14*0.75/10</f>
        <v>22500</v>
      </c>
      <c r="G21" s="6" t="str">
        <f ca="1">_xlfn.FORMULATEXT(F21)</f>
        <v>=F14*0.75/10</v>
      </c>
    </row>
    <row r="22" spans="1:7" x14ac:dyDescent="0.2">
      <c r="B22" t="s">
        <v>19</v>
      </c>
      <c r="F22" s="1">
        <f>-F21</f>
        <v>-22500</v>
      </c>
    </row>
    <row r="24" spans="1:7" x14ac:dyDescent="0.2">
      <c r="B24" t="s">
        <v>16</v>
      </c>
      <c r="F24" s="1">
        <f>F21</f>
        <v>22500</v>
      </c>
    </row>
    <row r="25" spans="1:7" x14ac:dyDescent="0.2">
      <c r="B25" t="s">
        <v>106</v>
      </c>
      <c r="F25" s="1">
        <f>-F24</f>
        <v>-22500</v>
      </c>
    </row>
    <row r="27" spans="1:7" x14ac:dyDescent="0.2">
      <c r="A27">
        <v>4</v>
      </c>
      <c r="B27" t="s">
        <v>108</v>
      </c>
    </row>
    <row r="28" spans="1:7" x14ac:dyDescent="0.2">
      <c r="B28" t="s">
        <v>109</v>
      </c>
    </row>
    <row r="29" spans="1:7" x14ac:dyDescent="0.2">
      <c r="B29" t="s">
        <v>110</v>
      </c>
    </row>
    <row r="30" spans="1:7" x14ac:dyDescent="0.2">
      <c r="B30" t="s">
        <v>21</v>
      </c>
      <c r="F30" s="1">
        <v>200000</v>
      </c>
    </row>
    <row r="31" spans="1:7" x14ac:dyDescent="0.2">
      <c r="B31" t="s">
        <v>111</v>
      </c>
      <c r="F31" s="1">
        <f>-F30</f>
        <v>-200000</v>
      </c>
    </row>
    <row r="33" spans="1:8" x14ac:dyDescent="0.2">
      <c r="A33">
        <v>5</v>
      </c>
      <c r="B33" t="s">
        <v>21</v>
      </c>
      <c r="F33" s="1">
        <v>100000</v>
      </c>
    </row>
    <row r="34" spans="1:8" x14ac:dyDescent="0.2">
      <c r="B34" t="s">
        <v>43</v>
      </c>
      <c r="F34" s="1">
        <f>-F33</f>
        <v>-100000</v>
      </c>
    </row>
    <row r="36" spans="1:8" x14ac:dyDescent="0.2">
      <c r="B36" t="s">
        <v>106</v>
      </c>
      <c r="F36" s="1">
        <v>25000</v>
      </c>
      <c r="H36" t="s">
        <v>112</v>
      </c>
    </row>
    <row r="37" spans="1:8" x14ac:dyDescent="0.2">
      <c r="B37" t="s">
        <v>113</v>
      </c>
      <c r="F37" s="1">
        <f>-F36</f>
        <v>-25000</v>
      </c>
    </row>
    <row r="39" spans="1:8" x14ac:dyDescent="0.2">
      <c r="B39" t="s">
        <v>114</v>
      </c>
      <c r="F39" s="1">
        <v>20000</v>
      </c>
    </row>
    <row r="40" spans="1:8" x14ac:dyDescent="0.2">
      <c r="B40" t="s">
        <v>21</v>
      </c>
      <c r="F40" s="1">
        <f>-F39</f>
        <v>-20000</v>
      </c>
    </row>
    <row r="42" spans="1:8" x14ac:dyDescent="0.2">
      <c r="B42" t="s">
        <v>113</v>
      </c>
      <c r="F42" s="1">
        <v>20000</v>
      </c>
      <c r="H42" t="s">
        <v>115</v>
      </c>
    </row>
    <row r="43" spans="1:8" x14ac:dyDescent="0.2">
      <c r="B43" t="s">
        <v>106</v>
      </c>
      <c r="F43" s="1">
        <f>-F42</f>
        <v>-20000</v>
      </c>
    </row>
    <row r="45" spans="1:8" x14ac:dyDescent="0.2">
      <c r="A45">
        <v>6</v>
      </c>
      <c r="B45" t="s">
        <v>21</v>
      </c>
      <c r="F45" s="1">
        <f>-F47</f>
        <v>210000</v>
      </c>
    </row>
    <row r="46" spans="1:8" x14ac:dyDescent="0.2">
      <c r="B46" t="s">
        <v>11</v>
      </c>
      <c r="F46" s="1">
        <f>250000-F45</f>
        <v>40000</v>
      </c>
      <c r="H46" t="s">
        <v>116</v>
      </c>
    </row>
    <row r="47" spans="1:8" x14ac:dyDescent="0.2">
      <c r="B47" t="s">
        <v>117</v>
      </c>
      <c r="F47" s="1">
        <f>-2500*12*7</f>
        <v>-210000</v>
      </c>
      <c r="G47" s="6" t="str">
        <f ca="1">_xlfn.FORMULATEXT(F47)</f>
        <v>=-2500*12*7</v>
      </c>
    </row>
    <row r="48" spans="1:8" x14ac:dyDescent="0.2">
      <c r="B48" t="s">
        <v>9</v>
      </c>
      <c r="F48" s="1">
        <f>-F46</f>
        <v>-40000</v>
      </c>
      <c r="H48" t="s">
        <v>116</v>
      </c>
    </row>
    <row r="50" spans="1:6" x14ac:dyDescent="0.2">
      <c r="B50" t="s">
        <v>117</v>
      </c>
      <c r="F50" s="1">
        <f>4*2500</f>
        <v>10000</v>
      </c>
    </row>
    <row r="51" spans="1:6" x14ac:dyDescent="0.2">
      <c r="B51" t="s">
        <v>21</v>
      </c>
      <c r="F51" s="1">
        <f>-F50</f>
        <v>-10000</v>
      </c>
    </row>
    <row r="53" spans="1:6" x14ac:dyDescent="0.2">
      <c r="B53" t="s">
        <v>118</v>
      </c>
    </row>
    <row r="54" spans="1:6" x14ac:dyDescent="0.2">
      <c r="B54" t="s">
        <v>119</v>
      </c>
      <c r="D54" s="1">
        <f>-5*2500*12</f>
        <v>-150000</v>
      </c>
      <c r="E54" s="6" t="str">
        <f ca="1">_xlfn.FORMULATEXT(D54)</f>
        <v>=-5*2500*12</v>
      </c>
    </row>
    <row r="55" spans="1:6" ht="18" x14ac:dyDescent="0.35">
      <c r="B55" t="s">
        <v>120</v>
      </c>
      <c r="D55" s="21">
        <f>F47+F50</f>
        <v>-200000</v>
      </c>
    </row>
    <row r="56" spans="1:6" x14ac:dyDescent="0.2">
      <c r="D56" s="7">
        <f>D54-D55</f>
        <v>50000</v>
      </c>
    </row>
    <row r="57" spans="1:6" x14ac:dyDescent="0.2">
      <c r="B57" t="s">
        <v>117</v>
      </c>
      <c r="F57" s="1">
        <f>D56</f>
        <v>50000</v>
      </c>
    </row>
    <row r="58" spans="1:6" x14ac:dyDescent="0.2">
      <c r="B58" t="s">
        <v>9</v>
      </c>
      <c r="F58" s="1">
        <f>-F57</f>
        <v>-50000</v>
      </c>
    </row>
    <row r="60" spans="1:6" x14ac:dyDescent="0.2">
      <c r="B60" t="s">
        <v>11</v>
      </c>
      <c r="F60" s="1">
        <v>50000</v>
      </c>
    </row>
    <row r="61" spans="1:6" x14ac:dyDescent="0.2">
      <c r="B61" t="s">
        <v>21</v>
      </c>
      <c r="F61" s="1">
        <f>-F60</f>
        <v>-50000</v>
      </c>
    </row>
    <row r="63" spans="1:6" x14ac:dyDescent="0.2">
      <c r="A63">
        <v>7</v>
      </c>
      <c r="B63" t="s">
        <v>11</v>
      </c>
      <c r="F63" s="1">
        <v>120000</v>
      </c>
    </row>
    <row r="64" spans="1:6" x14ac:dyDescent="0.2">
      <c r="B64" t="s">
        <v>9</v>
      </c>
      <c r="F64" s="1">
        <f>-F63</f>
        <v>-120000</v>
      </c>
    </row>
    <row r="66" spans="2:7" x14ac:dyDescent="0.2">
      <c r="B66" t="s">
        <v>121</v>
      </c>
      <c r="F66" s="1">
        <v>150000</v>
      </c>
    </row>
    <row r="67" spans="2:7" x14ac:dyDescent="0.2">
      <c r="B67" t="s">
        <v>11</v>
      </c>
      <c r="F67" s="1">
        <v>-120000</v>
      </c>
    </row>
    <row r="68" spans="2:7" x14ac:dyDescent="0.2">
      <c r="B68" t="s">
        <v>21</v>
      </c>
      <c r="F68" s="1">
        <f>-SUM(F66:F67)</f>
        <v>-30000</v>
      </c>
    </row>
    <row r="70" spans="2:7" x14ac:dyDescent="0.2">
      <c r="B70" t="s">
        <v>9</v>
      </c>
      <c r="F70" s="1">
        <v>120000</v>
      </c>
    </row>
    <row r="71" spans="2:7" x14ac:dyDescent="0.2">
      <c r="B71" t="s">
        <v>122</v>
      </c>
      <c r="F71" s="1">
        <f>-F70</f>
        <v>-120000</v>
      </c>
    </row>
    <row r="73" spans="2:7" x14ac:dyDescent="0.2">
      <c r="B73" t="s">
        <v>106</v>
      </c>
      <c r="F73" s="1">
        <v>150000</v>
      </c>
    </row>
    <row r="74" spans="2:7" x14ac:dyDescent="0.2">
      <c r="B74" t="s">
        <v>16</v>
      </c>
      <c r="F74" s="1">
        <f>-F73</f>
        <v>-150000</v>
      </c>
    </row>
    <row r="76" spans="2:7" x14ac:dyDescent="0.2">
      <c r="B76" t="s">
        <v>17</v>
      </c>
      <c r="F76" s="1">
        <f>150000*2/120</f>
        <v>2500</v>
      </c>
      <c r="G76" s="6" t="str">
        <f ca="1">_xlfn.FORMULATEXT(F76)</f>
        <v>=150000*2/120</v>
      </c>
    </row>
    <row r="77" spans="2:7" x14ac:dyDescent="0.2">
      <c r="B77" t="s">
        <v>19</v>
      </c>
      <c r="F77" s="1">
        <f>-F76</f>
        <v>-2500</v>
      </c>
    </row>
    <row r="79" spans="2:7" x14ac:dyDescent="0.2">
      <c r="B79" t="s">
        <v>16</v>
      </c>
      <c r="F79" s="1">
        <f>F76</f>
        <v>2500</v>
      </c>
    </row>
    <row r="80" spans="2:7" x14ac:dyDescent="0.2">
      <c r="B80" t="s">
        <v>106</v>
      </c>
      <c r="F80" s="1">
        <f>-F79</f>
        <v>-2500</v>
      </c>
    </row>
    <row r="82" spans="1:7" x14ac:dyDescent="0.2">
      <c r="A82">
        <v>8</v>
      </c>
      <c r="B82" t="s">
        <v>21</v>
      </c>
      <c r="F82" s="1">
        <v>300000</v>
      </c>
    </row>
    <row r="83" spans="1:7" x14ac:dyDescent="0.2">
      <c r="B83" t="s">
        <v>9</v>
      </c>
      <c r="F83" s="1">
        <f>-F82</f>
        <v>-300000</v>
      </c>
    </row>
    <row r="85" spans="1:7" x14ac:dyDescent="0.2">
      <c r="B85" t="s">
        <v>123</v>
      </c>
      <c r="F85" s="1">
        <v>300000</v>
      </c>
    </row>
    <row r="86" spans="1:7" x14ac:dyDescent="0.2">
      <c r="B86" t="s">
        <v>21</v>
      </c>
      <c r="F86" s="1">
        <f>-F85</f>
        <v>-300000</v>
      </c>
    </row>
    <row r="88" spans="1:7" x14ac:dyDescent="0.2">
      <c r="B88" t="s">
        <v>124</v>
      </c>
    </row>
    <row r="89" spans="1:7" x14ac:dyDescent="0.2">
      <c r="B89" t="s">
        <v>125</v>
      </c>
      <c r="D89" s="1">
        <v>300000</v>
      </c>
    </row>
    <row r="90" spans="1:7" ht="18" x14ac:dyDescent="0.35">
      <c r="B90" t="s">
        <v>126</v>
      </c>
      <c r="D90" s="9">
        <f>D91-D89</f>
        <v>60000</v>
      </c>
    </row>
    <row r="91" spans="1:7" x14ac:dyDescent="0.2">
      <c r="B91" t="s">
        <v>127</v>
      </c>
      <c r="D91" s="1">
        <f>D89*1.5/1.25</f>
        <v>360000</v>
      </c>
      <c r="E91" s="6" t="str">
        <f ca="1">_xlfn.FORMULATEXT(D91)</f>
        <v>=D89*1.5/1.25</v>
      </c>
    </row>
    <row r="93" spans="1:7" x14ac:dyDescent="0.2">
      <c r="B93" t="s">
        <v>123</v>
      </c>
      <c r="F93" s="1">
        <f>D90</f>
        <v>60000</v>
      </c>
      <c r="G93" t="s">
        <v>128</v>
      </c>
    </row>
    <row r="94" spans="1:7" x14ac:dyDescent="0.2">
      <c r="B94" t="s">
        <v>9</v>
      </c>
      <c r="F94" s="1">
        <f>-F93</f>
        <v>-60000</v>
      </c>
    </row>
    <row r="96" spans="1:7" x14ac:dyDescent="0.2">
      <c r="B96" t="s">
        <v>123</v>
      </c>
      <c r="F96" s="1">
        <f>D91*2%*2</f>
        <v>14400</v>
      </c>
      <c r="G96" s="6" t="str">
        <f ca="1">_xlfn.FORMULATEXT(F96)</f>
        <v>=D91*2%*2</v>
      </c>
    </row>
    <row r="97" spans="1:7" x14ac:dyDescent="0.2">
      <c r="B97" t="s">
        <v>9</v>
      </c>
      <c r="F97" s="1">
        <f>-F96</f>
        <v>-14400</v>
      </c>
      <c r="G97" t="s">
        <v>129</v>
      </c>
    </row>
    <row r="99" spans="1:7" x14ac:dyDescent="0.2">
      <c r="B99" t="s">
        <v>130</v>
      </c>
      <c r="F99" s="1">
        <v>70000</v>
      </c>
    </row>
    <row r="100" spans="1:7" x14ac:dyDescent="0.2">
      <c r="B100" t="s">
        <v>21</v>
      </c>
      <c r="F100" s="1">
        <f>-F99</f>
        <v>-70000</v>
      </c>
    </row>
    <row r="102" spans="1:7" x14ac:dyDescent="0.2">
      <c r="B102" t="s">
        <v>9</v>
      </c>
      <c r="F102" s="1">
        <f>F96</f>
        <v>14400</v>
      </c>
    </row>
    <row r="103" spans="1:7" x14ac:dyDescent="0.2">
      <c r="B103" t="s">
        <v>38</v>
      </c>
      <c r="F103" s="1">
        <f>-F102</f>
        <v>-14400</v>
      </c>
    </row>
    <row r="105" spans="1:7" x14ac:dyDescent="0.2">
      <c r="A105">
        <v>9</v>
      </c>
      <c r="B105" t="s">
        <v>131</v>
      </c>
    </row>
    <row r="106" spans="1:7" x14ac:dyDescent="0.2">
      <c r="B106" t="s">
        <v>132</v>
      </c>
    </row>
    <row r="107" spans="1:7" x14ac:dyDescent="0.2">
      <c r="B107" t="s">
        <v>133</v>
      </c>
    </row>
    <row r="108" spans="1:7" x14ac:dyDescent="0.2">
      <c r="B108" t="s">
        <v>34</v>
      </c>
      <c r="F108" s="1">
        <v>50000</v>
      </c>
    </row>
    <row r="109" spans="1:7" x14ac:dyDescent="0.2">
      <c r="B109" t="s">
        <v>9</v>
      </c>
      <c r="F109" s="1">
        <f>-F108</f>
        <v>-50000</v>
      </c>
      <c r="G109" t="s">
        <v>134</v>
      </c>
    </row>
    <row r="111" spans="1:7" x14ac:dyDescent="0.2">
      <c r="B111" t="s">
        <v>135</v>
      </c>
      <c r="F111" s="1">
        <v>50000</v>
      </c>
      <c r="G111" t="s">
        <v>94</v>
      </c>
    </row>
    <row r="112" spans="1:7" x14ac:dyDescent="0.2">
      <c r="B112" t="s">
        <v>9</v>
      </c>
      <c r="F112" s="1">
        <f>-F111</f>
        <v>-50000</v>
      </c>
    </row>
    <row r="114" spans="1:7" x14ac:dyDescent="0.2">
      <c r="A114">
        <v>10</v>
      </c>
      <c r="B114" t="s">
        <v>21</v>
      </c>
      <c r="F114" s="1">
        <f>150*500</f>
        <v>75000</v>
      </c>
      <c r="G114" s="6" t="str">
        <f t="shared" ref="G114:G115" ca="1" si="0">_xlfn.FORMULATEXT(F114)</f>
        <v>=150*500</v>
      </c>
    </row>
    <row r="115" spans="1:7" x14ac:dyDescent="0.2">
      <c r="B115" t="s">
        <v>34</v>
      </c>
      <c r="F115" s="1">
        <f>50*500</f>
        <v>25000</v>
      </c>
      <c r="G115" s="6" t="str">
        <f t="shared" ca="1" si="0"/>
        <v>=50*500</v>
      </c>
    </row>
    <row r="116" spans="1:7" x14ac:dyDescent="0.2">
      <c r="B116" t="s">
        <v>136</v>
      </c>
      <c r="F116" s="1">
        <f>-SUM(F114:F115)</f>
        <v>-100000</v>
      </c>
    </row>
    <row r="118" spans="1:7" x14ac:dyDescent="0.2">
      <c r="B118" t="s">
        <v>137</v>
      </c>
      <c r="F118" s="1">
        <f>20*500</f>
        <v>10000</v>
      </c>
      <c r="G118" s="6" t="str">
        <f t="shared" ref="G118" ca="1" si="1">_xlfn.FORMULATEXT(F118)</f>
        <v>=20*500</v>
      </c>
    </row>
    <row r="119" spans="1:7" x14ac:dyDescent="0.2">
      <c r="B119" t="s">
        <v>138</v>
      </c>
      <c r="F119" s="1">
        <f>-F118</f>
        <v>-10000</v>
      </c>
    </row>
    <row r="121" spans="1:7" x14ac:dyDescent="0.2">
      <c r="A121">
        <v>11</v>
      </c>
      <c r="B121" t="s">
        <v>139</v>
      </c>
    </row>
    <row r="122" spans="1:7" x14ac:dyDescent="0.2">
      <c r="B122" t="s">
        <v>60</v>
      </c>
      <c r="F122" s="1">
        <f>100000*1.05</f>
        <v>105000</v>
      </c>
      <c r="G122" s="6" t="str">
        <f t="shared" ref="G122" ca="1" si="2">_xlfn.FORMULATEXT(F122)</f>
        <v>=100000*1.05</v>
      </c>
    </row>
    <row r="123" spans="1:7" x14ac:dyDescent="0.2">
      <c r="B123" t="s">
        <v>21</v>
      </c>
      <c r="F123" s="1">
        <f>-F122</f>
        <v>-105000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22FB-A877-DB41-85D9-6E3CAA1C6E6B}">
  <dimension ref="A1:M178"/>
  <sheetViews>
    <sheetView rightToLeft="1" zoomScale="101" zoomScaleNormal="190" workbookViewId="0">
      <selection activeCell="E143" sqref="E143"/>
    </sheetView>
  </sheetViews>
  <sheetFormatPr baseColWidth="10" defaultColWidth="8.83203125" defaultRowHeight="15" x14ac:dyDescent="0.2"/>
  <cols>
    <col min="3" max="3" width="13.5" style="1" customWidth="1"/>
    <col min="4" max="4" width="14.6640625" customWidth="1"/>
    <col min="5" max="5" width="13.5" customWidth="1"/>
    <col min="6" max="6" width="11.5" style="1" bestFit="1" customWidth="1"/>
    <col min="7" max="7" width="10.33203125" bestFit="1" customWidth="1"/>
    <col min="8" max="8" width="12" customWidth="1"/>
    <col min="9" max="9" width="14.5" customWidth="1"/>
  </cols>
  <sheetData>
    <row r="1" spans="1:10" x14ac:dyDescent="0.2">
      <c r="A1" t="s">
        <v>1</v>
      </c>
    </row>
    <row r="3" spans="1:10" ht="18" x14ac:dyDescent="0.35">
      <c r="A3" s="4" t="s">
        <v>3</v>
      </c>
      <c r="B3" s="4" t="s">
        <v>4</v>
      </c>
      <c r="C3" s="5"/>
      <c r="D3" s="4"/>
      <c r="E3" s="4"/>
      <c r="F3" s="5" t="s">
        <v>5</v>
      </c>
    </row>
    <row r="4" spans="1:10" x14ac:dyDescent="0.2">
      <c r="A4">
        <v>1</v>
      </c>
      <c r="B4" t="s">
        <v>11</v>
      </c>
      <c r="F4" s="1">
        <v>100000</v>
      </c>
    </row>
    <row r="5" spans="1:10" x14ac:dyDescent="0.2">
      <c r="B5" t="s">
        <v>9</v>
      </c>
      <c r="F5" s="1">
        <f>-F4</f>
        <v>-100000</v>
      </c>
      <c r="G5" t="s">
        <v>140</v>
      </c>
    </row>
    <row r="7" spans="1:10" x14ac:dyDescent="0.2">
      <c r="B7" t="s">
        <v>21</v>
      </c>
      <c r="F7" s="1">
        <v>100000</v>
      </c>
    </row>
    <row r="8" spans="1:10" x14ac:dyDescent="0.2">
      <c r="B8" t="s">
        <v>43</v>
      </c>
      <c r="F8" s="1">
        <f>-F7</f>
        <v>-100000</v>
      </c>
    </row>
    <row r="10" spans="1:10" x14ac:dyDescent="0.2">
      <c r="B10" t="s">
        <v>21</v>
      </c>
      <c r="F10" s="1">
        <v>150000</v>
      </c>
    </row>
    <row r="11" spans="1:10" x14ac:dyDescent="0.2">
      <c r="B11" t="s">
        <v>141</v>
      </c>
      <c r="F11" s="1">
        <f>-F10</f>
        <v>-150000</v>
      </c>
    </row>
    <row r="13" spans="1:10" x14ac:dyDescent="0.2">
      <c r="B13" t="s">
        <v>142</v>
      </c>
    </row>
    <row r="14" spans="1:10" x14ac:dyDescent="0.2">
      <c r="B14" t="s">
        <v>143</v>
      </c>
      <c r="C14" s="1">
        <v>-150000</v>
      </c>
    </row>
    <row r="15" spans="1:10" ht="18" x14ac:dyDescent="0.35">
      <c r="B15" t="s">
        <v>46</v>
      </c>
      <c r="C15" s="9">
        <f>C16-C14</f>
        <v>-30309.278350515466</v>
      </c>
    </row>
    <row r="16" spans="1:10" ht="16" x14ac:dyDescent="0.2">
      <c r="B16" t="s">
        <v>144</v>
      </c>
      <c r="C16" s="1">
        <f>C14*1.06*110/97</f>
        <v>-180309.27835051547</v>
      </c>
      <c r="D16" s="6" t="str">
        <f ca="1">_xlfn.FORMULATEXT(C16)</f>
        <v>=C14*1.06*110/97</v>
      </c>
      <c r="G16" t="s">
        <v>145</v>
      </c>
      <c r="I16" s="1">
        <f>-150000*0.06*110/97</f>
        <v>-10206.185567010309</v>
      </c>
      <c r="J16" s="22" t="str">
        <f ca="1">_xlfn.FORMULATEXT(I16)</f>
        <v>=-150000*0.06*110/97</v>
      </c>
    </row>
    <row r="17" spans="1:9" x14ac:dyDescent="0.2">
      <c r="G17" t="s">
        <v>146</v>
      </c>
      <c r="I17" s="7">
        <f>C16-I16</f>
        <v>-170103.09278350516</v>
      </c>
    </row>
    <row r="19" spans="1:9" x14ac:dyDescent="0.2">
      <c r="B19" t="s">
        <v>46</v>
      </c>
      <c r="F19" s="1">
        <f>-C15</f>
        <v>30309.278350515466</v>
      </c>
    </row>
    <row r="20" spans="1:9" x14ac:dyDescent="0.2">
      <c r="B20" t="s">
        <v>141</v>
      </c>
      <c r="F20" s="1">
        <f>-F19</f>
        <v>-30309.278350515466</v>
      </c>
    </row>
    <row r="22" spans="1:9" x14ac:dyDescent="0.2">
      <c r="A22">
        <v>2</v>
      </c>
      <c r="B22" t="s">
        <v>147</v>
      </c>
      <c r="F22" s="1">
        <v>250000</v>
      </c>
    </row>
    <row r="23" spans="1:9" x14ac:dyDescent="0.2">
      <c r="B23" t="s">
        <v>11</v>
      </c>
      <c r="F23" s="1">
        <v>-100000</v>
      </c>
    </row>
    <row r="24" spans="1:9" x14ac:dyDescent="0.2">
      <c r="B24" t="s">
        <v>21</v>
      </c>
      <c r="F24" s="1">
        <v>-150000</v>
      </c>
    </row>
    <row r="26" spans="1:9" x14ac:dyDescent="0.2">
      <c r="B26" t="s">
        <v>148</v>
      </c>
    </row>
    <row r="27" spans="1:9" x14ac:dyDescent="0.2">
      <c r="B27" t="s">
        <v>9</v>
      </c>
      <c r="F27" s="1">
        <v>100000</v>
      </c>
    </row>
    <row r="28" spans="1:9" x14ac:dyDescent="0.2">
      <c r="B28" t="s">
        <v>122</v>
      </c>
      <c r="F28" s="1">
        <f>-F27</f>
        <v>-100000</v>
      </c>
    </row>
    <row r="30" spans="1:9" x14ac:dyDescent="0.2">
      <c r="B30" t="s">
        <v>149</v>
      </c>
    </row>
    <row r="31" spans="1:9" x14ac:dyDescent="0.2">
      <c r="B31" t="s">
        <v>150</v>
      </c>
      <c r="F31" s="1">
        <v>250000</v>
      </c>
    </row>
    <row r="32" spans="1:9" x14ac:dyDescent="0.2">
      <c r="B32" t="s">
        <v>151</v>
      </c>
      <c r="F32" s="1">
        <f>-F31</f>
        <v>-250000</v>
      </c>
    </row>
    <row r="34" spans="1:7" x14ac:dyDescent="0.2">
      <c r="B34" t="s">
        <v>17</v>
      </c>
      <c r="F34" s="1">
        <f>250000*0.5/25</f>
        <v>5000</v>
      </c>
      <c r="G34" s="6" t="str">
        <f ca="1">_xlfn.FORMULATEXT(F34)</f>
        <v>=250000*0.5/25</v>
      </c>
    </row>
    <row r="35" spans="1:7" x14ac:dyDescent="0.2">
      <c r="B35" t="s">
        <v>19</v>
      </c>
      <c r="F35" s="1">
        <f>-F34</f>
        <v>-5000</v>
      </c>
    </row>
    <row r="37" spans="1:7" x14ac:dyDescent="0.2">
      <c r="B37" t="s">
        <v>151</v>
      </c>
      <c r="F37" s="1">
        <f>250000*0.5/25</f>
        <v>5000</v>
      </c>
    </row>
    <row r="38" spans="1:7" x14ac:dyDescent="0.2">
      <c r="B38" t="s">
        <v>150</v>
      </c>
      <c r="F38" s="1">
        <f>-F37</f>
        <v>-5000</v>
      </c>
    </row>
    <row r="40" spans="1:7" x14ac:dyDescent="0.2">
      <c r="A40" s="6" t="s">
        <v>152</v>
      </c>
      <c r="B40" t="s">
        <v>153</v>
      </c>
    </row>
    <row r="41" spans="1:7" x14ac:dyDescent="0.2">
      <c r="B41" t="s">
        <v>154</v>
      </c>
    </row>
    <row r="42" spans="1:7" x14ac:dyDescent="0.2">
      <c r="B42" t="s">
        <v>155</v>
      </c>
    </row>
    <row r="43" spans="1:7" x14ac:dyDescent="0.2">
      <c r="B43" t="s">
        <v>156</v>
      </c>
      <c r="F43" s="1">
        <v>80000</v>
      </c>
      <c r="G43" t="s">
        <v>157</v>
      </c>
    </row>
    <row r="44" spans="1:7" x14ac:dyDescent="0.2">
      <c r="B44" t="s">
        <v>111</v>
      </c>
      <c r="F44" s="1">
        <f>-F43</f>
        <v>-80000</v>
      </c>
    </row>
    <row r="45" spans="1:7" x14ac:dyDescent="0.2">
      <c r="B45" t="s">
        <v>158</v>
      </c>
    </row>
    <row r="46" spans="1:7" x14ac:dyDescent="0.2">
      <c r="B46" t="s">
        <v>111</v>
      </c>
      <c r="F46" s="1">
        <v>80000</v>
      </c>
    </row>
    <row r="47" spans="1:7" x14ac:dyDescent="0.2">
      <c r="B47" t="s">
        <v>156</v>
      </c>
      <c r="F47" s="1">
        <f>-F46</f>
        <v>-80000</v>
      </c>
    </row>
    <row r="48" spans="1:7" x14ac:dyDescent="0.2">
      <c r="B48" t="s">
        <v>159</v>
      </c>
    </row>
    <row r="49" spans="1:7" x14ac:dyDescent="0.2">
      <c r="B49" t="s">
        <v>160</v>
      </c>
    </row>
    <row r="51" spans="1:7" x14ac:dyDescent="0.2">
      <c r="A51">
        <v>4</v>
      </c>
      <c r="B51" t="s">
        <v>161</v>
      </c>
    </row>
    <row r="52" spans="1:7" x14ac:dyDescent="0.2">
      <c r="B52" t="s">
        <v>162</v>
      </c>
    </row>
    <row r="53" spans="1:7" x14ac:dyDescent="0.2">
      <c r="B53" t="s">
        <v>163</v>
      </c>
    </row>
    <row r="54" spans="1:7" x14ac:dyDescent="0.2">
      <c r="B54" t="s">
        <v>164</v>
      </c>
      <c r="F54" s="1">
        <f>6*2000*6</f>
        <v>72000</v>
      </c>
      <c r="G54" s="6" t="str">
        <f ca="1">_xlfn.FORMULATEXT(F54)</f>
        <v>=6*2000*6</v>
      </c>
    </row>
    <row r="55" spans="1:7" x14ac:dyDescent="0.2">
      <c r="B55" t="s">
        <v>54</v>
      </c>
      <c r="F55" s="1">
        <f>-F54</f>
        <v>-72000</v>
      </c>
    </row>
    <row r="57" spans="1:7" x14ac:dyDescent="0.2">
      <c r="A57" t="s">
        <v>165</v>
      </c>
      <c r="B57" t="s">
        <v>166</v>
      </c>
    </row>
    <row r="58" spans="1:7" x14ac:dyDescent="0.2">
      <c r="B58" t="s">
        <v>21</v>
      </c>
      <c r="F58" s="1">
        <v>1000000</v>
      </c>
    </row>
    <row r="59" spans="1:7" x14ac:dyDescent="0.2">
      <c r="B59" t="s">
        <v>9</v>
      </c>
      <c r="F59" s="1">
        <f>-F58</f>
        <v>-1000000</v>
      </c>
    </row>
    <row r="61" spans="1:7" x14ac:dyDescent="0.2">
      <c r="B61" t="s">
        <v>123</v>
      </c>
      <c r="F61" s="1">
        <v>1000000</v>
      </c>
    </row>
    <row r="62" spans="1:7" x14ac:dyDescent="0.2">
      <c r="B62" t="s">
        <v>21</v>
      </c>
      <c r="F62" s="1">
        <f>-F61</f>
        <v>-1000000</v>
      </c>
    </row>
    <row r="64" spans="1:7" x14ac:dyDescent="0.2">
      <c r="B64" t="s">
        <v>167</v>
      </c>
    </row>
    <row r="65" spans="2:9" ht="16" thickBot="1" x14ac:dyDescent="0.25">
      <c r="B65" t="s">
        <v>125</v>
      </c>
      <c r="D65" s="1">
        <v>1000000</v>
      </c>
    </row>
    <row r="66" spans="2:9" ht="19" thickBot="1" x14ac:dyDescent="0.4">
      <c r="B66" t="s">
        <v>168</v>
      </c>
      <c r="D66" s="23">
        <f>D67-D65</f>
        <v>202976.19047619053</v>
      </c>
    </row>
    <row r="67" spans="2:9" x14ac:dyDescent="0.2">
      <c r="B67" t="s">
        <v>169</v>
      </c>
      <c r="D67" s="1">
        <f>1000000*(1+0.1*9/12)*4.7/4.2</f>
        <v>1202976.1904761905</v>
      </c>
      <c r="E67" s="6" t="str">
        <f ca="1">_xlfn.FORMULATEXT(D67)</f>
        <v>=1000000*(1+0.1*9/12)*4.7/4.2</v>
      </c>
    </row>
    <row r="69" spans="2:9" x14ac:dyDescent="0.2">
      <c r="B69" t="s">
        <v>123</v>
      </c>
      <c r="F69" s="7">
        <f>D66</f>
        <v>202976.19047619053</v>
      </c>
    </row>
    <row r="70" spans="2:9" ht="16" thickBot="1" x14ac:dyDescent="0.25">
      <c r="B70" t="s">
        <v>9</v>
      </c>
      <c r="F70" s="1">
        <f>-D65*(110/100-1)</f>
        <v>-100000.00000000009</v>
      </c>
      <c r="G70" s="6" t="str">
        <f ca="1">_xlfn.FORMULATEXT(F70)</f>
        <v>=-D65*(110/100-1)</v>
      </c>
      <c r="I70" t="s">
        <v>170</v>
      </c>
    </row>
    <row r="71" spans="2:9" ht="16" thickBot="1" x14ac:dyDescent="0.25">
      <c r="B71" t="s">
        <v>171</v>
      </c>
      <c r="F71" s="24">
        <f>-SUM(F69:F70)</f>
        <v>-102976.19047619044</v>
      </c>
    </row>
    <row r="73" spans="2:9" x14ac:dyDescent="0.2">
      <c r="B73" t="s">
        <v>172</v>
      </c>
      <c r="F73" s="1">
        <v>58000</v>
      </c>
      <c r="I73" t="s">
        <v>173</v>
      </c>
    </row>
    <row r="74" spans="2:9" x14ac:dyDescent="0.2">
      <c r="B74" t="s">
        <v>21</v>
      </c>
      <c r="F74" s="1">
        <f>-F73</f>
        <v>-58000</v>
      </c>
    </row>
    <row r="75" spans="2:9" x14ac:dyDescent="0.2">
      <c r="B75" t="s">
        <v>174</v>
      </c>
    </row>
    <row r="77" spans="2:9" x14ac:dyDescent="0.2">
      <c r="B77" t="s">
        <v>175</v>
      </c>
      <c r="F77" s="1">
        <v>45000</v>
      </c>
    </row>
    <row r="78" spans="2:9" x14ac:dyDescent="0.2">
      <c r="B78" t="s">
        <v>172</v>
      </c>
      <c r="F78" s="1">
        <f>-F77</f>
        <v>-45000</v>
      </c>
    </row>
    <row r="79" spans="2:9" x14ac:dyDescent="0.2">
      <c r="B79" t="s">
        <v>176</v>
      </c>
    </row>
    <row r="80" spans="2:9" x14ac:dyDescent="0.2">
      <c r="B80" t="s">
        <v>171</v>
      </c>
      <c r="F80" s="1">
        <v>45000</v>
      </c>
    </row>
    <row r="81" spans="1:7" x14ac:dyDescent="0.2">
      <c r="B81" t="s">
        <v>38</v>
      </c>
      <c r="F81" s="1">
        <f>-F80</f>
        <v>-45000</v>
      </c>
    </row>
    <row r="83" spans="1:7" x14ac:dyDescent="0.2">
      <c r="A83" s="6" t="s">
        <v>177</v>
      </c>
      <c r="B83" t="s">
        <v>178</v>
      </c>
      <c r="F83" s="1">
        <v>12000</v>
      </c>
    </row>
    <row r="84" spans="1:7" x14ac:dyDescent="0.2">
      <c r="B84" t="s">
        <v>179</v>
      </c>
      <c r="F84" s="1">
        <v>60000</v>
      </c>
    </row>
    <row r="85" spans="1:7" x14ac:dyDescent="0.2">
      <c r="B85" t="s">
        <v>180</v>
      </c>
      <c r="F85" s="1">
        <v>15000</v>
      </c>
    </row>
    <row r="86" spans="1:7" x14ac:dyDescent="0.2">
      <c r="B86" t="s">
        <v>181</v>
      </c>
      <c r="F86" s="1">
        <v>2500</v>
      </c>
    </row>
    <row r="87" spans="1:7" x14ac:dyDescent="0.2">
      <c r="B87" t="s">
        <v>21</v>
      </c>
      <c r="F87" s="1">
        <f>-SUM(F83:F86)</f>
        <v>-89500</v>
      </c>
    </row>
    <row r="89" spans="1:7" x14ac:dyDescent="0.2">
      <c r="A89" s="6" t="s">
        <v>182</v>
      </c>
      <c r="B89" t="s">
        <v>21</v>
      </c>
      <c r="F89" s="1">
        <v>100000</v>
      </c>
    </row>
    <row r="90" spans="1:7" x14ac:dyDescent="0.2">
      <c r="B90" t="s">
        <v>117</v>
      </c>
      <c r="F90" s="1">
        <f>PV(1%,60,1000)</f>
        <v>-44955.038406224034</v>
      </c>
      <c r="G90" s="6" t="str">
        <f ca="1">_xlfn.FORMULATEXT(F90)</f>
        <v>=PV(1%,60,1000)</v>
      </c>
    </row>
    <row r="91" spans="1:7" x14ac:dyDescent="0.2">
      <c r="B91" t="s">
        <v>43</v>
      </c>
      <c r="F91" s="1">
        <f>-SUM(F89:F90)</f>
        <v>-55044.961593775966</v>
      </c>
      <c r="G91" t="s">
        <v>183</v>
      </c>
    </row>
    <row r="93" spans="1:7" x14ac:dyDescent="0.2">
      <c r="B93" s="25" t="s">
        <v>184</v>
      </c>
    </row>
    <row r="94" spans="1:7" x14ac:dyDescent="0.2">
      <c r="B94" t="s">
        <v>185</v>
      </c>
      <c r="D94" s="7">
        <f>F90</f>
        <v>-44955.038406224034</v>
      </c>
    </row>
    <row r="95" spans="1:7" x14ac:dyDescent="0.2">
      <c r="B95" t="s">
        <v>45</v>
      </c>
      <c r="D95" s="7">
        <f>6*1000</f>
        <v>6000</v>
      </c>
      <c r="E95" s="6" t="str">
        <f ca="1">_xlfn.FORMULATEXT(D95)</f>
        <v>=6*1000</v>
      </c>
    </row>
    <row r="96" spans="1:7" ht="18" x14ac:dyDescent="0.35">
      <c r="B96" t="s">
        <v>46</v>
      </c>
      <c r="D96" s="21">
        <f>D97-SUM(D94:D95)</f>
        <v>-2613.6256729246525</v>
      </c>
    </row>
    <row r="97" spans="1:10" ht="16" thickBot="1" x14ac:dyDescent="0.25">
      <c r="B97" t="s">
        <v>186</v>
      </c>
      <c r="D97" s="1">
        <f>PV(1%,54,1000)</f>
        <v>-41568.664079148686</v>
      </c>
      <c r="E97" s="6" t="str">
        <f ca="1">_xlfn.FORMULATEXT(D97)</f>
        <v>=PV(1%,54,1000)</v>
      </c>
    </row>
    <row r="98" spans="1:10" ht="19" thickBot="1" x14ac:dyDescent="0.4">
      <c r="B98" t="s">
        <v>49</v>
      </c>
      <c r="D98" s="26">
        <f>D99-D97</f>
        <v>7526.1104335605123</v>
      </c>
    </row>
    <row r="99" spans="1:10" ht="18" x14ac:dyDescent="0.35">
      <c r="B99" t="s">
        <v>144</v>
      </c>
      <c r="D99" s="10">
        <f>PV(1.5%,48,1000)</f>
        <v>-34042.553645588174</v>
      </c>
      <c r="E99" s="6" t="str">
        <f ca="1">_xlfn.FORMULATEXT(D99)</f>
        <v>=PV(1.5%,48,1000)</v>
      </c>
      <c r="H99" t="s">
        <v>187</v>
      </c>
      <c r="I99" s="7">
        <f>D99-I100</f>
        <v>-6381.8693347377703</v>
      </c>
      <c r="J99" t="s">
        <v>47</v>
      </c>
    </row>
    <row r="100" spans="1:10" ht="19" x14ac:dyDescent="0.35">
      <c r="D100" s="10"/>
      <c r="E100" s="6"/>
      <c r="H100" t="s">
        <v>146</v>
      </c>
      <c r="I100" s="1">
        <f>PV(1.5%,36,1000)</f>
        <v>-27660.684310850404</v>
      </c>
      <c r="J100" s="22" t="str">
        <f ca="1">_xlfn.FORMULATEXT(I100)</f>
        <v>=PV(1.5%,36,1000)</v>
      </c>
    </row>
    <row r="102" spans="1:10" x14ac:dyDescent="0.2">
      <c r="B102" t="s">
        <v>117</v>
      </c>
      <c r="F102" s="1">
        <v>6000</v>
      </c>
    </row>
    <row r="103" spans="1:10" x14ac:dyDescent="0.2">
      <c r="B103" t="s">
        <v>21</v>
      </c>
      <c r="F103" s="1">
        <f>-F102</f>
        <v>-6000</v>
      </c>
    </row>
    <row r="105" spans="1:10" x14ac:dyDescent="0.2">
      <c r="B105" t="s">
        <v>46</v>
      </c>
      <c r="F105" s="1">
        <f>-D96</f>
        <v>2613.6256729246525</v>
      </c>
    </row>
    <row r="106" spans="1:10" x14ac:dyDescent="0.2">
      <c r="B106" t="s">
        <v>117</v>
      </c>
      <c r="F106" s="1">
        <f>-F105</f>
        <v>-2613.6256729246525</v>
      </c>
    </row>
    <row r="108" spans="1:10" x14ac:dyDescent="0.2">
      <c r="B108" t="s">
        <v>117</v>
      </c>
      <c r="F108" s="1">
        <f>D98</f>
        <v>7526.1104335605123</v>
      </c>
    </row>
    <row r="109" spans="1:10" x14ac:dyDescent="0.2">
      <c r="B109" t="s">
        <v>188</v>
      </c>
      <c r="F109" s="1">
        <f>-F108</f>
        <v>-7526.1104335605123</v>
      </c>
    </row>
    <row r="111" spans="1:10" x14ac:dyDescent="0.2">
      <c r="A111" s="6" t="s">
        <v>189</v>
      </c>
      <c r="B111" t="s">
        <v>190</v>
      </c>
    </row>
    <row r="112" spans="1:10" x14ac:dyDescent="0.2">
      <c r="B112" t="s">
        <v>191</v>
      </c>
    </row>
    <row r="113" spans="1:9" x14ac:dyDescent="0.2">
      <c r="B113" t="s">
        <v>192</v>
      </c>
    </row>
    <row r="114" spans="1:9" x14ac:dyDescent="0.2">
      <c r="B114" t="s">
        <v>11</v>
      </c>
      <c r="F114" s="1">
        <v>35000</v>
      </c>
    </row>
    <row r="115" spans="1:9" x14ac:dyDescent="0.2">
      <c r="B115" t="s">
        <v>193</v>
      </c>
      <c r="F115" s="1">
        <v>10000</v>
      </c>
    </row>
    <row r="116" spans="1:9" x14ac:dyDescent="0.2">
      <c r="B116" t="s">
        <v>9</v>
      </c>
      <c r="F116" s="1">
        <f>-SUM(F114:F115)</f>
        <v>-45000</v>
      </c>
    </row>
    <row r="120" spans="1:9" x14ac:dyDescent="0.2">
      <c r="A120" s="27" t="s">
        <v>2</v>
      </c>
      <c r="C120"/>
      <c r="E120" s="1"/>
      <c r="F120"/>
    </row>
    <row r="121" spans="1:9" x14ac:dyDescent="0.2">
      <c r="A121" s="28" t="s">
        <v>194</v>
      </c>
      <c r="C121"/>
      <c r="E121" s="1"/>
      <c r="F121"/>
      <c r="I121" t="s">
        <v>195</v>
      </c>
    </row>
    <row r="122" spans="1:9" ht="16" x14ac:dyDescent="0.2">
      <c r="A122" s="6" t="s">
        <v>72</v>
      </c>
      <c r="C122"/>
      <c r="E122" s="1">
        <f>-F8-F91</f>
        <v>155044.96159377595</v>
      </c>
      <c r="F122" s="22"/>
      <c r="I122" s="6" t="s">
        <v>196</v>
      </c>
    </row>
    <row r="123" spans="1:9" x14ac:dyDescent="0.2">
      <c r="A123" s="6" t="s">
        <v>197</v>
      </c>
      <c r="C123"/>
      <c r="E123" s="1">
        <f>-F28</f>
        <v>100000</v>
      </c>
      <c r="F123"/>
      <c r="I123" s="6">
        <v>2</v>
      </c>
    </row>
    <row r="124" spans="1:9" x14ac:dyDescent="0.2">
      <c r="A124" s="6" t="s">
        <v>198</v>
      </c>
      <c r="C124"/>
      <c r="E124" s="1">
        <f>-F55</f>
        <v>72000</v>
      </c>
      <c r="F124"/>
      <c r="I124" s="6">
        <v>4</v>
      </c>
    </row>
    <row r="125" spans="1:9" x14ac:dyDescent="0.2">
      <c r="A125" s="6" t="s">
        <v>102</v>
      </c>
      <c r="C125"/>
      <c r="E125" s="1">
        <f>-F81</f>
        <v>45000</v>
      </c>
      <c r="F125"/>
      <c r="I125" s="6">
        <v>8</v>
      </c>
    </row>
    <row r="126" spans="1:9" ht="18" x14ac:dyDescent="0.35">
      <c r="A126" s="6" t="s">
        <v>188</v>
      </c>
      <c r="C126"/>
      <c r="E126" s="9">
        <f>-F109</f>
        <v>7526.1104335605123</v>
      </c>
      <c r="F126"/>
      <c r="I126" s="6">
        <v>12</v>
      </c>
    </row>
    <row r="127" spans="1:9" x14ac:dyDescent="0.2">
      <c r="A127" s="6"/>
      <c r="C127"/>
      <c r="E127" s="1">
        <f>SUM(E122:E126)</f>
        <v>379571.07202733646</v>
      </c>
      <c r="F127"/>
    </row>
    <row r="128" spans="1:9" x14ac:dyDescent="0.2">
      <c r="A128" s="28" t="s">
        <v>77</v>
      </c>
      <c r="C128"/>
      <c r="E128" s="1"/>
      <c r="F128"/>
    </row>
    <row r="129" spans="1:9" x14ac:dyDescent="0.2">
      <c r="A129" s="6" t="s">
        <v>79</v>
      </c>
      <c r="C129"/>
      <c r="E129" s="1">
        <f>F37</f>
        <v>5000</v>
      </c>
      <c r="F129"/>
      <c r="I129" s="6">
        <v>2</v>
      </c>
    </row>
    <row r="130" spans="1:9" x14ac:dyDescent="0.2">
      <c r="A130" s="6" t="s">
        <v>81</v>
      </c>
      <c r="C130"/>
      <c r="E130" s="1">
        <f>F54+F84+F86</f>
        <v>134500</v>
      </c>
      <c r="F130"/>
      <c r="I130" s="6" t="s">
        <v>199</v>
      </c>
    </row>
    <row r="131" spans="1:9" ht="18" x14ac:dyDescent="0.35">
      <c r="A131" s="6" t="s">
        <v>200</v>
      </c>
      <c r="C131"/>
      <c r="E131" s="9">
        <f>F77</f>
        <v>45000</v>
      </c>
      <c r="F131"/>
      <c r="I131">
        <v>8</v>
      </c>
    </row>
    <row r="132" spans="1:9" x14ac:dyDescent="0.2">
      <c r="A132" s="6"/>
      <c r="C132"/>
      <c r="E132" s="1">
        <f>SUM(E129:E131)</f>
        <v>184500</v>
      </c>
      <c r="F132"/>
    </row>
    <row r="133" spans="1:9" x14ac:dyDescent="0.2">
      <c r="A133" s="6" t="s">
        <v>201</v>
      </c>
      <c r="C133"/>
      <c r="E133" s="1">
        <f>E127-E132</f>
        <v>195071.07202733646</v>
      </c>
      <c r="F133"/>
    </row>
    <row r="134" spans="1:9" x14ac:dyDescent="0.2">
      <c r="A134" s="28" t="s">
        <v>202</v>
      </c>
      <c r="C134"/>
      <c r="E134" s="1"/>
      <c r="F134"/>
    </row>
    <row r="135" spans="1:9" x14ac:dyDescent="0.2">
      <c r="A135" s="6" t="s">
        <v>203</v>
      </c>
      <c r="C135"/>
      <c r="E135" s="1">
        <f>F83</f>
        <v>12000</v>
      </c>
      <c r="F135"/>
      <c r="I135">
        <v>7</v>
      </c>
    </row>
    <row r="136" spans="1:9" ht="18" x14ac:dyDescent="0.35">
      <c r="A136" s="6" t="s">
        <v>204</v>
      </c>
      <c r="C136"/>
      <c r="E136" s="9">
        <f>F85</f>
        <v>15000</v>
      </c>
      <c r="F136"/>
      <c r="I136">
        <v>7</v>
      </c>
    </row>
    <row r="137" spans="1:9" x14ac:dyDescent="0.2">
      <c r="A137" s="6"/>
      <c r="C137"/>
      <c r="E137" s="1">
        <f>SUM(E135:E136)</f>
        <v>27000</v>
      </c>
      <c r="F137"/>
    </row>
    <row r="138" spans="1:9" x14ac:dyDescent="0.2">
      <c r="A138" s="6" t="s">
        <v>46</v>
      </c>
      <c r="C138"/>
      <c r="E138" s="1">
        <f>F19+F105</f>
        <v>32922.904023440118</v>
      </c>
      <c r="F138"/>
      <c r="I138" s="6" t="s">
        <v>205</v>
      </c>
    </row>
    <row r="139" spans="1:9" x14ac:dyDescent="0.2">
      <c r="A139" s="6" t="s">
        <v>83</v>
      </c>
      <c r="C139"/>
      <c r="E139" s="1">
        <f>E133-E137-E138</f>
        <v>135148.16800389634</v>
      </c>
      <c r="F139"/>
    </row>
    <row r="140" spans="1:9" x14ac:dyDescent="0.2">
      <c r="A140" s="6"/>
      <c r="C140"/>
      <c r="E140" s="1"/>
      <c r="F140"/>
    </row>
    <row r="141" spans="1:9" x14ac:dyDescent="0.2">
      <c r="A141" s="27" t="s">
        <v>206</v>
      </c>
      <c r="C141"/>
      <c r="E141" s="1"/>
      <c r="F141"/>
    </row>
    <row r="142" spans="1:9" ht="19" x14ac:dyDescent="0.35">
      <c r="A142" s="6"/>
      <c r="C142"/>
      <c r="E142" s="4" t="s">
        <v>85</v>
      </c>
      <c r="F142" s="4"/>
      <c r="G142" s="4"/>
      <c r="H142" s="20" t="s">
        <v>86</v>
      </c>
      <c r="I142" s="12"/>
    </row>
    <row r="143" spans="1:9" ht="19" x14ac:dyDescent="0.35">
      <c r="A143" s="6"/>
      <c r="C143"/>
      <c r="E143" s="4" t="s">
        <v>89</v>
      </c>
      <c r="F143" s="4"/>
      <c r="G143" s="20" t="s">
        <v>87</v>
      </c>
      <c r="H143" s="20" t="s">
        <v>88</v>
      </c>
      <c r="I143" s="12"/>
    </row>
    <row r="144" spans="1:9" ht="18" x14ac:dyDescent="0.35">
      <c r="A144" s="6"/>
      <c r="C144"/>
      <c r="E144" s="4" t="s">
        <v>207</v>
      </c>
      <c r="F144" s="4" t="s">
        <v>208</v>
      </c>
      <c r="G144" s="4" t="s">
        <v>90</v>
      </c>
      <c r="H144" s="4" t="s">
        <v>91</v>
      </c>
      <c r="I144" s="4" t="s">
        <v>63</v>
      </c>
    </row>
    <row r="145" spans="1:13" x14ac:dyDescent="0.2">
      <c r="A145" s="6" t="s">
        <v>209</v>
      </c>
      <c r="C145"/>
      <c r="E145" s="1">
        <v>0</v>
      </c>
      <c r="F145" s="1">
        <v>0</v>
      </c>
      <c r="G145" s="1">
        <v>0</v>
      </c>
      <c r="H145" s="1">
        <v>0</v>
      </c>
      <c r="I145" s="1">
        <f>SUM(E145:H145)</f>
        <v>0</v>
      </c>
    </row>
    <row r="146" spans="1:13" x14ac:dyDescent="0.2">
      <c r="A146" s="28" t="s">
        <v>93</v>
      </c>
      <c r="C146"/>
      <c r="E146" s="1"/>
      <c r="G146" s="1"/>
      <c r="H146" s="1"/>
      <c r="I146" s="1"/>
    </row>
    <row r="147" spans="1:13" x14ac:dyDescent="0.2">
      <c r="A147" s="6" t="s">
        <v>83</v>
      </c>
      <c r="C147"/>
      <c r="E147" s="1">
        <f>E139</f>
        <v>135148.16800389634</v>
      </c>
      <c r="G147" s="1"/>
      <c r="H147" s="1"/>
      <c r="I147" s="1">
        <f>SUM(E147:H147)</f>
        <v>135148.16800389634</v>
      </c>
    </row>
    <row r="148" spans="1:13" x14ac:dyDescent="0.2">
      <c r="A148" s="6" t="s">
        <v>72</v>
      </c>
      <c r="C148"/>
      <c r="E148" s="1"/>
      <c r="G148" s="1"/>
      <c r="H148" s="1">
        <f>-F5-F59-F116</f>
        <v>1145000</v>
      </c>
      <c r="I148" s="1">
        <f>SUM(E148:H148)</f>
        <v>1145000</v>
      </c>
      <c r="M148" t="s">
        <v>210</v>
      </c>
    </row>
    <row r="149" spans="1:13" x14ac:dyDescent="0.2">
      <c r="A149" s="6" t="s">
        <v>211</v>
      </c>
      <c r="C149"/>
      <c r="E149" s="1"/>
      <c r="G149" s="1"/>
      <c r="H149" s="1">
        <f>F69</f>
        <v>202976.19047619053</v>
      </c>
      <c r="I149" s="1">
        <f>SUM(E149:H149)</f>
        <v>202976.19047619053</v>
      </c>
      <c r="M149">
        <v>5</v>
      </c>
    </row>
    <row r="150" spans="1:13" x14ac:dyDescent="0.2">
      <c r="A150" s="6"/>
      <c r="C150"/>
      <c r="E150" s="1"/>
      <c r="G150" s="1"/>
      <c r="H150" s="1"/>
      <c r="I150" s="1"/>
    </row>
    <row r="151" spans="1:13" x14ac:dyDescent="0.2">
      <c r="A151" s="28" t="s">
        <v>96</v>
      </c>
      <c r="C151"/>
      <c r="E151" s="1"/>
      <c r="G151" s="1"/>
      <c r="H151" s="1"/>
      <c r="I151" s="1"/>
    </row>
    <row r="152" spans="1:13" x14ac:dyDescent="0.2">
      <c r="A152" s="6" t="s">
        <v>212</v>
      </c>
      <c r="C152"/>
      <c r="E152" s="1"/>
      <c r="G152" s="1"/>
      <c r="H152" s="1">
        <f>-F27</f>
        <v>-100000</v>
      </c>
      <c r="I152" s="1">
        <f>SUM(E152:H152)</f>
        <v>-100000</v>
      </c>
      <c r="M152">
        <v>2</v>
      </c>
    </row>
    <row r="153" spans="1:13" x14ac:dyDescent="0.2">
      <c r="A153" s="6" t="s">
        <v>213</v>
      </c>
      <c r="C153"/>
      <c r="E153" s="1">
        <f>-G153</f>
        <v>-250000</v>
      </c>
      <c r="G153" s="1">
        <f>-F32</f>
        <v>250000</v>
      </c>
      <c r="H153" s="1"/>
      <c r="I153" s="1">
        <f>SUM(E153:H153)</f>
        <v>0</v>
      </c>
      <c r="M153">
        <v>2</v>
      </c>
    </row>
    <row r="154" spans="1:13" x14ac:dyDescent="0.2">
      <c r="A154" s="6" t="s">
        <v>20</v>
      </c>
      <c r="C154"/>
      <c r="E154" s="1">
        <f>-G154</f>
        <v>5000</v>
      </c>
      <c r="G154" s="1">
        <f>-F37</f>
        <v>-5000</v>
      </c>
      <c r="H154" s="1"/>
      <c r="I154" s="1">
        <f>SUM(E154:H154)</f>
        <v>0</v>
      </c>
      <c r="M154">
        <v>2</v>
      </c>
    </row>
    <row r="155" spans="1:13" x14ac:dyDescent="0.2">
      <c r="A155" s="6" t="s">
        <v>102</v>
      </c>
      <c r="C155"/>
      <c r="E155" s="1"/>
      <c r="G155" s="1"/>
      <c r="H155" s="1">
        <f>-F80</f>
        <v>-45000</v>
      </c>
      <c r="I155" s="1">
        <f>SUM(E155:H155)</f>
        <v>-45000</v>
      </c>
      <c r="M155">
        <v>8</v>
      </c>
    </row>
    <row r="156" spans="1:13" x14ac:dyDescent="0.2">
      <c r="A156" s="6"/>
      <c r="C156"/>
      <c r="E156" s="1"/>
      <c r="G156" s="1"/>
      <c r="H156" s="1"/>
      <c r="I156" s="1"/>
    </row>
    <row r="157" spans="1:13" x14ac:dyDescent="0.2">
      <c r="A157" s="6" t="s">
        <v>214</v>
      </c>
      <c r="C157"/>
      <c r="D157" s="1"/>
      <c r="E157" s="1">
        <f>SUM(E145:E156)</f>
        <v>-109851.83199610366</v>
      </c>
      <c r="F157" s="1">
        <f t="shared" ref="F157:H157" si="0">SUM(F145:F156)</f>
        <v>0</v>
      </c>
      <c r="G157" s="1">
        <f t="shared" si="0"/>
        <v>245000</v>
      </c>
      <c r="H157" s="1">
        <f t="shared" si="0"/>
        <v>1202976.1904761905</v>
      </c>
      <c r="I157" s="1">
        <f>SUM(E157:H157)</f>
        <v>1338124.3584800868</v>
      </c>
    </row>
    <row r="158" spans="1:13" x14ac:dyDescent="0.2">
      <c r="A158" s="6"/>
      <c r="C158"/>
      <c r="E158" s="1"/>
      <c r="F158"/>
    </row>
    <row r="159" spans="1:13" x14ac:dyDescent="0.2">
      <c r="A159" s="27" t="s">
        <v>215</v>
      </c>
      <c r="C159"/>
      <c r="E159" s="1"/>
      <c r="F159"/>
    </row>
    <row r="160" spans="1:13" ht="16" thickBot="1" x14ac:dyDescent="0.25">
      <c r="A160" s="28" t="s">
        <v>216</v>
      </c>
      <c r="C160"/>
      <c r="E160" s="1"/>
      <c r="F160" s="25" t="s">
        <v>217</v>
      </c>
    </row>
    <row r="161" spans="1:9" ht="16" thickBot="1" x14ac:dyDescent="0.25">
      <c r="A161" s="6" t="s">
        <v>218</v>
      </c>
      <c r="C161"/>
      <c r="D161" s="29">
        <f>D163-D162</f>
        <v>1249476.1904761903</v>
      </c>
      <c r="E161" s="1"/>
      <c r="F161" t="s">
        <v>219</v>
      </c>
      <c r="H161" s="1">
        <f>-I16</f>
        <v>10206.185567010309</v>
      </c>
      <c r="I161">
        <v>1</v>
      </c>
    </row>
    <row r="162" spans="1:9" ht="18" x14ac:dyDescent="0.35">
      <c r="A162" s="6" t="s">
        <v>220</v>
      </c>
      <c r="C162"/>
      <c r="D162" s="9">
        <f>F73+F78</f>
        <v>13000</v>
      </c>
      <c r="E162" s="1">
        <v>6</v>
      </c>
      <c r="F162" t="s">
        <v>41</v>
      </c>
      <c r="H162" s="30">
        <f>-I99</f>
        <v>6381.8693347377703</v>
      </c>
      <c r="I162">
        <v>12</v>
      </c>
    </row>
    <row r="163" spans="1:9" x14ac:dyDescent="0.2">
      <c r="A163" s="6"/>
      <c r="C163"/>
      <c r="D163" s="1">
        <f>D171-D169</f>
        <v>1262476.1904761903</v>
      </c>
      <c r="E163" s="1"/>
      <c r="F163"/>
      <c r="H163" s="1">
        <f>SUM(H161:H162)</f>
        <v>16588.054901748081</v>
      </c>
    </row>
    <row r="164" spans="1:9" x14ac:dyDescent="0.2">
      <c r="A164" s="6"/>
      <c r="C164"/>
      <c r="D164" s="1"/>
      <c r="E164" s="1"/>
      <c r="F164" s="25" t="s">
        <v>221</v>
      </c>
      <c r="H164" s="1"/>
    </row>
    <row r="165" spans="1:9" x14ac:dyDescent="0.2">
      <c r="A165" s="28" t="s">
        <v>222</v>
      </c>
      <c r="C165"/>
      <c r="D165" s="1"/>
      <c r="E165" s="1"/>
      <c r="F165" t="s">
        <v>141</v>
      </c>
      <c r="H165" s="1">
        <f>-I17</f>
        <v>170103.09278350516</v>
      </c>
      <c r="I165">
        <v>1</v>
      </c>
    </row>
    <row r="166" spans="1:9" ht="18" x14ac:dyDescent="0.35">
      <c r="A166" s="6" t="s">
        <v>223</v>
      </c>
      <c r="C166"/>
      <c r="D166" s="1"/>
      <c r="E166" s="1"/>
      <c r="F166" t="s">
        <v>41</v>
      </c>
      <c r="H166" s="9">
        <f>-I100</f>
        <v>27660.684310850404</v>
      </c>
      <c r="I166">
        <v>12</v>
      </c>
    </row>
    <row r="167" spans="1:9" x14ac:dyDescent="0.2">
      <c r="A167" s="6" t="s">
        <v>224</v>
      </c>
      <c r="C167"/>
      <c r="D167" s="1">
        <f>F22+F35</f>
        <v>245000</v>
      </c>
      <c r="E167" s="1"/>
      <c r="F167"/>
      <c r="H167" s="1">
        <f>SUM(H165:H166)</f>
        <v>197763.77709435555</v>
      </c>
    </row>
    <row r="168" spans="1:9" x14ac:dyDescent="0.2">
      <c r="A168" s="6" t="s">
        <v>225</v>
      </c>
      <c r="C168"/>
      <c r="D168" s="30">
        <f>SUM(F114:F115)</f>
        <v>45000</v>
      </c>
      <c r="E168" s="1">
        <v>13</v>
      </c>
      <c r="F168"/>
    </row>
    <row r="169" spans="1:9" x14ac:dyDescent="0.2">
      <c r="A169" s="6"/>
      <c r="C169"/>
      <c r="D169" s="1">
        <f>SUM(D167:D168)</f>
        <v>290000</v>
      </c>
      <c r="E169" s="1"/>
      <c r="F169" t="s">
        <v>226</v>
      </c>
      <c r="H169" s="7">
        <f>H163+H167</f>
        <v>214351.83199610363</v>
      </c>
    </row>
    <row r="170" spans="1:9" x14ac:dyDescent="0.2">
      <c r="A170" s="6"/>
      <c r="C170"/>
      <c r="D170" s="1"/>
      <c r="E170" s="1"/>
      <c r="F170" s="25" t="s">
        <v>227</v>
      </c>
      <c r="H170" s="1"/>
    </row>
    <row r="171" spans="1:9" x14ac:dyDescent="0.2">
      <c r="A171" s="6" t="s">
        <v>228</v>
      </c>
      <c r="C171"/>
      <c r="D171" s="1">
        <f>H178</f>
        <v>1552476.1904761903</v>
      </c>
      <c r="E171" s="1"/>
      <c r="F171" t="s">
        <v>229</v>
      </c>
      <c r="H171" s="1"/>
    </row>
    <row r="172" spans="1:9" x14ac:dyDescent="0.2">
      <c r="A172" s="6"/>
      <c r="C172"/>
      <c r="E172" s="1"/>
      <c r="F172" t="s">
        <v>230</v>
      </c>
      <c r="H172" s="1">
        <f>E157</f>
        <v>-109851.83199610366</v>
      </c>
    </row>
    <row r="173" spans="1:9" x14ac:dyDescent="0.2">
      <c r="A173" s="6"/>
      <c r="C173"/>
      <c r="E173" s="1"/>
      <c r="F173" t="s">
        <v>231</v>
      </c>
      <c r="H173" s="1">
        <v>0</v>
      </c>
    </row>
    <row r="174" spans="1:9" x14ac:dyDescent="0.2">
      <c r="A174" s="6"/>
      <c r="C174"/>
      <c r="E174" s="1"/>
      <c r="F174" t="s">
        <v>232</v>
      </c>
      <c r="H174" s="1">
        <v>245000</v>
      </c>
    </row>
    <row r="175" spans="1:9" ht="18" x14ac:dyDescent="0.35">
      <c r="A175" s="6"/>
      <c r="C175"/>
      <c r="E175" s="1"/>
      <c r="F175" t="s">
        <v>233</v>
      </c>
      <c r="H175" s="9">
        <f>H157</f>
        <v>1202976.1904761905</v>
      </c>
    </row>
    <row r="176" spans="1:9" x14ac:dyDescent="0.2">
      <c r="A176" s="6"/>
      <c r="C176"/>
      <c r="E176" s="1"/>
      <c r="F176" t="s">
        <v>234</v>
      </c>
      <c r="H176" s="1">
        <f>SUM(H172:H175)</f>
        <v>1338124.3584800868</v>
      </c>
    </row>
    <row r="177" spans="1:8" x14ac:dyDescent="0.2">
      <c r="A177" s="6"/>
      <c r="C177"/>
      <c r="E177" s="1"/>
      <c r="F177"/>
    </row>
    <row r="178" spans="1:8" x14ac:dyDescent="0.2">
      <c r="A178" s="6"/>
      <c r="C178"/>
      <c r="E178" s="1"/>
      <c r="F178" t="s">
        <v>235</v>
      </c>
      <c r="H178" s="7">
        <f>H169+H176</f>
        <v>1552476.1904761903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41664-76A1-4A43-B38D-F8802A7F7A36}">
  <dimension ref="A1:I62"/>
  <sheetViews>
    <sheetView rightToLeft="1" tabSelected="1" zoomScale="190" zoomScaleNormal="190" workbookViewId="0">
      <selection activeCell="E143" sqref="E143"/>
    </sheetView>
  </sheetViews>
  <sheetFormatPr baseColWidth="10" defaultColWidth="8.83203125" defaultRowHeight="15" x14ac:dyDescent="0.2"/>
  <cols>
    <col min="2" max="2" width="9.83203125" bestFit="1" customWidth="1"/>
    <col min="3" max="3" width="12.33203125" customWidth="1"/>
    <col min="4" max="4" width="11.5" customWidth="1"/>
    <col min="5" max="5" width="13.6640625" customWidth="1"/>
    <col min="8" max="8" width="10.33203125" customWidth="1"/>
  </cols>
  <sheetData>
    <row r="1" spans="1:5" x14ac:dyDescent="0.2">
      <c r="A1" t="s">
        <v>236</v>
      </c>
    </row>
    <row r="2" spans="1:5" ht="18" x14ac:dyDescent="0.35">
      <c r="C2" s="4" t="s">
        <v>237</v>
      </c>
      <c r="D2" s="4"/>
    </row>
    <row r="3" spans="1:5" ht="18" x14ac:dyDescent="0.35">
      <c r="A3" s="4" t="s">
        <v>238</v>
      </c>
      <c r="B3" s="4" t="s">
        <v>239</v>
      </c>
      <c r="C3" s="4" t="s">
        <v>89</v>
      </c>
      <c r="D3" s="4" t="s">
        <v>240</v>
      </c>
      <c r="E3" s="4" t="s">
        <v>241</v>
      </c>
    </row>
    <row r="4" spans="1:5" x14ac:dyDescent="0.2">
      <c r="A4">
        <v>1</v>
      </c>
      <c r="B4" s="7">
        <f>C16</f>
        <v>-500000</v>
      </c>
      <c r="C4" s="7">
        <f>-C15-E20</f>
        <v>0</v>
      </c>
      <c r="D4" s="7">
        <f>-E19</f>
        <v>-200000</v>
      </c>
      <c r="E4" s="7">
        <f>-E18</f>
        <v>-300000</v>
      </c>
    </row>
    <row r="5" spans="1:5" x14ac:dyDescent="0.2">
      <c r="A5">
        <v>2</v>
      </c>
      <c r="B5" s="7">
        <v>0</v>
      </c>
      <c r="C5" s="7">
        <v>0</v>
      </c>
      <c r="D5" s="7">
        <v>0</v>
      </c>
      <c r="E5" s="7">
        <v>0</v>
      </c>
    </row>
    <row r="6" spans="1:5" x14ac:dyDescent="0.2">
      <c r="A6">
        <v>3</v>
      </c>
      <c r="B6" s="7">
        <v>0</v>
      </c>
      <c r="C6" s="7">
        <v>0</v>
      </c>
      <c r="D6" s="7">
        <v>0</v>
      </c>
      <c r="E6" s="7">
        <v>0</v>
      </c>
    </row>
    <row r="7" spans="1:5" x14ac:dyDescent="0.2">
      <c r="A7">
        <v>4</v>
      </c>
      <c r="B7" s="7"/>
      <c r="C7" s="7">
        <f>-C30</f>
        <v>-1000000</v>
      </c>
      <c r="D7" s="7"/>
      <c r="E7" s="7">
        <f>-C31</f>
        <v>2000000</v>
      </c>
    </row>
    <row r="8" spans="1:5" x14ac:dyDescent="0.2">
      <c r="A8">
        <v>5</v>
      </c>
      <c r="B8" s="7"/>
      <c r="C8" s="7">
        <v>240000</v>
      </c>
      <c r="D8" s="7"/>
      <c r="E8" s="7"/>
    </row>
    <row r="9" spans="1:5" x14ac:dyDescent="0.2">
      <c r="A9">
        <v>6</v>
      </c>
      <c r="B9" s="7"/>
      <c r="C9" s="7"/>
      <c r="D9" s="7"/>
      <c r="E9" s="7">
        <f>F44</f>
        <v>590973.07787551486</v>
      </c>
    </row>
    <row r="10" spans="1:5" x14ac:dyDescent="0.2">
      <c r="A10">
        <v>7</v>
      </c>
      <c r="B10" s="7"/>
      <c r="C10" s="7">
        <f>-C48</f>
        <v>450000</v>
      </c>
      <c r="D10" s="7"/>
      <c r="E10" s="7">
        <f>-C49</f>
        <v>450000</v>
      </c>
    </row>
    <row r="11" spans="1:5" x14ac:dyDescent="0.2">
      <c r="A11">
        <v>8</v>
      </c>
      <c r="B11" s="7">
        <v>500000</v>
      </c>
      <c r="C11" s="7">
        <v>-500000</v>
      </c>
      <c r="D11" s="7">
        <v>500000</v>
      </c>
      <c r="E11" s="7"/>
    </row>
    <row r="12" spans="1:5" x14ac:dyDescent="0.2">
      <c r="A12">
        <v>9</v>
      </c>
      <c r="B12" s="7">
        <v>-80000</v>
      </c>
      <c r="C12" s="7"/>
      <c r="D12" s="7"/>
      <c r="E12" s="7">
        <f>-C62</f>
        <v>20000</v>
      </c>
    </row>
    <row r="14" spans="1:5" s="31" customFormat="1" x14ac:dyDescent="0.2">
      <c r="A14" s="31" t="s">
        <v>242</v>
      </c>
    </row>
    <row r="15" spans="1:5" x14ac:dyDescent="0.2">
      <c r="A15" t="s">
        <v>243</v>
      </c>
      <c r="C15" s="1">
        <v>500000</v>
      </c>
      <c r="D15" t="s">
        <v>150</v>
      </c>
    </row>
    <row r="16" spans="1:5" x14ac:dyDescent="0.2">
      <c r="A16" t="s">
        <v>244</v>
      </c>
      <c r="C16" s="1">
        <f>-C15</f>
        <v>-500000</v>
      </c>
      <c r="D16" t="s">
        <v>245</v>
      </c>
    </row>
    <row r="18" spans="1:5" x14ac:dyDescent="0.2">
      <c r="A18" t="s">
        <v>241</v>
      </c>
      <c r="E18" s="1">
        <v>300000</v>
      </c>
    </row>
    <row r="19" spans="1:5" x14ac:dyDescent="0.2">
      <c r="A19" t="s">
        <v>151</v>
      </c>
      <c r="E19" s="1">
        <v>200000</v>
      </c>
    </row>
    <row r="20" spans="1:5" x14ac:dyDescent="0.2">
      <c r="A20" t="s">
        <v>246</v>
      </c>
      <c r="E20" s="1">
        <f>-C15</f>
        <v>-500000</v>
      </c>
    </row>
    <row r="22" spans="1:5" s="31" customFormat="1" x14ac:dyDescent="0.2">
      <c r="A22" s="31" t="s">
        <v>247</v>
      </c>
    </row>
    <row r="23" spans="1:5" x14ac:dyDescent="0.2">
      <c r="A23" t="s">
        <v>248</v>
      </c>
    </row>
    <row r="24" spans="1:5" x14ac:dyDescent="0.2">
      <c r="A24" t="s">
        <v>249</v>
      </c>
    </row>
    <row r="25" spans="1:5" x14ac:dyDescent="0.2">
      <c r="A25" t="s">
        <v>250</v>
      </c>
    </row>
    <row r="27" spans="1:5" s="31" customFormat="1" x14ac:dyDescent="0.2">
      <c r="A27" s="31" t="s">
        <v>251</v>
      </c>
    </row>
    <row r="28" spans="1:5" x14ac:dyDescent="0.2">
      <c r="A28" t="s">
        <v>252</v>
      </c>
    </row>
    <row r="29" spans="1:5" x14ac:dyDescent="0.2">
      <c r="A29" t="s">
        <v>34</v>
      </c>
      <c r="C29" s="7">
        <v>1000000</v>
      </c>
      <c r="D29" t="s">
        <v>253</v>
      </c>
    </row>
    <row r="30" spans="1:5" x14ac:dyDescent="0.2">
      <c r="A30" t="s">
        <v>246</v>
      </c>
      <c r="C30" s="7">
        <v>1000000</v>
      </c>
      <c r="D30" t="s">
        <v>254</v>
      </c>
    </row>
    <row r="31" spans="1:5" x14ac:dyDescent="0.2">
      <c r="A31" t="s">
        <v>241</v>
      </c>
      <c r="C31" s="7">
        <f>-SUM(C29:C30)</f>
        <v>-2000000</v>
      </c>
    </row>
    <row r="33" spans="1:9" s="31" customFormat="1" x14ac:dyDescent="0.2">
      <c r="A33" s="31" t="s">
        <v>255</v>
      </c>
    </row>
    <row r="34" spans="1:9" x14ac:dyDescent="0.2">
      <c r="A34" t="s">
        <v>256</v>
      </c>
    </row>
    <row r="35" spans="1:9" x14ac:dyDescent="0.2">
      <c r="A35" t="s">
        <v>257</v>
      </c>
    </row>
    <row r="37" spans="1:9" s="31" customFormat="1" x14ac:dyDescent="0.2">
      <c r="A37" s="31" t="s">
        <v>258</v>
      </c>
    </row>
    <row r="38" spans="1:9" x14ac:dyDescent="0.2">
      <c r="A38" t="s">
        <v>259</v>
      </c>
      <c r="D38" t="s">
        <v>260</v>
      </c>
      <c r="F38" s="7">
        <v>600000</v>
      </c>
      <c r="G38" s="32" t="s">
        <v>261</v>
      </c>
    </row>
    <row r="39" spans="1:9" x14ac:dyDescent="0.2">
      <c r="D39" t="s">
        <v>262</v>
      </c>
      <c r="F39" s="7">
        <v>200000</v>
      </c>
    </row>
    <row r="40" spans="1:9" x14ac:dyDescent="0.2">
      <c r="D40" t="s">
        <v>263</v>
      </c>
      <c r="F40" s="7">
        <f>F39*(1.06^(11/12)-1)</f>
        <v>10973.077875514869</v>
      </c>
      <c r="G40" s="6" t="str">
        <f ca="1">_xlfn.FORMULATEXT(F40)</f>
        <v>=F39*(1.06^(11/12)-1)</v>
      </c>
      <c r="I40" t="s">
        <v>264</v>
      </c>
    </row>
    <row r="41" spans="1:9" x14ac:dyDescent="0.2">
      <c r="D41" t="s">
        <v>265</v>
      </c>
      <c r="F41">
        <v>20000</v>
      </c>
      <c r="G41" t="s">
        <v>266</v>
      </c>
    </row>
    <row r="42" spans="1:9" x14ac:dyDescent="0.2">
      <c r="D42" t="s">
        <v>267</v>
      </c>
      <c r="F42" s="7">
        <v>20000</v>
      </c>
      <c r="G42" t="s">
        <v>268</v>
      </c>
    </row>
    <row r="44" spans="1:9" x14ac:dyDescent="0.2">
      <c r="D44" t="s">
        <v>269</v>
      </c>
      <c r="F44" s="7">
        <f>F38+F40-F42</f>
        <v>590973.07787551486</v>
      </c>
    </row>
    <row r="46" spans="1:9" s="31" customFormat="1" x14ac:dyDescent="0.2">
      <c r="A46" s="31" t="s">
        <v>270</v>
      </c>
    </row>
    <row r="47" spans="1:9" x14ac:dyDescent="0.2">
      <c r="A47" t="s">
        <v>21</v>
      </c>
      <c r="C47" s="7">
        <v>900000</v>
      </c>
      <c r="E47" t="s">
        <v>271</v>
      </c>
    </row>
    <row r="48" spans="1:9" x14ac:dyDescent="0.2">
      <c r="A48" t="s">
        <v>56</v>
      </c>
      <c r="C48" s="7">
        <v>-450000</v>
      </c>
    </row>
    <row r="49" spans="1:8" x14ac:dyDescent="0.2">
      <c r="A49" t="s">
        <v>241</v>
      </c>
      <c r="C49" s="7">
        <v>-450000</v>
      </c>
    </row>
    <row r="51" spans="1:8" s="31" customFormat="1" x14ac:dyDescent="0.2">
      <c r="A51" s="31" t="s">
        <v>272</v>
      </c>
    </row>
    <row r="52" spans="1:8" x14ac:dyDescent="0.2">
      <c r="A52" t="s">
        <v>273</v>
      </c>
      <c r="C52" s="7">
        <v>500000</v>
      </c>
      <c r="E52" t="s">
        <v>246</v>
      </c>
      <c r="H52" s="7">
        <v>500000</v>
      </c>
    </row>
    <row r="53" spans="1:8" x14ac:dyDescent="0.2">
      <c r="A53" t="s">
        <v>274</v>
      </c>
      <c r="C53" s="7">
        <f>-C52</f>
        <v>-500000</v>
      </c>
      <c r="E53" t="s">
        <v>151</v>
      </c>
      <c r="H53" s="7">
        <f>-H52</f>
        <v>-500000</v>
      </c>
    </row>
    <row r="55" spans="1:8" x14ac:dyDescent="0.2">
      <c r="A55" t="s">
        <v>275</v>
      </c>
    </row>
    <row r="56" spans="1:8" x14ac:dyDescent="0.2">
      <c r="A56" t="s">
        <v>276</v>
      </c>
    </row>
    <row r="58" spans="1:8" s="31" customFormat="1" x14ac:dyDescent="0.2">
      <c r="A58" s="31" t="s">
        <v>277</v>
      </c>
    </row>
    <row r="59" spans="1:8" x14ac:dyDescent="0.2">
      <c r="A59" t="s">
        <v>278</v>
      </c>
    </row>
    <row r="60" spans="1:8" x14ac:dyDescent="0.2">
      <c r="A60" t="s">
        <v>21</v>
      </c>
      <c r="C60" s="7">
        <v>100000</v>
      </c>
    </row>
    <row r="61" spans="1:8" x14ac:dyDescent="0.2">
      <c r="A61" t="s">
        <v>239</v>
      </c>
      <c r="C61" s="7">
        <v>-80000</v>
      </c>
    </row>
    <row r="62" spans="1:8" x14ac:dyDescent="0.2">
      <c r="A62" t="s">
        <v>241</v>
      </c>
      <c r="C62" s="7">
        <v>-20000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שאלה 1</vt:lpstr>
      <vt:lpstr>שאלה 2</vt:lpstr>
      <vt:lpstr>שאלה 3</vt:lpstr>
      <vt:lpstr>שאלה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2024-02-13T17:22:06Z</dcterms:created>
  <dcterms:modified xsi:type="dcterms:W3CDTF">2024-03-17T16:09:20Z</dcterms:modified>
</cp:coreProperties>
</file>