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defaultThemeVersion="202300"/>
  <mc:AlternateContent xmlns:mc="http://schemas.openxmlformats.org/markup-compatibility/2006">
    <mc:Choice Requires="x15">
      <x15ac:absPath xmlns:x15ac="http://schemas.microsoft.com/office/spreadsheetml/2010/11/ac" url="https://mypac-my.sharepoint.com/personal/shay_tsaban_pac_org_il/Documents/BIU Finance Exec/"/>
    </mc:Choice>
  </mc:AlternateContent>
  <xr:revisionPtr revIDLastSave="1940" documentId="13_ncr:1_{C20813CF-276D-B64F-A53D-1279140D3A0B}" xr6:coauthVersionLast="47" xr6:coauthVersionMax="47" xr10:uidLastSave="{2D756C8A-B319-2042-822B-EC85AEB2692A}"/>
  <bookViews>
    <workbookView xWindow="0" yWindow="620" windowWidth="38080" windowHeight="21120" activeTab="6" xr2:uid="{DE765592-CC65-8E4B-8DC4-472098D20C09}"/>
  </bookViews>
  <sheets>
    <sheet name="תרגול 1" sheetId="1" r:id="rId1"/>
    <sheet name="תרגול 2" sheetId="2" r:id="rId2"/>
    <sheet name="תרגול 3" sheetId="3" r:id="rId3"/>
    <sheet name="תרגול 4" sheetId="4" r:id="rId4"/>
    <sheet name="חיזוקי אגח נוספים ללא מפגש" sheetId="12" r:id="rId5"/>
    <sheet name="תרגול 5 עדכני קיץ" sheetId="5" r:id="rId6"/>
    <sheet name="תרגול 6, 7 פרויקטים תזרימים" sheetId="6" r:id="rId7"/>
    <sheet name="תרגול 7 חדש אגח והצמדות" sheetId="13" r:id="rId8"/>
    <sheet name="היבטים במבחן 1" sheetId="7" r:id="rId9"/>
    <sheet name="היבטים במבחן 2" sheetId="8" r:id="rId10"/>
    <sheet name="היבטים במבחן 3" sheetId="9" r:id="rId11"/>
    <sheet name="היבטים במבחן 4" sheetId="10" r:id="rId12"/>
    <sheet name="תרגול מסכם והיבטים נוספים" sheetId="11" r:id="rId13"/>
    <sheet name="שיעורון חזרה לקראת מועד ב" sheetId="14"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87" i="6" l="1"/>
  <c r="C692" i="6"/>
  <c r="C691" i="6"/>
  <c r="J693" i="6"/>
  <c r="J692" i="6"/>
  <c r="J691" i="6"/>
  <c r="R633" i="6"/>
  <c r="R635" i="6" s="1"/>
  <c r="R636" i="6" s="1"/>
  <c r="K633" i="6" s="1"/>
  <c r="K634" i="6" s="1"/>
  <c r="D552" i="6"/>
  <c r="D551" i="6"/>
  <c r="G465" i="6"/>
  <c r="F465" i="6"/>
  <c r="E465" i="6"/>
  <c r="G223" i="6"/>
  <c r="G224" i="6"/>
  <c r="G225" i="6"/>
  <c r="G226" i="6"/>
  <c r="G227" i="6"/>
  <c r="G228" i="6"/>
  <c r="G229" i="6"/>
  <c r="G222" i="6"/>
  <c r="L208" i="6"/>
  <c r="J208" i="6"/>
  <c r="K107" i="6"/>
  <c r="F235" i="5"/>
  <c r="D226" i="5"/>
  <c r="L186" i="5"/>
  <c r="G186" i="5"/>
  <c r="H186" i="5"/>
  <c r="I186" i="5"/>
  <c r="J186" i="5"/>
  <c r="K186" i="5"/>
  <c r="F186" i="5"/>
  <c r="E328" i="4"/>
  <c r="D325" i="4"/>
  <c r="E326" i="4"/>
  <c r="E325" i="4"/>
  <c r="D310" i="4"/>
  <c r="N281" i="4"/>
  <c r="J277" i="4"/>
  <c r="J275" i="4"/>
  <c r="J274" i="4"/>
  <c r="J219" i="4"/>
  <c r="J220" i="4" s="1"/>
  <c r="J221" i="4" s="1"/>
  <c r="J222" i="4" s="1"/>
  <c r="J223" i="4" s="1"/>
  <c r="J224" i="4" s="1"/>
  <c r="J225" i="4" s="1"/>
  <c r="J226" i="4" s="1"/>
  <c r="J227" i="4" s="1"/>
  <c r="J228" i="4" s="1"/>
  <c r="J229" i="4" s="1"/>
  <c r="J230" i="4" s="1"/>
  <c r="J231" i="4" s="1"/>
  <c r="J232" i="4" s="1"/>
  <c r="J233" i="4" s="1"/>
  <c r="J234" i="4" s="1"/>
  <c r="J235" i="4" s="1"/>
  <c r="F196" i="4"/>
  <c r="G193" i="4"/>
  <c r="G196" i="4" s="1"/>
  <c r="K359" i="3"/>
  <c r="L354" i="3"/>
  <c r="M271" i="3"/>
  <c r="E119" i="3"/>
  <c r="D26" i="3"/>
  <c r="D27" i="3"/>
  <c r="D241" i="1"/>
  <c r="D243" i="1"/>
  <c r="E241" i="1"/>
  <c r="I69" i="1"/>
  <c r="F67" i="1"/>
  <c r="F68" i="1"/>
  <c r="F69" i="1"/>
  <c r="F70" i="1"/>
  <c r="F66" i="1"/>
  <c r="D54" i="1"/>
  <c r="D53" i="1"/>
  <c r="D52" i="1"/>
  <c r="D50" i="1"/>
  <c r="F165" i="14"/>
  <c r="B156" i="14"/>
  <c r="B153" i="14"/>
  <c r="B152" i="14"/>
  <c r="F156" i="14"/>
  <c r="F153" i="14"/>
  <c r="F154" i="14"/>
  <c r="J121" i="14"/>
  <c r="J119" i="14" s="1"/>
  <c r="I121" i="14" s="1"/>
  <c r="I119" i="14" s="1"/>
  <c r="H121" i="14" s="1"/>
  <c r="K119" i="14"/>
  <c r="G118" i="14"/>
  <c r="H118" i="14"/>
  <c r="G117" i="14"/>
  <c r="H117" i="14"/>
  <c r="K118" i="14"/>
  <c r="D89" i="14"/>
  <c r="C81" i="14"/>
  <c r="C84" i="14"/>
  <c r="D84" i="14"/>
  <c r="D81" i="14"/>
  <c r="D82" i="14"/>
  <c r="D83" i="14" s="1"/>
  <c r="C85" i="14" s="1"/>
  <c r="E84" i="14"/>
  <c r="E82" i="14"/>
  <c r="E83" i="14" s="1"/>
  <c r="C83" i="14" s="1"/>
  <c r="C82" i="14" s="1"/>
  <c r="D87" i="14" s="1"/>
  <c r="E81" i="14"/>
  <c r="G69" i="14"/>
  <c r="J56" i="14"/>
  <c r="J57" i="14" s="1"/>
  <c r="D57" i="14" s="1"/>
  <c r="J59" i="14"/>
  <c r="J47" i="14"/>
  <c r="J46" i="14"/>
  <c r="J49" i="14"/>
  <c r="J39" i="14"/>
  <c r="J38" i="14"/>
  <c r="J41" i="14"/>
  <c r="J33" i="14"/>
  <c r="J31" i="14"/>
  <c r="J30" i="14"/>
  <c r="E44" i="9"/>
  <c r="F35" i="9"/>
  <c r="E37" i="9" s="1"/>
  <c r="E35" i="9" s="1"/>
  <c r="E43" i="9" s="1"/>
  <c r="E45" i="9" s="1"/>
  <c r="D23" i="9"/>
  <c r="F23" i="9"/>
  <c r="R348" i="8"/>
  <c r="R347" i="8"/>
  <c r="K69" i="14"/>
  <c r="A228" i="6" l="1"/>
  <c r="E327" i="4"/>
  <c r="D126" i="3"/>
  <c r="E128" i="3" s="1"/>
  <c r="E130" i="3"/>
  <c r="H119" i="14"/>
  <c r="G121" i="14" s="1"/>
  <c r="G119" i="14"/>
  <c r="J48" i="14"/>
  <c r="F50" i="14" s="1"/>
  <c r="F52" i="14" s="1"/>
  <c r="J40" i="14"/>
  <c r="J32" i="14"/>
  <c r="R349" i="8"/>
  <c r="R350" i="8" s="1"/>
  <c r="R354" i="8" s="1"/>
  <c r="D327" i="4" l="1"/>
  <c r="D337" i="4"/>
  <c r="D329" i="4" s="1"/>
  <c r="F56" i="8"/>
  <c r="E677" i="7"/>
  <c r="D677" i="7"/>
  <c r="C677" i="7"/>
  <c r="C676" i="7"/>
  <c r="D676" i="7"/>
  <c r="E676" i="7"/>
  <c r="B224" i="10"/>
  <c r="E363" i="7"/>
  <c r="D595" i="8"/>
  <c r="N751" i="7"/>
  <c r="D293" i="4"/>
  <c r="D294" i="4" s="1"/>
  <c r="F84" i="11"/>
  <c r="F86" i="11" s="1"/>
  <c r="F96" i="11" s="1"/>
  <c r="F83" i="11"/>
  <c r="F93" i="11" s="1"/>
  <c r="C727" i="8"/>
  <c r="G717" i="8"/>
  <c r="D563" i="8"/>
  <c r="C352" i="8"/>
  <c r="H356" i="8"/>
  <c r="H357" i="8" s="1"/>
  <c r="F350" i="8"/>
  <c r="D349" i="8"/>
  <c r="F346" i="8"/>
  <c r="E346" i="8"/>
  <c r="D346" i="8"/>
  <c r="D347" i="8" s="1"/>
  <c r="D348" i="8" s="1"/>
  <c r="F239" i="8"/>
  <c r="K226" i="8" s="1"/>
  <c r="F105" i="8"/>
  <c r="G97" i="8"/>
  <c r="F104" i="8" s="1"/>
  <c r="Q63" i="7"/>
  <c r="Q62" i="7"/>
  <c r="Q61" i="7"/>
  <c r="Q60" i="7"/>
  <c r="Q59" i="7"/>
  <c r="Q58" i="7"/>
  <c r="Q57" i="7"/>
  <c r="Q56" i="7"/>
  <c r="Q55" i="7"/>
  <c r="Q54" i="7"/>
  <c r="S49" i="7"/>
  <c r="S46" i="7"/>
  <c r="K63" i="7"/>
  <c r="E427" i="8"/>
  <c r="E425" i="8"/>
  <c r="E471" i="8"/>
  <c r="F469" i="8"/>
  <c r="D302" i="8"/>
  <c r="F297" i="8"/>
  <c r="E313" i="9"/>
  <c r="E316" i="9"/>
  <c r="E314" i="9"/>
  <c r="E315" i="9" s="1"/>
  <c r="F298" i="9"/>
  <c r="F297" i="9" s="1"/>
  <c r="D248" i="9"/>
  <c r="F132" i="9"/>
  <c r="F142" i="9" s="1"/>
  <c r="F145" i="9" s="1"/>
  <c r="G86" i="9"/>
  <c r="G84" i="9"/>
  <c r="C77" i="9"/>
  <c r="E70" i="9"/>
  <c r="E71" i="9" s="1"/>
  <c r="D70" i="9"/>
  <c r="D76" i="9" s="1"/>
  <c r="N570" i="7"/>
  <c r="M570" i="7"/>
  <c r="L570" i="7"/>
  <c r="K570" i="7"/>
  <c r="J570" i="7"/>
  <c r="I570" i="7"/>
  <c r="D581" i="7" s="1"/>
  <c r="D582" i="7" s="1"/>
  <c r="D583" i="7" s="1"/>
  <c r="D584" i="7" s="1"/>
  <c r="D585" i="7" s="1"/>
  <c r="D586" i="7" s="1"/>
  <c r="H567" i="7"/>
  <c r="G567" i="7"/>
  <c r="F567" i="7"/>
  <c r="E567" i="7"/>
  <c r="E566" i="7"/>
  <c r="F566" i="7" s="1"/>
  <c r="G566" i="7" s="1"/>
  <c r="F565" i="7"/>
  <c r="G565" i="7" s="1"/>
  <c r="H565" i="7" s="1"/>
  <c r="I565" i="7" s="1"/>
  <c r="J565" i="7" s="1"/>
  <c r="K565" i="7" s="1"/>
  <c r="L565" i="7" s="1"/>
  <c r="M565" i="7" s="1"/>
  <c r="N565" i="7" s="1"/>
  <c r="F446" i="7"/>
  <c r="F448" i="7" s="1"/>
  <c r="D454" i="7" s="1"/>
  <c r="H332" i="7"/>
  <c r="H330" i="7"/>
  <c r="H329" i="7"/>
  <c r="E310" i="7"/>
  <c r="F298" i="7"/>
  <c r="F299" i="7"/>
  <c r="F297" i="7"/>
  <c r="B260" i="7"/>
  <c r="B262" i="7"/>
  <c r="F259" i="7"/>
  <c r="F261" i="7" s="1"/>
  <c r="D230" i="7"/>
  <c r="B237" i="7" s="1"/>
  <c r="C209" i="7"/>
  <c r="B235" i="7" s="1"/>
  <c r="F207" i="7"/>
  <c r="C198" i="7"/>
  <c r="B236" i="7" s="1"/>
  <c r="F191" i="7"/>
  <c r="B234" i="7" s="1"/>
  <c r="H156" i="7"/>
  <c r="F156" i="7"/>
  <c r="F147" i="7"/>
  <c r="H147" i="7"/>
  <c r="C112" i="7"/>
  <c r="C116" i="7" s="1"/>
  <c r="D84" i="7"/>
  <c r="N82" i="7"/>
  <c r="N80" i="7"/>
  <c r="M80" i="7"/>
  <c r="M84" i="7" s="1"/>
  <c r="L80" i="7"/>
  <c r="L84" i="7" s="1"/>
  <c r="K80" i="7"/>
  <c r="K84" i="7" s="1"/>
  <c r="J80" i="7"/>
  <c r="J84" i="7" s="1"/>
  <c r="I80" i="7"/>
  <c r="I84" i="7" s="1"/>
  <c r="H77" i="7"/>
  <c r="G77" i="7"/>
  <c r="F77" i="7"/>
  <c r="E77" i="7"/>
  <c r="F75" i="7"/>
  <c r="G75" i="7" s="1"/>
  <c r="H75" i="7" s="1"/>
  <c r="I75" i="7" s="1"/>
  <c r="J75" i="7" s="1"/>
  <c r="K75" i="7" s="1"/>
  <c r="L75" i="7" s="1"/>
  <c r="M75" i="7" s="1"/>
  <c r="N75" i="7" s="1"/>
  <c r="E76" i="7"/>
  <c r="F76" i="7" s="1"/>
  <c r="G76" i="7" s="1"/>
  <c r="A5" i="7"/>
  <c r="A6" i="7" s="1"/>
  <c r="A7" i="7" s="1"/>
  <c r="A8" i="7" s="1"/>
  <c r="A9" i="7" s="1"/>
  <c r="A10" i="7" s="1"/>
  <c r="A11" i="7" s="1"/>
  <c r="A12" i="7" s="1"/>
  <c r="A13" i="7" s="1"/>
  <c r="A14" i="7" s="1"/>
  <c r="A15" i="7" s="1"/>
  <c r="A16" i="7" s="1"/>
  <c r="A17" i="7" s="1"/>
  <c r="A18" i="7" s="1"/>
  <c r="D465" i="6"/>
  <c r="D372" i="6"/>
  <c r="D371" i="6"/>
  <c r="B314" i="6"/>
  <c r="D312" i="4" l="1"/>
  <c r="D314" i="4" s="1"/>
  <c r="J276" i="4"/>
  <c r="M293" i="4" s="1"/>
  <c r="Q65" i="7"/>
  <c r="O70" i="7" s="1"/>
  <c r="O72" i="7" s="1"/>
  <c r="F94" i="11"/>
  <c r="E105" i="11" s="1"/>
  <c r="B305" i="4"/>
  <c r="D352" i="8"/>
  <c r="E347" i="8"/>
  <c r="E348" i="8" s="1"/>
  <c r="E352" i="8" s="1"/>
  <c r="F347" i="8"/>
  <c r="F348" i="8" s="1"/>
  <c r="F352" i="8" s="1"/>
  <c r="B373" i="8" s="1"/>
  <c r="D375" i="8" s="1"/>
  <c r="F106" i="8"/>
  <c r="D71" i="9"/>
  <c r="E76" i="9"/>
  <c r="E72" i="9"/>
  <c r="E73" i="9" s="1"/>
  <c r="E568" i="7"/>
  <c r="E570" i="7" s="1"/>
  <c r="D577" i="7" s="1"/>
  <c r="H566" i="7"/>
  <c r="G568" i="7"/>
  <c r="G570" i="7" s="1"/>
  <c r="F568" i="7"/>
  <c r="F570" i="7" s="1"/>
  <c r="D578" i="7" s="1"/>
  <c r="D579" i="7" s="1"/>
  <c r="D580" i="7" s="1"/>
  <c r="H331" i="7"/>
  <c r="B261" i="7"/>
  <c r="D272" i="7" s="1"/>
  <c r="N84" i="7"/>
  <c r="E78" i="7"/>
  <c r="E80" i="7" s="1"/>
  <c r="E84" i="7" s="1"/>
  <c r="F78" i="7"/>
  <c r="F80" i="7" s="1"/>
  <c r="F84" i="7" s="1"/>
  <c r="H76" i="7"/>
  <c r="I76" i="7" s="1"/>
  <c r="J76" i="7" s="1"/>
  <c r="K76" i="7" s="1"/>
  <c r="L76" i="7" s="1"/>
  <c r="M76" i="7" s="1"/>
  <c r="N76" i="7" s="1"/>
  <c r="G78" i="7"/>
  <c r="G80" i="7" s="1"/>
  <c r="G84" i="7" s="1"/>
  <c r="E158" i="13"/>
  <c r="E136" i="13"/>
  <c r="G132" i="13"/>
  <c r="G130" i="13"/>
  <c r="G129" i="13"/>
  <c r="C104" i="13"/>
  <c r="C95" i="13"/>
  <c r="F68" i="13"/>
  <c r="F66" i="13"/>
  <c r="F65" i="13"/>
  <c r="F55" i="13"/>
  <c r="F53" i="13"/>
  <c r="F52" i="13"/>
  <c r="D43" i="13"/>
  <c r="F21" i="13"/>
  <c r="F20" i="13" s="1"/>
  <c r="F291" i="5"/>
  <c r="E292" i="5"/>
  <c r="E45" i="5"/>
  <c r="E44" i="5" s="1"/>
  <c r="J98" i="12"/>
  <c r="H108" i="12" s="1"/>
  <c r="D108" i="12"/>
  <c r="D98" i="12"/>
  <c r="D77" i="12"/>
  <c r="D73" i="12"/>
  <c r="E73" i="12"/>
  <c r="F76" i="12"/>
  <c r="E76" i="12" s="1"/>
  <c r="C56" i="12"/>
  <c r="D56" i="12"/>
  <c r="E56" i="12"/>
  <c r="E59" i="12"/>
  <c r="D59" i="12" s="1"/>
  <c r="F30" i="12"/>
  <c r="F41" i="12" s="1"/>
  <c r="C228" i="4"/>
  <c r="K222" i="4" s="1"/>
  <c r="K223" i="4" s="1"/>
  <c r="K224" i="4" s="1"/>
  <c r="K225" i="4" s="1"/>
  <c r="K226" i="4" s="1"/>
  <c r="K227" i="4" s="1"/>
  <c r="K228" i="4" s="1"/>
  <c r="K229" i="4" s="1"/>
  <c r="K230" i="4" s="1"/>
  <c r="K231" i="4" s="1"/>
  <c r="K232" i="4" s="1"/>
  <c r="K233" i="4" s="1"/>
  <c r="K234" i="4" s="1"/>
  <c r="K235" i="4" s="1"/>
  <c r="G228" i="4"/>
  <c r="A228" i="4"/>
  <c r="B228" i="4"/>
  <c r="D228" i="4"/>
  <c r="E228" i="4"/>
  <c r="F228" i="4"/>
  <c r="L196" i="4"/>
  <c r="K196" i="4"/>
  <c r="E69" i="4"/>
  <c r="D71" i="4" s="1"/>
  <c r="D69" i="4" s="1"/>
  <c r="E31" i="4"/>
  <c r="C43" i="4" s="1"/>
  <c r="C416" i="3"/>
  <c r="B378" i="3"/>
  <c r="C367" i="3"/>
  <c r="C360" i="3"/>
  <c r="G362" i="3"/>
  <c r="L277" i="3"/>
  <c r="E273" i="3"/>
  <c r="E272" i="3"/>
  <c r="F279" i="3"/>
  <c r="F271" i="3"/>
  <c r="F270" i="3"/>
  <c r="A230" i="2"/>
  <c r="F232" i="2" s="1"/>
  <c r="A169" i="1"/>
  <c r="B169" i="1"/>
  <c r="D263" i="1"/>
  <c r="E250" i="1"/>
  <c r="E251" i="1" s="1"/>
  <c r="E252" i="1" s="1"/>
  <c r="E253" i="1" s="1"/>
  <c r="E254" i="1" s="1"/>
  <c r="E255" i="1" s="1"/>
  <c r="E256" i="1" s="1"/>
  <c r="E257" i="1" s="1"/>
  <c r="E258" i="1" s="1"/>
  <c r="E259" i="1" s="1"/>
  <c r="E260" i="1" s="1"/>
  <c r="E261" i="1" s="1"/>
  <c r="A165" i="1"/>
  <c r="A166" i="1" s="1"/>
  <c r="D179" i="1"/>
  <c r="C169" i="1"/>
  <c r="H100" i="1"/>
  <c r="E92" i="1"/>
  <c r="E93" i="1" s="1"/>
  <c r="E94" i="1" s="1"/>
  <c r="E95" i="1" s="1"/>
  <c r="E96" i="1" s="1"/>
  <c r="E97" i="1" s="1"/>
  <c r="F636" i="7"/>
  <c r="F638" i="7" s="1"/>
  <c r="K652" i="8"/>
  <c r="L652" i="8" s="1"/>
  <c r="M652" i="8" s="1"/>
  <c r="D141" i="8"/>
  <c r="E141" i="8" s="1"/>
  <c r="E861" i="7"/>
  <c r="D861" i="7"/>
  <c r="E684" i="7"/>
  <c r="G11" i="11"/>
  <c r="G10" i="11"/>
  <c r="G9" i="11"/>
  <c r="G8" i="11"/>
  <c r="G7" i="11"/>
  <c r="G6" i="11"/>
  <c r="G5" i="11"/>
  <c r="G12" i="11" l="1"/>
  <c r="H11" i="11" s="1"/>
  <c r="D588" i="7"/>
  <c r="D590" i="7" s="1"/>
  <c r="E77" i="9"/>
  <c r="D72" i="9"/>
  <c r="D73" i="9" s="1"/>
  <c r="D77" i="9" s="1"/>
  <c r="I566" i="7"/>
  <c r="J566" i="7" s="1"/>
  <c r="K566" i="7" s="1"/>
  <c r="L566" i="7" s="1"/>
  <c r="M566" i="7" s="1"/>
  <c r="N566" i="7" s="1"/>
  <c r="H568" i="7"/>
  <c r="H570" i="7" s="1"/>
  <c r="H78" i="7"/>
  <c r="H80" i="7" s="1"/>
  <c r="H84" i="7" s="1"/>
  <c r="F54" i="13"/>
  <c r="F67" i="13"/>
  <c r="F293" i="5"/>
  <c r="F75" i="12"/>
  <c r="D76" i="12"/>
  <c r="D89" i="12" s="1"/>
  <c r="E75" i="12"/>
  <c r="E58" i="12"/>
  <c r="C58" i="12" s="1"/>
  <c r="C59" i="12"/>
  <c r="D58" i="12"/>
  <c r="C60" i="12" s="1"/>
  <c r="A30" i="12"/>
  <c r="A29" i="12" s="1"/>
  <c r="F29" i="12"/>
  <c r="D147" i="8"/>
  <c r="E147" i="8"/>
  <c r="F141" i="8"/>
  <c r="E44" i="11"/>
  <c r="E33" i="11"/>
  <c r="D35" i="11" s="1"/>
  <c r="D33" i="11" s="1"/>
  <c r="C58" i="11"/>
  <c r="B56" i="11" s="1"/>
  <c r="B58" i="11" s="1"/>
  <c r="A56" i="11" s="1"/>
  <c r="A58" i="11" s="1"/>
  <c r="B63" i="11" s="1"/>
  <c r="H342" i="10"/>
  <c r="D337" i="10"/>
  <c r="E337" i="10" s="1"/>
  <c r="E336" i="10"/>
  <c r="F336" i="10" s="1"/>
  <c r="G336" i="10" s="1"/>
  <c r="H336" i="10" s="1"/>
  <c r="C344" i="10"/>
  <c r="D682" i="8"/>
  <c r="E684" i="8"/>
  <c r="D685" i="8" s="1"/>
  <c r="E672" i="8"/>
  <c r="F654" i="8"/>
  <c r="F655" i="8" s="1"/>
  <c r="E662" i="8" s="1"/>
  <c r="E663" i="8" s="1"/>
  <c r="D392" i="10"/>
  <c r="C394" i="10" s="1"/>
  <c r="C392" i="10" s="1"/>
  <c r="C397" i="10" s="1"/>
  <c r="C399" i="10" s="1"/>
  <c r="B509" i="8"/>
  <c r="B508" i="8"/>
  <c r="B507" i="8"/>
  <c r="B515" i="8" s="1"/>
  <c r="C509" i="8"/>
  <c r="C508" i="8"/>
  <c r="C507" i="8"/>
  <c r="D509" i="8"/>
  <c r="D508" i="8"/>
  <c r="D507" i="8"/>
  <c r="F396" i="8"/>
  <c r="F395" i="8"/>
  <c r="F398" i="8"/>
  <c r="G617" i="8"/>
  <c r="G618" i="8" s="1"/>
  <c r="C618" i="8" s="1"/>
  <c r="D629" i="8" s="1"/>
  <c r="E139" i="8"/>
  <c r="F139" i="8" s="1"/>
  <c r="G139" i="8" s="1"/>
  <c r="H139" i="8" s="1"/>
  <c r="C148" i="8"/>
  <c r="E512" i="7"/>
  <c r="D514" i="7" s="1"/>
  <c r="D512" i="7" s="1"/>
  <c r="C526" i="7" s="1"/>
  <c r="F514" i="7"/>
  <c r="C525" i="7" s="1"/>
  <c r="C903" i="7"/>
  <c r="E888" i="7"/>
  <c r="E893" i="7" s="1"/>
  <c r="D888" i="7"/>
  <c r="D893" i="7" s="1"/>
  <c r="F843" i="7"/>
  <c r="D860" i="7"/>
  <c r="E860" i="7" s="1"/>
  <c r="C867" i="7"/>
  <c r="C874" i="7" s="1"/>
  <c r="C690" i="7"/>
  <c r="C695" i="7"/>
  <c r="C694" i="7"/>
  <c r="C693" i="7"/>
  <c r="D695" i="7"/>
  <c r="D694" i="7"/>
  <c r="D693" i="7"/>
  <c r="B187" i="9"/>
  <c r="B181" i="9"/>
  <c r="F742" i="7"/>
  <c r="G742" i="7" s="1"/>
  <c r="E743" i="7"/>
  <c r="F743" i="7" s="1"/>
  <c r="D744" i="7"/>
  <c r="D746" i="7" s="1"/>
  <c r="C746" i="7"/>
  <c r="C751" i="7" s="1"/>
  <c r="E764" i="7"/>
  <c r="E765" i="7"/>
  <c r="B821" i="7"/>
  <c r="D815" i="7" s="1"/>
  <c r="D816" i="7" s="1"/>
  <c r="G745" i="7" s="1"/>
  <c r="E451" i="10"/>
  <c r="D428" i="10"/>
  <c r="D436" i="10" s="1"/>
  <c r="D433" i="10" s="1"/>
  <c r="C433" i="10" s="1"/>
  <c r="C428" i="10"/>
  <c r="C436" i="10" s="1"/>
  <c r="E299" i="10"/>
  <c r="E302" i="10" s="1"/>
  <c r="E312" i="10" s="1"/>
  <c r="E264" i="10"/>
  <c r="E233" i="10"/>
  <c r="D235" i="10" s="1"/>
  <c r="D232" i="10"/>
  <c r="E135" i="10"/>
  <c r="E138" i="10" s="1"/>
  <c r="E147" i="10" s="1"/>
  <c r="B153" i="10" s="1"/>
  <c r="D122" i="10"/>
  <c r="C124" i="10" s="1"/>
  <c r="C122" i="10" s="1"/>
  <c r="D109" i="10"/>
  <c r="F71" i="10"/>
  <c r="E69" i="10" s="1"/>
  <c r="E71" i="10" s="1"/>
  <c r="B68" i="10" s="1"/>
  <c r="B200" i="9" l="1"/>
  <c r="B204" i="9" s="1"/>
  <c r="E338" i="10"/>
  <c r="E339" i="10" s="1"/>
  <c r="D747" i="7"/>
  <c r="H8" i="11"/>
  <c r="H7" i="11"/>
  <c r="H6" i="11"/>
  <c r="H5" i="11"/>
  <c r="H9" i="11"/>
  <c r="H10" i="11"/>
  <c r="C57" i="12"/>
  <c r="D75" i="12"/>
  <c r="D88" i="12" s="1"/>
  <c r="D90" i="12" s="1"/>
  <c r="H21" i="12"/>
  <c r="F40" i="12"/>
  <c r="F42" i="12"/>
  <c r="H23" i="12"/>
  <c r="B513" i="8"/>
  <c r="D511" i="8"/>
  <c r="B511" i="8"/>
  <c r="F147" i="8"/>
  <c r="G141" i="8"/>
  <c r="D513" i="8"/>
  <c r="C511" i="8"/>
  <c r="D684" i="8"/>
  <c r="C513" i="8"/>
  <c r="D515" i="8"/>
  <c r="C515" i="8"/>
  <c r="F335" i="10"/>
  <c r="E340" i="10"/>
  <c r="E343" i="10"/>
  <c r="F337" i="10"/>
  <c r="G335" i="10"/>
  <c r="D338" i="10"/>
  <c r="D339" i="10" s="1"/>
  <c r="D343" i="10"/>
  <c r="C434" i="10"/>
  <c r="D233" i="10"/>
  <c r="F397" i="8"/>
  <c r="F620" i="8"/>
  <c r="F618" i="8" s="1"/>
  <c r="D628" i="8" s="1"/>
  <c r="D630" i="8" s="1"/>
  <c r="I139" i="8"/>
  <c r="D142" i="8"/>
  <c r="D143" i="8" s="1"/>
  <c r="E889" i="7"/>
  <c r="C527" i="7"/>
  <c r="G529" i="7" s="1"/>
  <c r="D889" i="7"/>
  <c r="D890" i="7" s="1"/>
  <c r="D891" i="7" s="1"/>
  <c r="D894" i="7" s="1"/>
  <c r="C904" i="7" s="1"/>
  <c r="D862" i="7"/>
  <c r="D863" i="7" s="1"/>
  <c r="D697" i="7"/>
  <c r="C697" i="7"/>
  <c r="E744" i="7"/>
  <c r="E750" i="7" s="1"/>
  <c r="G743" i="7"/>
  <c r="D750" i="7"/>
  <c r="D751" i="7" s="1"/>
  <c r="D829" i="7"/>
  <c r="D831" i="7" s="1"/>
  <c r="D425" i="10"/>
  <c r="C425" i="10" s="1"/>
  <c r="C426" i="10" s="1"/>
  <c r="F39" i="12" l="1"/>
  <c r="G147" i="8"/>
  <c r="H141" i="8"/>
  <c r="E344" i="10"/>
  <c r="D340" i="10"/>
  <c r="D344" i="10" s="1"/>
  <c r="H335" i="10"/>
  <c r="F343" i="10"/>
  <c r="G337" i="10"/>
  <c r="F338" i="10"/>
  <c r="F339" i="10" s="1"/>
  <c r="J139" i="8"/>
  <c r="E142" i="8"/>
  <c r="E143" i="8" s="1"/>
  <c r="D144" i="8"/>
  <c r="D148" i="8" s="1"/>
  <c r="E890" i="7"/>
  <c r="E891" i="7" s="1"/>
  <c r="E894" i="7" s="1"/>
  <c r="C905" i="7" s="1"/>
  <c r="C907" i="7" s="1"/>
  <c r="D864" i="7"/>
  <c r="D867" i="7" s="1"/>
  <c r="C875" i="7" s="1"/>
  <c r="E862" i="7"/>
  <c r="E863" i="7" s="1"/>
  <c r="B701" i="7"/>
  <c r="E746" i="7"/>
  <c r="F744" i="7"/>
  <c r="E747" i="7" l="1"/>
  <c r="E751" i="7" s="1"/>
  <c r="H147" i="8"/>
  <c r="I141" i="8"/>
  <c r="I142" i="8" s="1"/>
  <c r="H142" i="8"/>
  <c r="H143" i="8" s="1"/>
  <c r="H144" i="8" s="1"/>
  <c r="F340" i="10"/>
  <c r="F344" i="10" s="1"/>
  <c r="H337" i="10"/>
  <c r="G343" i="10"/>
  <c r="G338" i="10"/>
  <c r="G339" i="10" s="1"/>
  <c r="K139" i="8"/>
  <c r="F142" i="8"/>
  <c r="F143" i="8" s="1"/>
  <c r="E144" i="8"/>
  <c r="E148" i="8" s="1"/>
  <c r="E864" i="7"/>
  <c r="E867" i="7" s="1"/>
  <c r="C876" i="7" s="1"/>
  <c r="C878" i="7" s="1"/>
  <c r="B910" i="7" s="1"/>
  <c r="G744" i="7"/>
  <c r="F746" i="7"/>
  <c r="F750" i="7"/>
  <c r="H148" i="8" l="1"/>
  <c r="I147" i="8"/>
  <c r="J141" i="8"/>
  <c r="G340" i="10"/>
  <c r="G344" i="10" s="1"/>
  <c r="H343" i="10"/>
  <c r="H338" i="10"/>
  <c r="H339" i="10" s="1"/>
  <c r="I143" i="8"/>
  <c r="I144" i="8" s="1"/>
  <c r="G142" i="8"/>
  <c r="G143" i="8" s="1"/>
  <c r="F144" i="8"/>
  <c r="F148" i="8" s="1"/>
  <c r="F747" i="7"/>
  <c r="F751" i="7" s="1"/>
  <c r="G750" i="7"/>
  <c r="G746" i="7"/>
  <c r="I148" i="8" l="1"/>
  <c r="J147" i="8"/>
  <c r="K141" i="8"/>
  <c r="K147" i="8" s="1"/>
  <c r="J142" i="8"/>
  <c r="H340" i="10"/>
  <c r="H344" i="10" s="1"/>
  <c r="C346" i="10" s="1"/>
  <c r="G144" i="8"/>
  <c r="G148" i="8" s="1"/>
  <c r="G747" i="7"/>
  <c r="G751" i="7" s="1"/>
  <c r="K142" i="8" l="1"/>
  <c r="K143" i="8" s="1"/>
  <c r="K144" i="8" s="1"/>
  <c r="K148" i="8" s="1"/>
  <c r="J143" i="8"/>
  <c r="J144" i="8" s="1"/>
  <c r="J148" i="8" s="1"/>
  <c r="C150" i="8" l="1"/>
  <c r="C58" i="6"/>
  <c r="C59" i="6" s="1"/>
  <c r="C60" i="6" s="1"/>
  <c r="C61" i="6" s="1"/>
  <c r="C62" i="6" s="1"/>
  <c r="C63" i="6" s="1"/>
  <c r="C64" i="6" s="1"/>
  <c r="C105" i="6" s="1"/>
  <c r="C253" i="6" s="1"/>
  <c r="C57" i="6"/>
  <c r="D58" i="6"/>
  <c r="D59" i="6" s="1"/>
  <c r="D60" i="6" s="1"/>
  <c r="D61" i="6" s="1"/>
  <c r="D62" i="6" s="1"/>
  <c r="D63" i="6" s="1"/>
  <c r="D64" i="6" s="1"/>
  <c r="D105" i="6" s="1"/>
  <c r="D253" i="6" s="1"/>
  <c r="D57" i="6"/>
  <c r="I589" i="6"/>
  <c r="C634" i="6"/>
  <c r="D639" i="6" s="1"/>
  <c r="D658" i="6"/>
  <c r="D659" i="6" s="1"/>
  <c r="D664" i="6" s="1"/>
  <c r="D665" i="6" s="1"/>
  <c r="D627" i="6"/>
  <c r="D633" i="6" s="1"/>
  <c r="C592" i="6"/>
  <c r="D599" i="6" s="1"/>
  <c r="I591" i="6"/>
  <c r="I585" i="6"/>
  <c r="I586" i="6" s="1"/>
  <c r="D584" i="6"/>
  <c r="E584" i="6" s="1"/>
  <c r="F537" i="6"/>
  <c r="H524" i="6" s="1"/>
  <c r="D553" i="6" s="1"/>
  <c r="E555" i="6" s="1"/>
  <c r="F505" i="6"/>
  <c r="C473" i="6"/>
  <c r="D466" i="6"/>
  <c r="E464" i="6"/>
  <c r="F464" i="6" s="1"/>
  <c r="B387" i="5"/>
  <c r="C379" i="5"/>
  <c r="D334" i="5"/>
  <c r="H328" i="5" s="1"/>
  <c r="E326" i="5"/>
  <c r="J317" i="5" s="1"/>
  <c r="C315" i="5"/>
  <c r="J309" i="5" s="1"/>
  <c r="G251" i="5"/>
  <c r="L185" i="5"/>
  <c r="L234" i="5" s="1"/>
  <c r="C167" i="5"/>
  <c r="K141" i="5"/>
  <c r="K185" i="5" s="1"/>
  <c r="K234" i="5" s="1"/>
  <c r="J141" i="5"/>
  <c r="J185" i="5" s="1"/>
  <c r="I141" i="5"/>
  <c r="I185" i="5" s="1"/>
  <c r="H141" i="5"/>
  <c r="H185" i="5" s="1"/>
  <c r="G141" i="5"/>
  <c r="G185" i="5" s="1"/>
  <c r="G234" i="5" s="1"/>
  <c r="F141" i="5"/>
  <c r="F185" i="5" s="1"/>
  <c r="F234" i="5" s="1"/>
  <c r="E141" i="5"/>
  <c r="D141" i="5"/>
  <c r="C141" i="5"/>
  <c r="C111" i="5"/>
  <c r="E84" i="5"/>
  <c r="E85" i="5" s="1"/>
  <c r="B381" i="4"/>
  <c r="C370" i="4"/>
  <c r="H362" i="4"/>
  <c r="A361" i="4"/>
  <c r="A360" i="4"/>
  <c r="B266" i="4"/>
  <c r="H259" i="4"/>
  <c r="F251" i="4"/>
  <c r="F250" i="4"/>
  <c r="D210" i="4"/>
  <c r="D207" i="4"/>
  <c r="O347" i="1"/>
  <c r="N349" i="1" s="1"/>
  <c r="N347" i="1" s="1"/>
  <c r="E466" i="6" l="1"/>
  <c r="D467" i="6"/>
  <c r="D468" i="6" s="1"/>
  <c r="F67" i="6"/>
  <c r="E141" i="6" s="1"/>
  <c r="I250" i="6" s="1"/>
  <c r="H62" i="6"/>
  <c r="D98" i="6"/>
  <c r="D246" i="6" s="1"/>
  <c r="H61" i="6"/>
  <c r="D249" i="5"/>
  <c r="B253" i="6"/>
  <c r="C101" i="6"/>
  <c r="C249" i="6" s="1"/>
  <c r="C100" i="6"/>
  <c r="C248" i="6" s="1"/>
  <c r="C99" i="6"/>
  <c r="C247" i="6" s="1"/>
  <c r="D100" i="6"/>
  <c r="D248" i="6" s="1"/>
  <c r="D99" i="6"/>
  <c r="D247" i="6" s="1"/>
  <c r="C98" i="6"/>
  <c r="C246" i="6" s="1"/>
  <c r="D104" i="6"/>
  <c r="D252" i="6" s="1"/>
  <c r="C104" i="6"/>
  <c r="C252" i="6" s="1"/>
  <c r="D103" i="6"/>
  <c r="D251" i="6" s="1"/>
  <c r="C103" i="6"/>
  <c r="C251" i="6" s="1"/>
  <c r="B251" i="6" s="1"/>
  <c r="D101" i="6"/>
  <c r="D249" i="6" s="1"/>
  <c r="D102" i="6"/>
  <c r="D250" i="6" s="1"/>
  <c r="C102" i="6"/>
  <c r="C250" i="6" s="1"/>
  <c r="F66" i="6"/>
  <c r="D141" i="6" s="1"/>
  <c r="I249" i="6" s="1"/>
  <c r="E627" i="6"/>
  <c r="E628" i="6" s="1"/>
  <c r="D628" i="6"/>
  <c r="D629" i="6" s="1"/>
  <c r="D667" i="6"/>
  <c r="D669" i="6" s="1"/>
  <c r="G632" i="6" s="1"/>
  <c r="D585" i="6"/>
  <c r="D591" i="6"/>
  <c r="E585" i="6"/>
  <c r="E586" i="6" s="1"/>
  <c r="E591" i="6"/>
  <c r="F584" i="6"/>
  <c r="I587" i="6"/>
  <c r="I592" i="6" s="1"/>
  <c r="D605" i="6" s="1"/>
  <c r="F467" i="6"/>
  <c r="F468" i="6" s="1"/>
  <c r="G464" i="6"/>
  <c r="G467" i="6" s="1"/>
  <c r="G468" i="6" s="1"/>
  <c r="D472" i="6"/>
  <c r="K235" i="5"/>
  <c r="G235" i="5"/>
  <c r="L235" i="5"/>
  <c r="J234" i="5"/>
  <c r="J235" i="5" s="1"/>
  <c r="I234" i="5"/>
  <c r="I235" i="5" s="1"/>
  <c r="H234" i="5"/>
  <c r="H235" i="5" s="1"/>
  <c r="D192" i="5"/>
  <c r="D191" i="5" s="1"/>
  <c r="K172" i="5" s="1"/>
  <c r="A364" i="4"/>
  <c r="F254" i="4"/>
  <c r="A338" i="3"/>
  <c r="F295" i="3"/>
  <c r="F296" i="3" s="1"/>
  <c r="C253" i="3"/>
  <c r="F193" i="3"/>
  <c r="G195" i="3"/>
  <c r="G197" i="3" s="1"/>
  <c r="F195" i="3" s="1"/>
  <c r="E147" i="3"/>
  <c r="E146" i="3"/>
  <c r="C108" i="3"/>
  <c r="E54" i="3"/>
  <c r="E53" i="3"/>
  <c r="E52" i="3"/>
  <c r="C368" i="1"/>
  <c r="F359" i="1"/>
  <c r="E361" i="1" s="1"/>
  <c r="E359" i="1" s="1"/>
  <c r="F332" i="1"/>
  <c r="E325" i="1"/>
  <c r="D586" i="6" l="1"/>
  <c r="D587" i="6" s="1"/>
  <c r="D592" i="6" s="1"/>
  <c r="D600" i="6" s="1"/>
  <c r="D601" i="6" s="1"/>
  <c r="D602" i="6" s="1"/>
  <c r="D603" i="6" s="1"/>
  <c r="D604" i="6" s="1"/>
  <c r="E472" i="6"/>
  <c r="E467" i="6"/>
  <c r="B246" i="6"/>
  <c r="I252" i="6"/>
  <c r="I248" i="6"/>
  <c r="I247" i="6"/>
  <c r="I251" i="6"/>
  <c r="B250" i="6"/>
  <c r="D250" i="5"/>
  <c r="D248" i="5" s="1"/>
  <c r="B252" i="6"/>
  <c r="B247" i="6"/>
  <c r="B248" i="6"/>
  <c r="B249" i="6"/>
  <c r="F107" i="6"/>
  <c r="D142" i="6" s="1"/>
  <c r="F108" i="6"/>
  <c r="E142" i="6" s="1"/>
  <c r="F627" i="6"/>
  <c r="F628" i="6" s="1"/>
  <c r="D630" i="6"/>
  <c r="D634" i="6" s="1"/>
  <c r="D640" i="6" s="1"/>
  <c r="E629" i="6"/>
  <c r="E630" i="6" s="1"/>
  <c r="E633" i="6"/>
  <c r="G584" i="6"/>
  <c r="F591" i="6"/>
  <c r="F585" i="6"/>
  <c r="F586" i="6" s="1"/>
  <c r="E587" i="6"/>
  <c r="E592" i="6" s="1"/>
  <c r="F469" i="6"/>
  <c r="F473" i="6" s="1"/>
  <c r="D469" i="6"/>
  <c r="D473" i="6" s="1"/>
  <c r="G469" i="6"/>
  <c r="G473" i="6" s="1"/>
  <c r="F196" i="3"/>
  <c r="E149" i="3"/>
  <c r="E55" i="3"/>
  <c r="D28" i="3"/>
  <c r="E468" i="6" l="1"/>
  <c r="E469" i="6" s="1"/>
  <c r="E473" i="6" s="1"/>
  <c r="G276" i="5"/>
  <c r="E260" i="5"/>
  <c r="E263" i="5" s="1"/>
  <c r="F258" i="6"/>
  <c r="G627" i="6"/>
  <c r="G628" i="6" s="1"/>
  <c r="G629" i="6" s="1"/>
  <c r="G630" i="6" s="1"/>
  <c r="F607" i="6"/>
  <c r="F629" i="6"/>
  <c r="F630" i="6" s="1"/>
  <c r="F633" i="6"/>
  <c r="E634" i="6"/>
  <c r="D641" i="6" s="1"/>
  <c r="D642" i="6" s="1"/>
  <c r="F587" i="6"/>
  <c r="F592" i="6" s="1"/>
  <c r="H584" i="6"/>
  <c r="G591" i="6"/>
  <c r="G585" i="6"/>
  <c r="G586" i="6" s="1"/>
  <c r="F416" i="1"/>
  <c r="F407" i="1"/>
  <c r="E409" i="1" s="1"/>
  <c r="E407" i="1" s="1"/>
  <c r="H246" i="2"/>
  <c r="G248" i="2" s="1"/>
  <c r="G247" i="2" s="1"/>
  <c r="E288" i="2"/>
  <c r="D286" i="2" s="1"/>
  <c r="D288" i="2" s="1"/>
  <c r="C286" i="2" s="1"/>
  <c r="C288" i="2" s="1"/>
  <c r="D294" i="2" s="1"/>
  <c r="F163" i="2"/>
  <c r="E161" i="2" s="1"/>
  <c r="E163" i="2" s="1"/>
  <c r="F152" i="2"/>
  <c r="F143" i="2"/>
  <c r="E141" i="2" s="1"/>
  <c r="E143" i="2" s="1"/>
  <c r="B106" i="2"/>
  <c r="A104" i="2" s="1"/>
  <c r="A106" i="2" s="1"/>
  <c r="G106" i="2"/>
  <c r="F104" i="2" s="1"/>
  <c r="F106" i="2" s="1"/>
  <c r="F96" i="2"/>
  <c r="E73" i="2"/>
  <c r="F76" i="2"/>
  <c r="E74" i="2" s="1"/>
  <c r="B48" i="2"/>
  <c r="C48" i="2"/>
  <c r="D48" i="2"/>
  <c r="E48" i="2"/>
  <c r="B288" i="1"/>
  <c r="D288" i="1"/>
  <c r="B296" i="1" s="1"/>
  <c r="B179" i="1"/>
  <c r="C179" i="1"/>
  <c r="D187" i="1"/>
  <c r="D113" i="1"/>
  <c r="H63" i="1"/>
  <c r="C66" i="1"/>
  <c r="D51" i="1"/>
  <c r="F634" i="6" l="1"/>
  <c r="E192" i="1"/>
  <c r="B201" i="1"/>
  <c r="B199" i="1" s="1"/>
  <c r="G633" i="6"/>
  <c r="G587" i="6"/>
  <c r="G592" i="6" s="1"/>
  <c r="H585" i="6"/>
  <c r="H586" i="6" s="1"/>
  <c r="H591" i="6"/>
  <c r="E76" i="2"/>
  <c r="D79" i="2" s="1"/>
  <c r="D84" i="2" s="1"/>
  <c r="C201" i="1"/>
  <c r="C199" i="1" s="1"/>
  <c r="D199" i="1"/>
  <c r="D55" i="1"/>
  <c r="D107" i="1" s="1"/>
  <c r="C122" i="1" s="1"/>
  <c r="C124" i="1" s="1"/>
  <c r="G634" i="6" l="1"/>
  <c r="D643" i="6" s="1"/>
  <c r="F645" i="6" s="1"/>
  <c r="H587" i="6"/>
  <c r="H592" i="6" s="1"/>
</calcChain>
</file>

<file path=xl/sharedStrings.xml><?xml version="1.0" encoding="utf-8"?>
<sst xmlns="http://schemas.openxmlformats.org/spreadsheetml/2006/main" count="5239" uniqueCount="3575">
  <si>
    <t>בשונה מקבוצות קודמות - אתם כבר מכירים אותי, לכן נקצר תהליכים:</t>
  </si>
  <si>
    <t xml:space="preserve">כל החומרים הכתובים - ייכללו ב-Excel הנוכחי שיתעדכן ממפגש למפגש. </t>
  </si>
  <si>
    <t>עיקר הדגשים יהיו יישומיים - אופן פתרון של תרגילי בית והקשר לבחינות לדוגמא שיילך ויתבהר בשלהי הסמסטר.</t>
  </si>
  <si>
    <t>שאלות לגבי תכני השיעורים - למרצה, פרופ׳ עבודי.</t>
  </si>
  <si>
    <t xml:space="preserve">אופן הלימוד: יבוסס על מחשבון פיננסי (קצר יותר, יעיל יותר, ודומה יותר ל-Excel שהוא מימון בעולם האמיתי). </t>
  </si>
  <si>
    <t>אם תדרשו באופן רחב דווקא לעבוד עם מתמטיקות - אעשה זאת. יפגע מהותית בהספק ובעיקרון לא מומלץ מנסיון</t>
  </si>
  <si>
    <t xml:space="preserve">של סמסטרים רבים קודמים. </t>
  </si>
  <si>
    <t xml:space="preserve">הקלטות התרגולים - זמינות באתר בדרך כלל כיממה לאחר המפגש. </t>
  </si>
  <si>
    <t>התייחסות קצרה לשאלות / תהיות הסטודנטים/ות:</t>
  </si>
  <si>
    <t>ערך נוכחי מתייחס לשווי היום של תזרימי מזומנים עתידיים.</t>
  </si>
  <si>
    <t>ככל שתזרים מזומנים מרוחק יותר, ערכו היום נמוך יותר. ומדוע? לאור אלמנט החמצת התשואה; ככל שהתזרים</t>
  </si>
  <si>
    <t>מרוחק ממני, אני ״מחמיץ״ זמן רב יותר שבו הפריט לא בידיי, ובמהלכו אני ״מפספס״ תשואה אלטרנטיבית.</t>
  </si>
  <si>
    <t xml:space="preserve">לכן יש להתחשב בתשואה אלטרנטיבית זו (שברוב התרגילים נקראת פשוט ״ריבית״) כדי לחשב ערך נוכחי </t>
  </si>
  <si>
    <t xml:space="preserve">של תזרים מזומנים או תזרימי מזומנים עתידיים. </t>
  </si>
  <si>
    <t>בתאריך 1/4/2024 הוצגו בפניכם השיקים הדחויים הבאים:</t>
  </si>
  <si>
    <t>מספר שיק</t>
  </si>
  <si>
    <t>תאריך פירעון</t>
  </si>
  <si>
    <t>סכום - ש״ח</t>
  </si>
  <si>
    <t xml:space="preserve">הניחו כי הריבית החודשית היא 1%. </t>
  </si>
  <si>
    <t>ערך נוכחי</t>
  </si>
  <si>
    <t>פירוט חישוב</t>
  </si>
  <si>
    <t>סה״כ</t>
  </si>
  <si>
    <t>אופן היישום במחשבון פיננסי:</t>
  </si>
  <si>
    <t>א. מהו הערך הנוכחי של כל אחד מהשיקים והערך הנוכחי המצרפי של כלל השיקים? השלימו זאת בטבלה להלן:</t>
  </si>
  <si>
    <t>ב. מוצע לכם שיק בודד, שמועד פרעונו 30/10/2024, כחלופה לצרור השיקים הנ״ל. מהו סכום השיק שתדרשו?</t>
  </si>
  <si>
    <t>מירב יכולה להשקיע באחת מבין 3 מכונות לחימום נקניק, שתזרימיהן כדלקמן:</t>
  </si>
  <si>
    <t>מכונת זק״ש</t>
  </si>
  <si>
    <t>מכונת פיליפס</t>
  </si>
  <si>
    <t>מכונת שושי</t>
  </si>
  <si>
    <t>שנה</t>
  </si>
  <si>
    <t xml:space="preserve">בהנחה שהריבית השנתית היא 4% ותזרימי המזומנים מהנכסים מתקבלים בתום כל שנה, חשבו את השווי של </t>
  </si>
  <si>
    <t>כל אחד מהנכסים.</t>
  </si>
  <si>
    <t>שאלה 2 - ערך נוכחי כשיקוף שווי נכס, והמשמעות הנובעת מכך</t>
  </si>
  <si>
    <t>שאלה 3 - ערך נוכחי בתור סכום חד פעמי חלף הסדר תשלומים</t>
  </si>
  <si>
    <t>מירב זכתה בלוטו ובאפשרותה לקבל את כספי הזכייה באחד מבין המסלולים הבאים:</t>
  </si>
  <si>
    <t xml:space="preserve">א. קבלת 10,000 ש״ח בתחילת כל רבעון במשך 20 רבעונים. </t>
  </si>
  <si>
    <t xml:space="preserve">ב. קבלת סכום חד פעמי היום (מיד). </t>
  </si>
  <si>
    <t>בהנחה ששיעור הריבית הרבעונית הנו 3%, מהו הסכום החד פעמי המינימלי שתדרוש מירב על מנת שתבחר בו</t>
  </si>
  <si>
    <t>ולא בהסדר התשלומים?</t>
  </si>
  <si>
    <t>שאלה 4 - אם נספיק - ערך נוכחי של סדרה אינסופית ושילוב סדרות</t>
  </si>
  <si>
    <t xml:space="preserve">מירב מעוניינת להשקיע במכונה לחימום נקניק. המכונה צפויה להניב לה 70,000 ש״ח בסוף כל שנה, לנצח. </t>
  </si>
  <si>
    <t>א. בהנחה שהריבית השנתית של מירב היא 7%, מהו שווי מכונת הנקניק?</t>
  </si>
  <si>
    <t xml:space="preserve">ב. כיצד תשתנה תשובתכם אם ידוע שהתזרים בתום כל שנה 10 שנים יהיה 70,000 ש״ח, אך התזרים בתום כל שנה </t>
  </si>
  <si>
    <t>עוקבת (עד אינסוף) יהיה 90,000 ש״ח?</t>
  </si>
  <si>
    <t>שאלה 1 - ערך נוכחי של מספר תזרימים שונים (שימוש בנוסחת ערך נוכחי של סכום יחיד וקיצור דרך)</t>
  </si>
  <si>
    <t>שאלה 5 - אם נספיק - שילוב סדרות נוסף</t>
  </si>
  <si>
    <t>מירב יכולה לקבל תקבולים שנתיים של 20,000 ש״ח בתום כל שנה במשך 10 שנים, כאשר בתום כל אחת מ-15</t>
  </si>
  <si>
    <t xml:space="preserve">השנים העוקבות תזכה בתקבול שנתי של 14,000 ש״ח. </t>
  </si>
  <si>
    <t xml:space="preserve">היא יכולה להחליף את המבנה התזרימי המובטח הזה בסכום חד פעמי בגובה 400,000 ש״ח בתום השנה ה-10. </t>
  </si>
  <si>
    <t>בהנחה שהריבית השנתית היא 10%, איזו חלופה תעדיף מירב?</t>
  </si>
  <si>
    <t>שייקה, האם אתה עובר על תרגילי הבית מטעם המרצה?</t>
  </si>
  <si>
    <t xml:space="preserve">התשובה: לא, אבל אני דואג לכתוב למענכם תרגילים דומים מאד ולתת את הכיוון הכללי שמספק לפתרונם. </t>
  </si>
  <si>
    <t>ככל שנתקדם בחומר, הדגשים התרגוליים יהפכו להיות יותר מוטי בחינה ופחות מוטי תרגילי בית אם כי תמיד נשלב.</t>
  </si>
  <si>
    <t xml:space="preserve">ערך נוכחי = השווי בהווה (היום) של תזרים / תזרימי מזומנים עתידיים, בהתחשב בהשלכות הכלכליות של הדחייה - </t>
  </si>
  <si>
    <t>ריבית. כדי לחשב ערך נוכחי של סכום יחיד (תזרים בודד): מחלקים את הסכום העתידי ב-1 ועוד הריבית בחזקת</t>
  </si>
  <si>
    <t xml:space="preserve">מספר תקופות הריבית. </t>
  </si>
  <si>
    <t xml:space="preserve">PV = FV/(1+r)^n </t>
  </si>
  <si>
    <t xml:space="preserve">10,000 / (1 + 1%)^1 = </t>
  </si>
  <si>
    <t xml:space="preserve">19,000 / (1 + 1%)^6 = </t>
  </si>
  <si>
    <t>דרך ראשונה - מתאימה לחישובי ערך נוכחי</t>
  </si>
  <si>
    <t>CMPD</t>
  </si>
  <si>
    <t>Set:</t>
  </si>
  <si>
    <t>n</t>
  </si>
  <si>
    <t>I%</t>
  </si>
  <si>
    <t>PV</t>
  </si>
  <si>
    <t>PMT</t>
  </si>
  <si>
    <t>FV</t>
  </si>
  <si>
    <t>רלוונטי רק לסדרות קבועות</t>
  </si>
  <si>
    <t>מספר תקופות הריבית</t>
  </si>
  <si>
    <t>ריבית תקופתית</t>
  </si>
  <si>
    <t>הערך הנוכחי (הערך המחושב)</t>
  </si>
  <si>
    <t>רלוונטי רק לסדרות (אחרת - 0)</t>
  </si>
  <si>
    <t>סכום חד פעמי עתידי</t>
  </si>
  <si>
    <t>איפוס המחשבון הפיננסי לפני תחילת עבודה:</t>
  </si>
  <si>
    <t>Shift + 9 + Down arrow * 2 [all] + EXE * 2 + AC</t>
  </si>
  <si>
    <t>End</t>
  </si>
  <si>
    <t>שיק 123</t>
  </si>
  <si>
    <t>SOLVE</t>
  </si>
  <si>
    <t>התוצאה המתקבלת היא שלילית, ובבחינה תסמנו את ערכה המוחלט.</t>
  </si>
  <si>
    <t>הסיבה לתוצאה שלילית היא החשיבה הכלכלית של Excel:</t>
  </si>
  <si>
    <t>אם אתה מבטיח לי שאקבל (בסימן חיובי) 10,000, כנראה אסכים</t>
  </si>
  <si>
    <t xml:space="preserve">לשלם על זה (בסימן שלילי) 9,900. </t>
  </si>
  <si>
    <t>דרך שניה - מתאימה לחישובי ערך נוכחי</t>
  </si>
  <si>
    <t>של סכום בודד ״קרוב״ או סכומים משתנים:</t>
  </si>
  <si>
    <t>CASH</t>
  </si>
  <si>
    <t>ריבית תקופ׳</t>
  </si>
  <si>
    <t>EXE</t>
  </si>
  <si>
    <t>X</t>
  </si>
  <si>
    <t>&lt;&lt;&lt;</t>
  </si>
  <si>
    <t>ESC</t>
  </si>
  <si>
    <t xml:space="preserve">NPV = </t>
  </si>
  <si>
    <t xml:space="preserve">שימוש ב - CASH מוביל לתוצאה בסימן הטבעי שלה, ללא הפיכות </t>
  </si>
  <si>
    <t xml:space="preserve">סימן. </t>
  </si>
  <si>
    <t>למעשה, חישבנו בסעיף א גם את השווי היום (ערך נוכחי) של כל שיק בנפרד, וגם סכמנו וקיבלנו את השווי הכולל</t>
  </si>
  <si>
    <t>במונחי ערך נוכחי של כלל השיקים יחדיו:</t>
  </si>
  <si>
    <t>הואיל והשיק הבודד יתקבל רק בעוד 7 חודשים מהיום (היום 1.4, והשיק הבודד בעל זמן פירעון של 30.10), הרי</t>
  </si>
  <si>
    <t xml:space="preserve">שנדרוש לקבל את הערך הנוכחי בתוספת פיצוי - צבירת ריבית ל-7 חודשים אלו. </t>
  </si>
  <si>
    <t>מתמטית - החישוב של צבירת הריבית במשך 7 חודשים נוספים:</t>
  </si>
  <si>
    <t xml:space="preserve">109,178 * (1 + 1%)^7 = </t>
  </si>
  <si>
    <t>התשובה:</t>
  </si>
  <si>
    <t xml:space="preserve">במחשבון פיננסי - חישוב הערך העתידי FV של הסכום היחיד המשקף את השווי של צרור השיקים (PV) </t>
  </si>
  <si>
    <t>יחושב ב - CMPD:</t>
  </si>
  <si>
    <t>ומה עם יישומי CASH?</t>
  </si>
  <si>
    <t xml:space="preserve">לא רלוונטי בצורה ישירה לחישוב ערך עתידי / צבירת </t>
  </si>
  <si>
    <t>ריבית לעתיד, אלא לחישובי ערך נוכחי...</t>
  </si>
  <si>
    <t>נתחיל מהדרך הקלה - שהכי פשוט ליישם כאשר ישנם מספר תזרימים לא רב מדי, מרווח הזמן ביניהם קבוע והריבית קבועה - CASH:</t>
  </si>
  <si>
    <t>csh = d. edtior &gt;&gt;&gt;&gt;</t>
  </si>
  <si>
    <t>זק״ש</t>
  </si>
  <si>
    <t>פיליפס</t>
  </si>
  <si>
    <t>שושי</t>
  </si>
  <si>
    <t>בטכניקה אחרת, שהוא יותר מוגבל - אבל מסייע לפתרון מהיר במצבים שבהם קיימים תזרימים רבים:</t>
  </si>
  <si>
    <t>Set</t>
  </si>
  <si>
    <t>הגדרת חישוב סדרה שאיבריה ״בתום כל תקופה״</t>
  </si>
  <si>
    <t>מספר תזרימי המזומנים הקבועים בסדרה (לא מספר התקופות)</t>
  </si>
  <si>
    <t>בחישוב סדרתי - חייב להתאים לתקופת תשלום</t>
  </si>
  <si>
    <t>בסוף התהליך</t>
  </si>
  <si>
    <t>התשלום התקופתי הקבוע</t>
  </si>
  <si>
    <t>תזרים מזומנים חד פעמי נוסף במועד התזרים האחרון</t>
  </si>
  <si>
    <t xml:space="preserve">ערך נוכחי של סדרה קבועה שמחושב ב-CMPD או בנוסחה </t>
  </si>
  <si>
    <t>מוביל תמיד לנקודת הזמן שמוקדמת בתקופת תשלום אחת ממועד התזרים הראשון בסדרה</t>
  </si>
  <si>
    <t xml:space="preserve">גם כאן חושב ערך נוכחי של סדרה קבועה. אלא, שעיתוי התזרים הראשון בסדרה זו היה זמן 2. </t>
  </si>
  <si>
    <t xml:space="preserve">העקרון שלפיו ערך נוכחי של סדרה קבועה מוביל ״אחת אחורה״ משמעו שהתוצאה שקיבלנו היא שווי ל״זמן 1״. </t>
  </si>
  <si>
    <t>כדי לתרגם את התוצאה תקופת תשלום נוספת אחורה (מזמן 1 לזמן 0) אפשר לפעול כך:</t>
  </si>
  <si>
    <t xml:space="preserve">32,669.06 / (1 + 4%)^1 = </t>
  </si>
  <si>
    <t xml:space="preserve">כי המטרה של צעד חישוב זה היא לתאם את התוצאה שהתקבלה מזמן 1 לזמן 0. </t>
  </si>
  <si>
    <t>הריבית נתונה</t>
  </si>
  <si>
    <t>ה-PV של החישוב הקודם שהוביל לזמן 1 - הופך להיות ה - FV של חישוב ההתאמה</t>
  </si>
  <si>
    <t>אפשרות אחרת היא לתאם את ה - PV של צעד החישוב הקודם תקופה נוספת אחורה:</t>
  </si>
  <si>
    <t>חישוב זה</t>
  </si>
  <si>
    <t>מוביל</t>
  </si>
  <si>
    <t>אחת</t>
  </si>
  <si>
    <t>אחורה</t>
  </si>
  <si>
    <t>ביחס לתזרים</t>
  </si>
  <si>
    <t>הראשון</t>
  </si>
  <si>
    <t>כלומר</t>
  </si>
  <si>
    <t>אחת לפני</t>
  </si>
  <si>
    <t>זמן 8</t>
  </si>
  <si>
    <t>קרי לזמן 7</t>
  </si>
  <si>
    <t>אין</t>
  </si>
  <si>
    <t>צורך</t>
  </si>
  <si>
    <t>בהתאמות</t>
  </si>
  <si>
    <t>מיני תמצית:</t>
  </si>
  <si>
    <t>א. נחשב PV לסדרת התשלומים - תוך התעלמות מוחלטת מתקופת הדחייה / תאריך ההתחלה (מספר התזרימים הוא החשוב).</t>
  </si>
  <si>
    <t>ב. נתייחס ל-PV שהתקבל בשלב א כאל FV (בסימן הפוך) כאשר ב-n נזין את מספר תקופות ההתאמה לאחור:</t>
  </si>
  <si>
    <t>שהוא לפי עיתוי תחילת התזרימים פחות אחת = n</t>
  </si>
  <si>
    <t>התשובות:</t>
  </si>
  <si>
    <t>פתרון:</t>
  </si>
  <si>
    <t xml:space="preserve">באופן כללי - סכום מזומן שמקבלים היום הוא תמיד בגדר ערך נוכחי. </t>
  </si>
  <si>
    <r>
      <t>הואיל ואנו זכאים להסדר תשלומים, נרצה סכום מזומן ש</t>
    </r>
    <r>
      <rPr>
        <u/>
        <sz val="12"/>
        <color theme="1"/>
        <rFont val="David"/>
        <family val="2"/>
        <charset val="177"/>
      </rPr>
      <t>לא יפחת</t>
    </r>
    <r>
      <rPr>
        <sz val="12"/>
        <color theme="1"/>
        <rFont val="David"/>
        <family val="2"/>
        <charset val="177"/>
      </rPr>
      <t xml:space="preserve"> מהערך הנוכחי PV של הסדרה.</t>
    </r>
  </si>
  <si>
    <t>בפשטות:</t>
  </si>
  <si>
    <t>הסכום המינימלי שנדרוש במקום הסדר תשלומים הוא הערך הנוכחי של אותו הסדר.</t>
  </si>
  <si>
    <t>הואיל וסדרת תזרימי המזומנים היא קבועה וארוכה נחשב את הערך הנוכחי באמצעות CMPD:</t>
  </si>
  <si>
    <t>Begin</t>
  </si>
  <si>
    <t>כאשר מסמנים פרמטר זה, תוצאת חישוב PV מובילה בדיוק למועד התזרים הראשון</t>
  </si>
  <si>
    <t xml:space="preserve">כאשר סדרה מתחילה בזמן 0, חישוב ערכה הנוכחי בצורה מהירה ויעילה יכול להתבצע עם SET = BEGIN. </t>
  </si>
  <si>
    <t>מצב כזה גורם למחשבון הפיננסי לבטא את התוצאה בדיוק למועד התזרים הראשון (שכאן זה זמן 0) ולא אחת אחורה (כך נמנעים ממצב שבו הערך מבוטא לזמן 1-).</t>
  </si>
  <si>
    <t>מספר תזרימי המזומנים בסדרה ללא תלות בעיתוי תחילתם</t>
  </si>
  <si>
    <t xml:space="preserve">אפשר גם לחשב באמצעות Set End, כאשר במצב כזה - הואיל והתזרים הראשון בזמן 0, הקפיצה אחת אחורה תוביל את התוצאה לזמן 1-, </t>
  </si>
  <si>
    <t>מה שידרוש התאמה תקופת אחת קדימה על ידי מכפלה ב-1 ועוד הריבית.</t>
  </si>
  <si>
    <t>לזמן 0, סופי</t>
  </si>
  <si>
    <t>לזמן 1-</t>
  </si>
  <si>
    <t>דורש התאמה</t>
  </si>
  <si>
    <t>ע״י:</t>
  </si>
  <si>
    <t xml:space="preserve">148,774.75 * (1 + 3%) = </t>
  </si>
  <si>
    <t>תרגול 2 - עקרונות המימון - בהדגש ערך עתידי ויישומים</t>
  </si>
  <si>
    <t>ערך עתידי:</t>
  </si>
  <si>
    <t>משקף צבירת ריבית על סכום יחיד או מספר סכומים (סדרה) באופן שמראה את קרן ההשקעה / ההלוואה בתוספת</t>
  </si>
  <si>
    <t xml:space="preserve">הריבית. </t>
  </si>
  <si>
    <t>גם כאן, הדגש שלנו יהיה על זיהוי המקרה והכלים הטכניים המשרתים אותנו אגב הצבירה על בסיס מחשבון פיננסי.</t>
  </si>
  <si>
    <t>ד״ר גרוסמן יכול להפקיד באחת מבין תוכניות החסכון הבאות:</t>
  </si>
  <si>
    <t>תוכנית</t>
  </si>
  <si>
    <t>א</t>
  </si>
  <si>
    <t>ב</t>
  </si>
  <si>
    <t>ג</t>
  </si>
  <si>
    <t>ד</t>
  </si>
  <si>
    <t>הפקדה לשנה</t>
  </si>
  <si>
    <t>שנות הפקדה</t>
  </si>
  <si>
    <t>ריבית שנתית</t>
  </si>
  <si>
    <t>כאשר תום התקופה מוגדר בתום שנת ההפקדה האחרונה (לפי מספר שנות ההפקדה בעמודה הרלוונטית)?</t>
  </si>
  <si>
    <t>שאלה 1 - ערך עתידי של סדרות - תזרימי ״תום תקופה״</t>
  </si>
  <si>
    <t>1.4א</t>
  </si>
  <si>
    <t>1.4ב</t>
  </si>
  <si>
    <t>פרופ׳ עבודי יכול להפקיד באחת מבין תוכניות החסכון הבאות:</t>
  </si>
  <si>
    <r>
      <t>אם ידוע שפדיון התוכנית היא ב</t>
    </r>
    <r>
      <rPr>
        <u/>
        <sz val="12"/>
        <color theme="1"/>
        <rFont val="David"/>
        <family val="2"/>
        <charset val="177"/>
      </rPr>
      <t>תום</t>
    </r>
    <r>
      <rPr>
        <sz val="12"/>
        <color theme="1"/>
        <rFont val="David"/>
        <family val="2"/>
        <charset val="177"/>
      </rPr>
      <t xml:space="preserve"> השנה שבה מבוצעת ההפקדה האחרונה? </t>
    </r>
  </si>
  <si>
    <t>הדרכה: בצעו חישוב ב-2 דרכים. האחת תוך שימוש ב-Set=End והתאמה רלוונטית. השניה תוך שימוש ב - Set=Begin</t>
  </si>
  <si>
    <t>השוו בין התוצאות המתקבלות.</t>
  </si>
  <si>
    <t>שאלה 2 - ערך עתידי של סדרות - תזרימי ״תום תקופה״ עם תקופת המתנה / צבירה נוספת</t>
  </si>
  <si>
    <t>1.4ג</t>
  </si>
  <si>
    <t>דינה יכולה להפקיד באחת מבין תוכניות החסכון הבאות:</t>
  </si>
  <si>
    <t>מהו הסכום הכולל שיעמוד לרשותה של דינה בתום תקופת החסכון בכל אחת מהתוכניות אם ידוע שהסכום הכולל</t>
  </si>
  <si>
    <t>שיצטבר במועד ההפקדה האחרונה ימשיך לצבור ריבית עד לתום השנה ה-9?</t>
  </si>
  <si>
    <t>מיני רציו:</t>
  </si>
  <si>
    <t xml:space="preserve">ערך עתידי של סדרה קבועה מחושב באמצעות CMPD. </t>
  </si>
  <si>
    <t>תוצאת החישוב מובילה לערך הנצבר בדיוק למועד ההפקדה האחרונה (Set = End)</t>
  </si>
  <si>
    <t xml:space="preserve">אם נדרשת התאמה נוספת, יש לבצעה בתהליך נפרד (במחשבון / מתמטי). </t>
  </si>
  <si>
    <t>איזון אקטוארי</t>
  </si>
  <si>
    <t>סוגיה מעניינת שמשלבת בין חישובי ערך נוכחי ועתידי היא הסוגיה שבמסגרתה מפקידים סדרת סכומים (כגון</t>
  </si>
  <si>
    <t>הפרשות לפנסיה) על מנת למשוך סדרת סכומים בהמשך (כגון קצבאות).</t>
  </si>
  <si>
    <t>הערך הנוכחי של המשיכות</t>
  </si>
  <si>
    <t>חייב להיות זהה לערך העתידי של ההפקדות</t>
  </si>
  <si>
    <t>כשהערכים מתואמים ״לאותה נקודת זמן״</t>
  </si>
  <si>
    <t>משפט כללי זה דורש כמובן המחשה לגבי אופן יישומו במחשבון, נציג את זה בתרגול להלן.</t>
  </si>
  <si>
    <t>שאלה 3 - ערך עתידי של סדרות - תזרימי ״תחילת תקופה״</t>
  </si>
  <si>
    <t xml:space="preserve">פלפולוני בן 50 היום. הוא קם בבוקר וחטף שוק שעדיין לא התחיל לחסוך לפנסיה. הוא מתכוון לפרוש לפנסיה </t>
  </si>
  <si>
    <t>מאוחרת בגיל 72, והחל ממועד זה, בתום כל שנה, מתכנן למשוך קצבה של 19,000 בתום כל שנה במשך 25 שנים.</t>
  </si>
  <si>
    <t>מהו הסכום הקבוע שפלפולוני צריך להפקיד בתום כל שנה על מנת לעמוד ביעד הקצבה?</t>
  </si>
  <si>
    <t>שאלה 5 - חילוץ סכום הפקדה תקופתי לשם הגעה ליעד מוגדר בהינתן השתנות ריבית</t>
  </si>
  <si>
    <t>אלפרדו אנגולו יכול להפקיד לחסכון סכום קבוע בתום כל שנה.</t>
  </si>
  <si>
    <t>החסכון נושא ריבית שנתית כדלקמן:</t>
  </si>
  <si>
    <t>משנה</t>
  </si>
  <si>
    <t>עד שנה</t>
  </si>
  <si>
    <t>נדרש: מהו הסכום הקבוע שנדרש להפקיד על מנת שיעמדו לרשותו של אלפרדו 500,000 ש״ח בעוד 20 שנה?</t>
  </si>
  <si>
    <t>הערה לעצמי:</t>
  </si>
  <si>
    <t>אם יישר זמן ואני בספק</t>
  </si>
  <si>
    <t>להתחיל בקטנה סדרות אינסופיות</t>
  </si>
  <si>
    <t>לוחות סילוקין</t>
  </si>
  <si>
    <t>ריבית</t>
  </si>
  <si>
    <t>מה שיותר חשוב להם.</t>
  </si>
  <si>
    <t>הצורך לחשב צבירה בעתיד כולל ריבית של סכום או סכומים מופקדים או מולווים הוא למעשה צורך בחישוב</t>
  </si>
  <si>
    <t xml:space="preserve">ערך עתידי FV. </t>
  </si>
  <si>
    <t>הדרך לחישוב ערך עתידי - מתבססת על הגדרות דומות למדי לחישובי ערך נוכחי PV, בשינויים מתחייבים של הערך</t>
  </si>
  <si>
    <t>המחולץ.</t>
  </si>
  <si>
    <t xml:space="preserve">העבודה עם FV תתבסס בעיקר על CMPD. </t>
  </si>
  <si>
    <t>מספר ההפקדות</t>
  </si>
  <si>
    <t>ריבית לתקופת תשלום</t>
  </si>
  <si>
    <t>סכום ההפקדה התקופתיתת</t>
  </si>
  <si>
    <t>סכום יחיד ראשוני המופקד בזמן 0</t>
  </si>
  <si>
    <t>Solve</t>
  </si>
  <si>
    <t>נוסחה מתמטית לערך עתידי סדרתי:</t>
  </si>
  <si>
    <t>יישום הנוסחה המתמטית למקרה א:</t>
  </si>
  <si>
    <t>חישוב</t>
  </si>
  <si>
    <t>ערך עתידי</t>
  </si>
  <si>
    <t>של סדרה</t>
  </si>
  <si>
    <t>מוביל תמיד</t>
  </si>
  <si>
    <t>לסך הצבירה</t>
  </si>
  <si>
    <t>נכון</t>
  </si>
  <si>
    <t>לנקודת</t>
  </si>
  <si>
    <t>הזמן</t>
  </si>
  <si>
    <t xml:space="preserve">עיתוי </t>
  </si>
  <si>
    <t>בסדרה</t>
  </si>
  <si>
    <t xml:space="preserve">התזרים האחרון </t>
  </si>
  <si>
    <t>של</t>
  </si>
  <si>
    <t>FV(3)</t>
  </si>
  <si>
    <t>א לזמן 3</t>
  </si>
  <si>
    <t>א לזמן 9</t>
  </si>
  <si>
    <t>התשובה</t>
  </si>
  <si>
    <t>או:</t>
  </si>
  <si>
    <t xml:space="preserve">1576.25 * (1 + 5%)^6 = </t>
  </si>
  <si>
    <t>דחיפה ״ידנית״ של התוצאה ממועד הפקדה האחרונה ליעד</t>
  </si>
  <si>
    <t>יישום נוסחה מתמטית של ערך עתידי סדרתי למועד הפקדה אחרונה</t>
  </si>
  <si>
    <t>קרי לזמן 3</t>
  </si>
  <si>
    <t>התאמה מזמן 3</t>
  </si>
  <si>
    <t>לזמן 9</t>
  </si>
  <si>
    <t>ב לזמן 9</t>
  </si>
  <si>
    <t>FV(9)</t>
  </si>
  <si>
    <t>בשונה מתוכנית א, שעיתוי הפקדתה האחרונה בזמן 3,</t>
  </si>
  <si>
    <t xml:space="preserve">אך עיתוי פרעונה בזמן 9, מה שדרש התאמה (מ-3 ל-9), </t>
  </si>
  <si>
    <t>תוכנית זו כוללת עיתוי הפקדה אחרונה בזמן 9 וגם</t>
  </si>
  <si>
    <t>פירעון בזמן 9. לכן כאן אין צורך בהתאמה.</t>
  </si>
  <si>
    <t>תשובה סופית</t>
  </si>
  <si>
    <t>ג לזמן 9</t>
  </si>
  <si>
    <t>ג לזמן 4</t>
  </si>
  <si>
    <t>ד לזמן 6</t>
  </si>
  <si>
    <t>ד לזמן 9</t>
  </si>
  <si>
    <t>תשובה ג</t>
  </si>
  <si>
    <t>תשובה ד</t>
  </si>
  <si>
    <t>נביט למשל על תכנית א ונציג את תזרימי המזומנים שלה על ציר הזמן.</t>
  </si>
  <si>
    <t xml:space="preserve">הואיל וההפקדות הן בתחילת תקופה, מיקומן על הציר הוא ״אחת לפני״ מיקומן הטבעי. </t>
  </si>
  <si>
    <t>בתום כל שנה 5 שנים</t>
  </si>
  <si>
    <t>בתחילת כל שנה 5 שנים:</t>
  </si>
  <si>
    <t>פדיון</t>
  </si>
  <si>
    <t>א לזמן 4</t>
  </si>
  <si>
    <t>א לזמן 5</t>
  </si>
  <si>
    <t xml:space="preserve">אם עובדים ב - Set שהוא End, </t>
  </si>
  <si>
    <t>תמיד תוצאת החישוב היא למועד ההפקדה האחרונה.</t>
  </si>
  <si>
    <t xml:space="preserve">ואם ההפקדה האחרונה היא בתחילת 5 (סוף 4), </t>
  </si>
  <si>
    <t>והפדיון הוא בתום 5, תדרש התאמה</t>
  </si>
  <si>
    <t xml:space="preserve">של תקופה נוספת מ-4 ל-5. </t>
  </si>
  <si>
    <t>דרך נוספת וישירה יותר שמתאימה לתזרימי</t>
  </si>
  <si>
    <t>תחילת תקופה שנפדים בתום תקופה.</t>
  </si>
  <si>
    <t>אם עובדים ב - Set שהוא Begin</t>
  </si>
  <si>
    <t>המחשבון יחשב אוטומטית צבירת ריבית נוספת</t>
  </si>
  <si>
    <t>של תקופה אחת על הסכום הנצבר למועד</t>
  </si>
  <si>
    <t xml:space="preserve">ההפקדה האחרונה. </t>
  </si>
  <si>
    <t>אז אם ההפקדה האחרונה היא ב-4 (תחילת 5)</t>
  </si>
  <si>
    <t>אבל הפירעון בתום 5, שימוש ב - Begin שבהגדרה</t>
  </si>
  <si>
    <t>דוחף אחת קדימה - יוביל לתשובה הסופית.</t>
  </si>
  <si>
    <t>ב לזמן 3</t>
  </si>
  <si>
    <t>ב לזמן 2</t>
  </si>
  <si>
    <t>ההפקדות בתום כל שנה, והפרעון בתום השנה ה-20 בתשלום אחד.</t>
  </si>
  <si>
    <t>לזמן 3</t>
  </si>
  <si>
    <t>לזמן 20</t>
  </si>
  <si>
    <t>בהתאם לתחשיב לעיל אוכל להסיק שהפקדה רציפה של 1 ש״ח במשך 20 שנה מובילה לצבירה של 36.46 ש״ח.</t>
  </si>
  <si>
    <t>אם אפקיד x ש״ח המטרה להגיע ל-500,000:</t>
  </si>
  <si>
    <t>36.46x = 500,000</t>
  </si>
  <si>
    <t xml:space="preserve">x = </t>
  </si>
  <si>
    <t>דרך נוספת - מתמטית / יעלית:</t>
  </si>
  <si>
    <t>בהינתן העובדה שסכום ההפקדה איננו ידוע והוא למעשה x, במקרים רבים לחלק מכם נוח לעבוד</t>
  </si>
  <si>
    <t xml:space="preserve">עם הנוסחה המתמטית ומלכתחילה לבנות משוואה. </t>
  </si>
  <si>
    <t>ואז מחלצים את x ושיהיה בתיאבון.</t>
  </si>
  <si>
    <t>בן 50</t>
  </si>
  <si>
    <t>בן 72</t>
  </si>
  <si>
    <t>בן 51</t>
  </si>
  <si>
    <t>בן 73</t>
  </si>
  <si>
    <t>סדרת הפקדות</t>
  </si>
  <si>
    <t>סכום הפקדה</t>
  </si>
  <si>
    <t>?</t>
  </si>
  <si>
    <t>מספר הפקדות</t>
  </si>
  <si>
    <t>סדרת משיכות:</t>
  </si>
  <si>
    <t>סכום משיכה</t>
  </si>
  <si>
    <t>מס׳ משיכות</t>
  </si>
  <si>
    <r>
      <t xml:space="preserve">כאשר אני מזהה </t>
    </r>
    <r>
      <rPr>
        <u/>
        <sz val="12"/>
        <color theme="1"/>
        <rFont val="David"/>
        <family val="2"/>
        <charset val="177"/>
      </rPr>
      <t>סדרת</t>
    </r>
    <r>
      <rPr>
        <sz val="12"/>
        <color theme="1"/>
        <rFont val="David"/>
        <family val="2"/>
        <charset val="177"/>
      </rPr>
      <t xml:space="preserve"> הפקדות שאחריה </t>
    </r>
    <r>
      <rPr>
        <u/>
        <sz val="12"/>
        <color theme="1"/>
        <rFont val="David"/>
        <family val="2"/>
        <charset val="177"/>
      </rPr>
      <t>סדרת</t>
    </r>
    <r>
      <rPr>
        <sz val="12"/>
        <color theme="1"/>
        <rFont val="David"/>
        <family val="2"/>
        <charset val="177"/>
      </rPr>
      <t xml:space="preserve"> משיכות, השאלה היא מטיפוס ״איזון אקטוארי״:</t>
    </r>
  </si>
  <si>
    <t>בשפה פשוטה - נבטא את הערך העתידי של ההפקדות (צבירה ערב הפרישה).</t>
  </si>
  <si>
    <t xml:space="preserve">ואת הערך הנוכחי של המשיכות (לאותה נקודת זמן). </t>
  </si>
  <si>
    <t xml:space="preserve">וההשוואה בין הערכים תאפשר לחלץ את הערך החסר. </t>
  </si>
  <si>
    <t>משיכות</t>
  </si>
  <si>
    <t>הפקדות</t>
  </si>
  <si>
    <t xml:space="preserve">כאשר רוצים לחלץ את סכום ההפקדה שיאפשר סדרת משיכות קבועה, </t>
  </si>
  <si>
    <t xml:space="preserve">ובהנחה שלגבי המשיכות הערכים ידועים, </t>
  </si>
  <si>
    <t>נתחיל מחישוב PV לסדרת המשיכות,</t>
  </si>
  <si>
    <t>נעביר אותו כ-FV הפקדות (בסימן הפוך),</t>
  </si>
  <si>
    <t xml:space="preserve">ונחלץ את ה - PMT. </t>
  </si>
  <si>
    <t>כאשר נדרש לבחור בין חלופות תזרימיות (סכומים לקבל / לשלם) בעיתויים שונים, נחשב ערך נוכחי PV לכל</t>
  </si>
  <si>
    <t>חלופה בשיטה המתאימה, ונבחר:</t>
  </si>
  <si>
    <t>בחלופה המניבה PV מירבי - אם מדובר בתקבולים.</t>
  </si>
  <si>
    <t xml:space="preserve">בחלופה המניבה PV מזערי - אם מדובר בתשלומים (כגון אפשרויות לרכישת מוצר). </t>
  </si>
  <si>
    <t>מסלול א של מירב:</t>
  </si>
  <si>
    <t>במשך 10 שנים ראשונות 20,000 לשנה, במשך 15 שנים לאחר מכן 14,000 לשנה.</t>
  </si>
  <si>
    <t>ולכן, מדובר בערך נוכחי ״מורכב״ = מספר סדרות.</t>
  </si>
  <si>
    <t xml:space="preserve">הדרך המומלצת היא לעבוד מהסוף להתחלה. </t>
  </si>
  <si>
    <t>אחרונות</t>
  </si>
  <si>
    <t>ראשונות</t>
  </si>
  <si>
    <t>השווי עבור מירב של מסלול א</t>
  </si>
  <si>
    <t>שקול ל-163,946 ש״ח ״במזומן״ (ערך נוכחי)</t>
  </si>
  <si>
    <t>השווי של מסלול ב:</t>
  </si>
  <si>
    <t>תום שנה</t>
  </si>
  <si>
    <t>שקול ל-154,217 ש״ח במזומן.</t>
  </si>
  <si>
    <t xml:space="preserve">בסך הכל: מירב תעדיף את מסלול א. </t>
  </si>
  <si>
    <t xml:space="preserve">השווי עבור מירב של מסלול ב </t>
  </si>
  <si>
    <t>טופל דווקא בתרגול מוקלט 2</t>
  </si>
  <si>
    <t>טופל בנספח לתרגול 2 (סרטון נפרד)</t>
  </si>
  <si>
    <t>כששואלים על שווי של פריט שצפוי להניב תזרימי מזומנים עתידיים - שואלים למעשה על ערכם הנוכחי של תזרימי</t>
  </si>
  <si>
    <t>מזומנים אלו - PV. חישוב הערך הנוכחי כאן הוא של ערך נוכחי של סדרה, ה״חידוש״ - טמון בעובדה שמדובר</t>
  </si>
  <si>
    <t>בסדרה אינסופית.</t>
  </si>
  <si>
    <t>חשוב לזכור - בדומה לכל נוסחה או כלי לחישוב עךר נוכחי של סדרה קבועה, גם החישוב הזה תמיד מוביל ״אחת אחורה״</t>
  </si>
  <si>
    <t>ביחס למועד התזרים הראשון בסדרה.</t>
  </si>
  <si>
    <t>המשמעות היא שאם יש לנו כאן תזרימי מזומנים בסוף כל שנה (התזרים הראשון בזמן 1 אם לא נאמר אחרת) חישוב</t>
  </si>
  <si>
    <t xml:space="preserve">הערך הנוכחי הסדרתי מוביל לזמן 0 ולא נצטרך התאמה. </t>
  </si>
  <si>
    <t>התשובה תהיה:</t>
  </si>
  <si>
    <r>
      <rPr>
        <b/>
        <sz val="12"/>
        <color theme="1"/>
        <rFont val="David"/>
        <family val="2"/>
        <charset val="177"/>
      </rPr>
      <t>גישה מתמטית</t>
    </r>
    <r>
      <rPr>
        <sz val="12"/>
        <color theme="1"/>
        <rFont val="David"/>
        <family val="2"/>
        <charset val="177"/>
      </rPr>
      <t xml:space="preserve"> - ערך נוכחי של סדרה אינסופית ניתן לחשב באמצעות הביטוי הבא:</t>
    </r>
  </si>
  <si>
    <r>
      <rPr>
        <b/>
        <sz val="12"/>
        <color theme="1"/>
        <rFont val="David"/>
        <family val="2"/>
        <charset val="177"/>
      </rPr>
      <t>גישה במחשבון פיננסי</t>
    </r>
    <r>
      <rPr>
        <sz val="12"/>
        <color theme="1"/>
        <rFont val="David"/>
        <family val="2"/>
        <charset val="177"/>
      </rPr>
      <t>:</t>
    </r>
  </si>
  <si>
    <t>סדרה הכוללת מס׳ רב מאד של תזרימים שקולה (בהפרש זניח) לאינסופית</t>
  </si>
  <si>
    <t>התשובה: שווי הנכס היום הוא 1,000,000 ש״ח.</t>
  </si>
  <si>
    <t>יש צורך לחשב כאן ערך נוכחי של שתי סדרות שמתחוללות בזו אחר זו:</t>
  </si>
  <si>
    <t>סדרה בזמן 1-10 כוללת תזרימים שנתיים של 70,000 האחד.</t>
  </si>
  <si>
    <t>סדרה בזמן 11 ואילך כוללת אינסוף תזרימים בסך 90,000 האחד.</t>
  </si>
  <si>
    <t>כאשר מדובר בחישוב ערך נוכחי של סדרה ״מורכבת״ (שמורכבת מכמה תתי סדרות) אנו תמיד עובדים ״מהסוף</t>
  </si>
  <si>
    <t>להתחלה״. מה שזה אומר זה כדלקמן:</t>
  </si>
  <si>
    <t>נחשב ערך נוכחי דווקא לסדרה האינסופית מזמן 11 ואילך. ערך נוכחי של סדרה אינסופית זו יבטא את התוצאה</t>
  </si>
  <si>
    <t>במונחי זמן 10. מדוע? כי ערך נוכחי של סדרה מוביל אחת אחורה ביחס לתחילתה.</t>
  </si>
  <si>
    <t>לאחר מכן, ניקח את הסכום הנ״ל, ונציב אותו כ-FV של הסדרה הראשונה מזמן 1-10. נבטא גם את תזרימיה,</t>
  </si>
  <si>
    <t xml:space="preserve">נחשב שוב ערך נוכחי, והפעם התוצאה שתתקבל תהיה סופית ותבטא את כלל התזרימים. </t>
  </si>
  <si>
    <t>סדרה אינסופית</t>
  </si>
  <si>
    <t>זמן 11 ואילך</t>
  </si>
  <si>
    <t>סדרה</t>
  </si>
  <si>
    <t>מזמן 1 ל-10</t>
  </si>
  <si>
    <t>יחד עם קודמתה</t>
  </si>
  <si>
    <t>התשובה הסופית היא:</t>
  </si>
  <si>
    <t>&lt;&lt;&lt;&lt;&lt;</t>
  </si>
  <si>
    <t>השווי של הפריט הוא 1,145,243 ש״ח.</t>
  </si>
  <si>
    <t>גישה מתמטית / יעלית:</t>
  </si>
  <si>
    <t>המונה - 90,000 חלקי 7%</t>
  </si>
  <si>
    <t>הוא הביטוי המייצג ערך נוכחי של סדרה אינסופית.</t>
  </si>
  <si>
    <t>הואיל והסדרה האינסופית החלה בזמן 11, תוצאת</t>
  </si>
  <si>
    <t>הביטוי שמובילה אחת אחורה ביטאה את הערך לזמן 10.</t>
  </si>
  <si>
    <t xml:space="preserve">כדי לתרגם את הביטוי כולו לזמן 0, חילקנו ב-1 ועוד הריבית בחזקת 10, </t>
  </si>
  <si>
    <t xml:space="preserve">כך הובלנו את התוצאה כולה לזמן 0. </t>
  </si>
  <si>
    <t xml:space="preserve">מבטא ערך נוכחי של </t>
  </si>
  <si>
    <t>סדרה רגילה</t>
  </si>
  <si>
    <t>הכוללת 10 איברים</t>
  </si>
  <si>
    <t>של 70,000 כל אחד,</t>
  </si>
  <si>
    <t xml:space="preserve">בריבית 7%. </t>
  </si>
  <si>
    <t>מדובר בסדרה שהחלה</t>
  </si>
  <si>
    <t>בזמן 1, ולכן התוצאה</t>
  </si>
  <si>
    <t>מבוטאת במונחי זמן 0</t>
  </si>
  <si>
    <t xml:space="preserve">התשובה </t>
  </si>
  <si>
    <t>הסופית</t>
  </si>
  <si>
    <t>2.1.1</t>
  </si>
  <si>
    <t>רכשת Macbook Pro בסכום של 30,000 ש״ח. 10% שילמת במזומן, היתרה שולמה על בסיס מימון בהלוואה</t>
  </si>
  <si>
    <t>נדרש: מהו התשלום החודשי הקבוע?</t>
  </si>
  <si>
    <t>set</t>
  </si>
  <si>
    <t>מחשבוני:</t>
  </si>
  <si>
    <t>מתמטי:</t>
  </si>
  <si>
    <t>סכום הלוואה שווה לערך הנוכחי של החזריה. סדרת ההחזרים קבועה, ולכן מתקיים:</t>
  </si>
  <si>
    <t>ניתן לייצר על בסיס זאת משוואה בנעלם אחד ולפתור אותה:</t>
  </si>
  <si>
    <t>2.1.2</t>
  </si>
  <si>
    <t>רכשת Macbook Air בעלות של 5,000 ש״ח. 20% שילמת במזומן ואת היתרה מימנת בהלוואה הנושאת ריבית נקובה</t>
  </si>
  <si>
    <t>נדרש: מהי יתרת ההלוואה (יתרת החוב) לאחר התשלום ה-26?</t>
  </si>
  <si>
    <t>מחשבונית - תחילה מחלצים את ה-PMT:</t>
  </si>
  <si>
    <t>כעת, לשם חישוב היתרה, מתבססים על פונקציה נפרדת של המחשבון הפיננסי, הרלוונטית לחילוץ ערכים ספציפייים</t>
  </si>
  <si>
    <t>מתוך לוח סילוקין שפיצר. הפונקציה נקראת AMRT, ונוכל לסמן בתוכה את מספר התשלום הרלוונטי בפרמטרים</t>
  </si>
  <si>
    <t>שמסומנים כ-PM1 ו-PM2 ולבצע SOLVE על הנדרש: על BAL כשרוצים יתרה, על INT כשרוצים את הריבית</t>
  </si>
  <si>
    <t>הכלולה בתשלום ספציפי, ועל PRN כאשר מעוניינים לחלץ את רכיב הקרן בתשלום ספציפי.</t>
  </si>
  <si>
    <t>מתמטית:</t>
  </si>
  <si>
    <t>מחלצים תחילה את סכום ההחזר:</t>
  </si>
  <si>
    <t>הכולל n בניכוי מספר התשלומים שחלפו t:</t>
  </si>
  <si>
    <t>שאלה 1 - חישוב תשלום חודשי בלוח סילוקין שפיצר</t>
  </si>
  <si>
    <t>שאלה 2 - חישוב יתרת הלוואה למועד ספציפי - לוח שפיצר</t>
  </si>
  <si>
    <t>שאלה 3 - חישוב יתרת הלוואה למועד ספציפי - לוח רגיל</t>
  </si>
  <si>
    <t>2.1.3</t>
  </si>
  <si>
    <t xml:space="preserve">ונפרעת בתשלומים חודשיים שווים של קרן (לוח סילוקין רגיל) במשך 8 שנים. </t>
  </si>
  <si>
    <t>מהי יתרת ההלוואה (יתרת החוב) מיד לאחר התשלום ה-54?</t>
  </si>
  <si>
    <t xml:space="preserve">שנתית בשיעור 6% והיא נפרעת בתשלומים חודשיים שווים של קרן וריבית (שפיצר) במשך 5 שנים. </t>
  </si>
  <si>
    <t>פוחתת בקצב ובסכום קבוע בכל תקופה. כדי לקצר תהליכים, אפשר פשוט לעבוד כך:</t>
  </si>
  <si>
    <t>שאלה 4 - לוח שפיצר עם תשלומים רבעוניים</t>
  </si>
  <si>
    <t>קוקי רכש מכונה לחימום נקניק לשימוש אישי בעלות 200,000 ש״ח. את הרכישה מימן בהלוואה בסכום זהה</t>
  </si>
  <si>
    <t>נדרש: מהי יתרת ההלוואה לאחר 3 שנים?</t>
  </si>
  <si>
    <t>בריבית נקובה של 8% המוחזרת בתשלומים רבעוניים שווים (לוח שפיצר) במשך 10 שנים.</t>
  </si>
  <si>
    <t>שאלה 5 - הלוואה בחלקים</t>
  </si>
  <si>
    <t xml:space="preserve">משה נטל הלוואה בשני חלקים: </t>
  </si>
  <si>
    <t>חלק ראשון: הלוואה בסך 200,000 ש״ח ל-8 שנים, הנושאת ריבית חודשית בשיעור 2%.</t>
  </si>
  <si>
    <t>חלק שני: הלוואה בסך 400,000 ש״ח ל-15 שנים, הנושאת ריבית שנתית בשיעור 12% המחושבת חודשית.</t>
  </si>
  <si>
    <t xml:space="preserve">שני חלקי ההלוואה נפרעים בתשלומים חודשיים קבועים. </t>
  </si>
  <si>
    <t>בעקבות תקופת הלחימה העניק הבנק ״גרייס״ (דחייה בתחילת ההחזרים) בגין רכיבי ההלוואה, כך שהתשלומים</t>
  </si>
  <si>
    <t xml:space="preserve">יידחו ב-24 חודשים ביחס למועדם המקורי. </t>
  </si>
  <si>
    <t>מהו התשלום הכולל שיבוצע בחודש ה-122 ממועד נטילת ההלוואה?</t>
  </si>
  <si>
    <t>ניתן לשלם בעוד חודשיים על מכונה לחימום נקניק 1,000 ש״ח או לחילופין בעוד 5 חודשים סכום של 1,200 ש״ח.</t>
  </si>
  <si>
    <t>מהי הריבית האפקטיבית השנתית הגלומה בדחיית התשלום?</t>
  </si>
  <si>
    <t>ד. הריבית היא 3% לחודש</t>
  </si>
  <si>
    <t>ה. הריבית היא 5% לחצי שנה</t>
  </si>
  <si>
    <t>ו. הריבית היא 10% מראש</t>
  </si>
  <si>
    <t xml:space="preserve">שאלה 8 - ריבית אפקטיבית </t>
  </si>
  <si>
    <t>השנתית בהלוואה?</t>
  </si>
  <si>
    <t>תכני למידה:</t>
  </si>
  <si>
    <t>הגשה:</t>
  </si>
  <si>
    <t>לאחר המפגש ו/או השלמות שתיווצרנה בעקבותיו ניתן להגיש את תרגיל ההגשה הבא בקורס באופן מלא.</t>
  </si>
  <si>
    <t>AMRT</t>
  </si>
  <si>
    <t>PM1</t>
  </si>
  <si>
    <t>PM2</t>
  </si>
  <si>
    <t>Solve BAL</t>
  </si>
  <si>
    <t>שאלה זו שקולה לגמרי לשאלה 2, למעט תדירות התשלומים ועיתויים שכאן היא רבעונית. בהתאם הריבית תתואם</t>
  </si>
  <si>
    <t>לרבעונית ומספר התשלומים n יהיה זהה למספר הרבעונים ולא למספר החודשים.</t>
  </si>
  <si>
    <t>אם יש הלוואה</t>
  </si>
  <si>
    <t>שנפרעת בתשלומים שווים</t>
  </si>
  <si>
    <t xml:space="preserve">אזי היא נקראת לוח </t>
  </si>
  <si>
    <t xml:space="preserve">שפיצר - ונחלץ את </t>
  </si>
  <si>
    <t xml:space="preserve">תשלומה התקופתי </t>
  </si>
  <si>
    <t>באמצעות PMT של CMPD</t>
  </si>
  <si>
    <t>של סדרה (מתמטי)</t>
  </si>
  <si>
    <t>מחשבונית:</t>
  </si>
  <si>
    <r>
      <rPr>
        <u/>
        <sz val="12"/>
        <color theme="1"/>
        <rFont val="David"/>
        <family val="2"/>
        <charset val="177"/>
      </rPr>
      <t>או</t>
    </r>
    <r>
      <rPr>
        <sz val="12"/>
        <color theme="1"/>
        <rFont val="David"/>
        <family val="2"/>
        <charset val="177"/>
      </rPr>
      <t>: באמצעות חילוץ מנוסחת ערך נוכחי</t>
    </r>
  </si>
  <si>
    <t>תשלומים כל חודש, 10 שנים</t>
  </si>
  <si>
    <t>סכום ההלוואה - בסימן חיובי</t>
  </si>
  <si>
    <t>בלוח שפיצר - אין תזרים נוסף בתום התקופה</t>
  </si>
  <si>
    <t>אם הנקובה השנתית 12%, החודשית תהיה..</t>
  </si>
  <si>
    <t>חילוץ התשלום התקופתי הקבוע</t>
  </si>
  <si>
    <t xml:space="preserve">Solve = </t>
  </si>
  <si>
    <t>ניגש לכפתור ה-AMRT רק לאחר חילוץ ה-PMT באמצעות CMPD וללא איפוס המחשבון:</t>
  </si>
  <si>
    <t>מספר התשלום הספציפי אליו מתייחס החישוב</t>
  </si>
  <si>
    <t>חילוץ היתרה BAL</t>
  </si>
  <si>
    <t>טיפ: אפשר גם לחשב את תשלום הקרן בזמן 26 על ידי SOLVE PRN, ואת תשלום הריבית בזמן 26 על ידי SOLVE INT</t>
  </si>
  <si>
    <t>יתרת החוב לאחר 26 תשלומים</t>
  </si>
  <si>
    <t>התשלום התקופתי על חשבון קרן לפי</t>
  </si>
  <si>
    <t>סכום ההלוואה LOAN המחולק במספר</t>
  </si>
  <si>
    <t xml:space="preserve">התשלומים הכולל n </t>
  </si>
  <si>
    <t>מספר התשלומים הכולל n</t>
  </si>
  <si>
    <t>בניכוי מס׳ התשלומים שבוצעו t</t>
  </si>
  <si>
    <t>מספר התשלומים שנותרו שעל</t>
  </si>
  <si>
    <t>בסיסם נקבעת היתרה: n-t</t>
  </si>
  <si>
    <t xml:space="preserve">מספר </t>
  </si>
  <si>
    <t>התשלומים</t>
  </si>
  <si>
    <t>שנותרו</t>
  </si>
  <si>
    <t>בעתיד</t>
  </si>
  <si>
    <t xml:space="preserve">התוצאה המתקבלת היא יתרת הקרן / יתרת הלוואה / יתרת החוב. זו איננה מתייחסת לריבית. </t>
  </si>
  <si>
    <t>אמנם לא נאמר לאיזו תקופה הריבית - ברירת המחדל: שנה</t>
  </si>
  <si>
    <t>בחלוף 3 שנים בוצעו 12 תשלומים רבעוניים</t>
  </si>
  <si>
    <t>כברירת מחדל, דחייה במועדי תחילת ההחזרים ביחס למועד המקורי בחוזה שנחתם - מחייבת את הלווה בצבירת</t>
  </si>
  <si>
    <t>ריבית לתקופת הדחייה.</t>
  </si>
  <si>
    <t>לכן, עלינו לחשב את יתרת החוב הכוללת בגין רכיבי ההלוואה ערב תחילת התשלומים, ואת היתרה הכוללת הנ״ל</t>
  </si>
  <si>
    <t>המגלמת גם את הריבית לתקופת הגרייס - לפרוס על פני התקופה המתאימה.</t>
  </si>
  <si>
    <t>בהלוואה יש שני חלקים:</t>
  </si>
  <si>
    <t>החלק הראשון היה במקור ל-8 שנים (96 חודשים).</t>
  </si>
  <si>
    <t>החלק הזה נדחה ב-24 חודשים, כך שבראיית התקופה כולה - מדובר ב-120 חודשים.</t>
  </si>
  <si>
    <t>במילים אחרות: בחלוף 120 חודשים מנטילת ההלוואה, היא מסתיימת, והחזריה מתאפסים.</t>
  </si>
  <si>
    <t xml:space="preserve">לכן, הואיל ושאלו על ההחזר בחודש ה-122, אין כל צורך להתייחס לרכיב הלוואה זה. </t>
  </si>
  <si>
    <t>החלק השני של ההלוואה הוא ל-15 שנים בתוספת דחייה של שנתיים - וכמובן חלק זה כן חי ובועט בחודש ה-122.</t>
  </si>
  <si>
    <t>ולכן אליו כן נתייחס.</t>
  </si>
  <si>
    <t>הלוואה:</t>
  </si>
  <si>
    <t>תקופה:</t>
  </si>
  <si>
    <t>שנים</t>
  </si>
  <si>
    <t>תדירות:</t>
  </si>
  <si>
    <t>חודשית</t>
  </si>
  <si>
    <t>גרייס</t>
  </si>
  <si>
    <t>שנתיים</t>
  </si>
  <si>
    <t>stage 1</t>
  </si>
  <si>
    <t>חישוב יתרה לתום השנתיים</t>
  </si>
  <si>
    <t>stage 2</t>
  </si>
  <si>
    <t>חישוב החזר</t>
  </si>
  <si>
    <t>ההחזר הכולל בתום החודש ה-122 הוא 6,095.58 ש״ח.</t>
  </si>
  <si>
    <t>המחיר</t>
  </si>
  <si>
    <t>לתשלום</t>
  </si>
  <si>
    <t>בעוד חודשיים</t>
  </si>
  <si>
    <t xml:space="preserve">בעוד 5 </t>
  </si>
  <si>
    <t>חודשים</t>
  </si>
  <si>
    <t>הריבית היא ההפרש בין התשלום הדחוי לתשלום ״הרגיל״. כאן: 200 ש״ח.</t>
  </si>
  <si>
    <t>כדי לתרגם אותה לאחוזי ריבית אפקטיבית - אחלק סכום ריבית זה בסכום הקרן 1,000.</t>
  </si>
  <si>
    <t>כך אקבל:</t>
  </si>
  <si>
    <t>מסקנה: בעסקאות ״בלון״ הנפרעות בתשלום אחד (לא לוח שפיצר / רגיל)</t>
  </si>
  <si>
    <t xml:space="preserve">היחס בין התשלום בתום התקופה לבין ערך העסקה הבסיסי, פחות אחת </t>
  </si>
  <si>
    <t>הואיל וכאן - ריבית 20% היא הריבית השוררת ל-3 החודשים שבין זמן 2 לזמן 5 בחודשים,</t>
  </si>
  <si>
    <t xml:space="preserve">עלינו לתאמה בהתאם לנדרש למונחים שנתיים. </t>
  </si>
  <si>
    <t>זכרו - 3 חודשים הם למעשה רבעון. אנו רוצים לתרגם את הריבית לשנה שהיא 4 רבעונים.</t>
  </si>
  <si>
    <t>הנחת ברירת המחדל של תרגום הריבית היא כזו שמתבססת על ״ריבית דריבית״ (חזקה):</t>
  </si>
  <si>
    <t>הריבית השנתית</t>
  </si>
  <si>
    <t xml:space="preserve">תמצית: בעת שאנו יודעים מהם התזרימים בתחילת העסקה ובסיומה, היחס ביניהם פחות אחת הוא הריבית </t>
  </si>
  <si>
    <t xml:space="preserve">האפקטיבית לתקופת העסקה. התאמת התוצאה לפרק זמן אחר - מבוצעת באמצעות מעריך חזקה מתאים. </t>
  </si>
  <si>
    <t>הרחבה: גם המרה מתקופות ארוכות לקצרות אפשרית באמצעות חזקה מתאימה. למשל, נניח שהעסקה היא לשנתיים</t>
  </si>
  <si>
    <t>וחצי ודורשים ריבית לשנה אחת. היינו פועלים כך:</t>
  </si>
  <si>
    <t>הסבר ל-ז: כאשר הריבית הנקובה החצי שנתית נתונה, והיא מחושבת כל חודש, התהליך הבסיסי R/n מטרתו</t>
  </si>
  <si>
    <t>להמיר את הנקובה החצי שנתית לתקופת חישוב אחת (חודש), וזאת ע״י חלוקה ב-6 (n).</t>
  </si>
  <si>
    <t xml:space="preserve">מעריך החזקה הוא הכלי שעוזר לי להמיר תקופת חישוב אחת (חודש) לתקופה הכוללת לגביה נשאלתי (שנה). </t>
  </si>
  <si>
    <t xml:space="preserve">לכן כאן, מעריך החזקה הוא 12 (ישנם 12 תקופות חישוב חודשיות בשנה). </t>
  </si>
  <si>
    <t>הסבר ל-ד: כאשר הריבית כבר נתונה במונחים חודשיים, ולא נלווה לה מינוח כגון ״מחושבת כל...״ אזי אין צורך</t>
  </si>
  <si>
    <t>בחלוקה אלא רק בהתאמת התקופה דרך מעריך החזקה.</t>
  </si>
  <si>
    <t>הסבר ל-ו:</t>
  </si>
  <si>
    <t xml:space="preserve">לשם ההמחשה וללא הגבלת כלליות, נניח שמדובר בהלוואה בסכום של 100 ש״ח הנושאת ריבית מראש </t>
  </si>
  <si>
    <t xml:space="preserve">בשיעור 10%. </t>
  </si>
  <si>
    <t>נוטל הלוואה (תזרים חיובי)</t>
  </si>
  <si>
    <t>תשלום ריבית מראש (תזרים שלילי)</t>
  </si>
  <si>
    <t>קרן ההלוואה נטו</t>
  </si>
  <si>
    <t>החזר לבנק</t>
  </si>
  <si>
    <t>הכללת הנוסחה - במונה - 100% מהקרן (1) ובמכנה יש לנו את הקרן פחות שיעור הניכוי / הריבית מראש (d).</t>
  </si>
  <si>
    <t>במלים אחרות: השאלה שקולה לגמרי לשאלה המנוסח:</t>
  </si>
  <si>
    <t>מהי הריבית האפקטיבית השנתית אם הריבית הנקובה השנתית 20% והיא מחושבת כל חודש.</t>
  </si>
  <si>
    <t>הנוסחה הרלוונטית:</t>
  </si>
  <si>
    <t>נוסחה בת 40 בטינדר:</t>
  </si>
  <si>
    <t>מה למדנו מתרגיל זה?</t>
  </si>
  <si>
    <t xml:space="preserve">העסקה כולה כדי להמיר את הריבית למונחים אפקטיביים שנתיים. </t>
  </si>
  <si>
    <t xml:space="preserve">הנוסחה הזו מתאימה למצבים שבהם ה-input </t>
  </si>
  <si>
    <t>הוא כבר במונחי תקופת חישוב.</t>
  </si>
  <si>
    <t>ואז: אין צורך לבצע את הפריסה המתבטאת בשבר</t>
  </si>
  <si>
    <t>בנוסחה שמימין.</t>
  </si>
  <si>
    <t>שאם נדרשת ריבית שנתית, ונתוני הריבית שבשאלה (לפני גילום אפקטיבית) הם באחוזים (לא כספיים), אין כל צורך להתייחס לתקופת</t>
  </si>
  <si>
    <t>הרחבה לבקשת הסטודנטים - טענו שהגישה המבוטאת מטה מעניקה תוצאה שונה לזו</t>
  </si>
  <si>
    <t>שהוצגה בפתרון לשאלה 5 במטלה 1 של המרצה, לכן אני כותב כאן פתרון דומה:</t>
  </si>
  <si>
    <t>זמן 16 ואילך</t>
  </si>
  <si>
    <t>מזמן 1 ל-15</t>
  </si>
  <si>
    <t>זהה למרצה</t>
  </si>
  <si>
    <t>רקע:</t>
  </si>
  <si>
    <t>אג״ח (או - אגרת חוב, Bond בלעז) היא מכשיר פיננסי המונפק על ידי ישות (חברה, ממשלה, רשות מקומית וכיוצא</t>
  </si>
  <si>
    <t>ההנפקה.</t>
  </si>
  <si>
    <t>מאפייני המכשיר הפיננסי:</t>
  </si>
  <si>
    <t>ערך נקוב:</t>
  </si>
  <si>
    <t>תשלום / סילוק ״ערך נקוב״ זה יכול שיתבצע בתשלום אחד או במספר תשלומים. בהתאם לרוח</t>
  </si>
  <si>
    <t>תרגיל הגשה 3, אנו נעסוק בשלב זה אך ורק באגרות חוב אשר משלמות ערך נקוב מוגדר בתשלום</t>
  </si>
  <si>
    <t>אחד בתום חיי האג״ח.</t>
  </si>
  <si>
    <t>ריבית נקובה:</t>
  </si>
  <si>
    <t>הריבית המוגדרת בהסכם / תשקיף האג״ח. מכפלתה בערך הנקוב קובעת את התשלום שיועבר</t>
  </si>
  <si>
    <t>ריבית המשק:</t>
  </si>
  <si>
    <t>לצד הריבית הנקובה, שנקבעת באג״ח עצמה על ידי החברה, קיימת ריבית נוספת. זוהי למעשה</t>
  </si>
  <si>
    <t>הריבית שדורשים המשקיעים באג״ח, ועל בסיסה ייקבע מחירה. במלים אחרות, אם חברה משלמת</t>
  </si>
  <si>
    <t>ריבית קופון של 10%, בריבית זו יבוצע שימוש לחישוב התזרימים - אבל חישוב ערכם הנוכחי</t>
  </si>
  <si>
    <t xml:space="preserve">לשם תמחור האג״ח, יישען על ריבית המשק (נקראת גם תשואה לפדיון / תשואה אלטרנטיבית / </t>
  </si>
  <si>
    <t>שיעור תשואה נדרש על ידי המשקיעים באג״ח).</t>
  </si>
  <si>
    <t>תהליך העבודה בחישובי אג״ח - סוגיות:</t>
  </si>
  <si>
    <t>גובה הקופון לפי מכפלת הריבית הנקובה באג״ח בערך הנקוב</t>
  </si>
  <si>
    <t>PMT = r * FV</t>
  </si>
  <si>
    <t>הערך הנקוב</t>
  </si>
  <si>
    <t>נדרש:</t>
  </si>
  <si>
    <t>א. מהו מחיר כל אחת מאגרות החוב היום?</t>
  </si>
  <si>
    <t xml:space="preserve">לאג״ח א נותרו עוד 4 שנים עד לפדיונה.  </t>
  </si>
  <si>
    <t xml:space="preserve">לאג״ח ב נותרו עוד 9 שנים עד לפדיונה. </t>
  </si>
  <si>
    <t>שאלה 1 - חישוב מחיר אג״ח - קופון בשנים שלמות</t>
  </si>
  <si>
    <t>ריבית הקופון (נקובה): תמיד מחושבת כריבית פשוטה (יחסית). הווי אומר, אם למשל שיעור ריבית</t>
  </si>
  <si>
    <t>שיעור התשואה לפדיון (ריבית המשק): תמיד מחושבת כריבית אפקטיבית (מעריך חזקה). הווי אומר,</t>
  </si>
  <si>
    <t>במונחים חצי שנתיים (ערך %I להיוון התזרימים החצי שנתיים) יהיה 3%, לפי:</t>
  </si>
  <si>
    <t xml:space="preserve">בתאריך 1/1/2018 הונפקה אג״ח שערכה הנקוב 500 ש״ח. </t>
  </si>
  <si>
    <t>אגרת החוב היא לתקופה של 9 שנים.</t>
  </si>
  <si>
    <t xml:space="preserve">הערך הנקוב נפרע בתשלום אחד בתום השנה ה-9. </t>
  </si>
  <si>
    <t>מהו המחיר המקסימלי שבו כדאי לקנות את אגרת החוב שנתיים לאחר הנפקתה, אם ידוע שהריבית במשק</t>
  </si>
  <si>
    <t>היא בשיעור של 3% לחודש?</t>
  </si>
  <si>
    <t xml:space="preserve">הניחו אגרת חוב ל-8 שנים שמשלמת קופון בשיעור שנתי של 10% כל רבעון. </t>
  </si>
  <si>
    <t>שאלה 2 - חישוב מחיר אג״ח - תשלומים חצי שנתיים וחישוב המחיר מיד לאחר מועד תשלום</t>
  </si>
  <si>
    <t>שאלה 3 - חישוב מחיר אג״ח - תשלומים רבעוניים וחישוב מחיר בין מועדי תשלום</t>
  </si>
  <si>
    <t>פירעון הקרן בסוף התקופה.</t>
  </si>
  <si>
    <t>כי הערך הנקוב 100 ש״ח.</t>
  </si>
  <si>
    <t>סוגיה 2 - חישוב תשואה לתקופת החזקה</t>
  </si>
  <si>
    <t>מדובר במצב שבו משקיע רוכש את האג״ח, מחזיק אותה תקופה מסוימת ואז מוכר אותה. במצב כזה, צריך להגדיר</t>
  </si>
  <si>
    <t>נספח מתמטי:</t>
  </si>
  <si>
    <t>החישוב המתמטי יהיה במצב כזה דומה מאד:</t>
  </si>
  <si>
    <t>מחיר האג״ח - הערך המחולץ / המחושב</t>
  </si>
  <si>
    <t>שווי האג״ח</t>
  </si>
  <si>
    <t>הערך הנוכחי של סדרת</t>
  </si>
  <si>
    <t>תזרימי הקופון התקופתיים</t>
  </si>
  <si>
    <t>הערך הנוכחי של פירעון</t>
  </si>
  <si>
    <t>בתום התקופה</t>
  </si>
  <si>
    <t>מספר תזרימי המזומנים שנותרו למועד החישוב</t>
  </si>
  <si>
    <t>הריבית במשק / שיעור תשואה לפדיון למועד החישוב</t>
  </si>
  <si>
    <t>שלב 1: חישוב עלות רכישת האג״ח (במידה ואיננה נתונה) בהתייחס למועד הרכישה:</t>
  </si>
  <si>
    <t>מספר תזרימי המזומנים שנותרו למועד הרכישה</t>
  </si>
  <si>
    <t>הריבית במשק / שיעור תשואה לפדיון למועד הרכישה</t>
  </si>
  <si>
    <t>מחיר רכישת האג״ח - הערך המחולץ / המחושב</t>
  </si>
  <si>
    <t>שלב 2 - חישוב תמורת מכירת האג״ח (במידה ואיננה נתונה):</t>
  </si>
  <si>
    <t>מספר תזרימי המזומנים שנותרו למועד המכירה</t>
  </si>
  <si>
    <t>הריבית במשק / שיעור תשואה לפדיון למועד המכירה</t>
  </si>
  <si>
    <t>מחיר מכירת האג״ח - הערך המחולץ / המחושב</t>
  </si>
  <si>
    <t>מספר תזרימי המזומנים שהתקבלו בתקופת ההחזקה</t>
  </si>
  <si>
    <t>הערך המחולץ - שיעור התשואה בתקופת ההחזקה</t>
  </si>
  <si>
    <t>שלב 3 - חילוץ שיעור התשואה לתקופת החזקה</t>
  </si>
  <si>
    <t>עלות רכישת האג״ח (שלב 1) - בסימן שלילי</t>
  </si>
  <si>
    <t>תמורת מכירת האג״ח (שלב 2) - בסימן חיובי</t>
  </si>
  <si>
    <t xml:space="preserve">PV </t>
  </si>
  <si>
    <t>PMT=r*FV</t>
  </si>
  <si>
    <r>
      <t xml:space="preserve">בזה) ואשר מקנה לאוחז בה זכות </t>
    </r>
    <r>
      <rPr>
        <b/>
        <u/>
        <sz val="12"/>
        <color theme="1"/>
        <rFont val="David"/>
        <family val="2"/>
        <charset val="177"/>
      </rPr>
      <t>בלתי מותנית</t>
    </r>
    <r>
      <rPr>
        <sz val="12"/>
        <color theme="1"/>
        <rFont val="David"/>
        <family val="2"/>
        <charset val="177"/>
      </rPr>
      <t xml:space="preserve"> לסדרת תשלומים בהתאם לתנאים המוגדרים היטב בתשקיף</t>
    </r>
  </si>
  <si>
    <t>כדי להגדיר את תזרימי המזומנים מהאג״ח - המהווים את הבסיס לחישוב שוויה / מחירה, עלינו להכיר את המונחים</t>
  </si>
  <si>
    <t>הבאים ולהבדיל ביניהם:</t>
  </si>
  <si>
    <t>לערך הנקוב (ע״נ) באג״ח שתי מטרות - שני סוגי תזרימים הנובעים ממנו:</t>
  </si>
  <si>
    <t>לידי המחזיק באג״ח בכל מועד מוגדר. היא נקבעת על ידי החברה.</t>
  </si>
  <si>
    <t>לשים חישוב שווי האג״ח</t>
  </si>
  <si>
    <t>על בסיס תזרימיה</t>
  </si>
  <si>
    <t>זו למעשה הריבית %I</t>
  </si>
  <si>
    <r>
      <rPr>
        <b/>
        <sz val="12"/>
        <color theme="1"/>
        <rFont val="David"/>
        <family val="2"/>
        <charset val="177"/>
      </rPr>
      <t>מחיר אג״ח</t>
    </r>
    <r>
      <rPr>
        <sz val="12"/>
        <color theme="1"/>
        <rFont val="David"/>
        <family val="2"/>
        <charset val="177"/>
      </rPr>
      <t xml:space="preserve">: נקבע בתור הערך הנוכחי </t>
    </r>
    <r>
      <rPr>
        <b/>
        <sz val="12"/>
        <color theme="1"/>
        <rFont val="David"/>
        <family val="2"/>
        <charset val="177"/>
      </rPr>
      <t>PV</t>
    </r>
    <r>
      <rPr>
        <sz val="12"/>
        <color theme="1"/>
        <rFont val="David"/>
        <family val="2"/>
        <charset val="177"/>
      </rPr>
      <t xml:space="preserve"> של תזרימי המזומנים מהאג״ח. אלו יביאו בחשבון את הערכים הבאים:</t>
    </r>
  </si>
  <si>
    <t>הקופון השנתית 5%, אך הוא משולם כל חצי שנה, ריבית הקופון לחצי שנה תהיה 2.5% = 2 / 5%.</t>
  </si>
  <si>
    <t>אם למשל שיעור התשואה לפדיון במשק 6.09% (לשנה), והתשלום כל חצי שנה, שיעור התשואה לפדיון</t>
  </si>
  <si>
    <t>אג״ח א</t>
  </si>
  <si>
    <t>אג״ח ב</t>
  </si>
  <si>
    <t>יישום עבור אג״ח א:</t>
  </si>
  <si>
    <t>יישום עבור אג״ח ב:</t>
  </si>
  <si>
    <t>אג״ח</t>
  </si>
  <si>
    <t>המחיר המקסימלי שבו כדאי לקנות את האג״ח הוא למעשה שוויה. ושוויה הוא הערך הנוכחי PV של תזרימיה הנותרים</t>
  </si>
  <si>
    <t>נכון למועד החישוב. במלים אחרות, פשוט צריך לחשב פה את ה-PV של תזרימי האג״ח כרגיל:</t>
  </si>
  <si>
    <t>הואיל והמטרה היא לדעת מהם תזרימי המזומנים העתידיים שנותרו, עלינו לדעת מהי יתרת אורך חיי האג״ח למועד</t>
  </si>
  <si>
    <t>התמחור. כשהאג״ח הונפקה - אורך חייה (המקורי) היה 9 שנים. חלפו שנתיים, ולכן נותרו לאג״ח עוד 7 שנות</t>
  </si>
  <si>
    <t>חיים בלבד, ועל בסיס ערך זה נקבע את מספר התזרימים.</t>
  </si>
  <si>
    <t>תשלומים חצי שנתיים &gt;&gt;&gt; ריבית משק לחצי שנה</t>
  </si>
  <si>
    <t>הואיל וריבית המשק מטופלת כריבית</t>
  </si>
  <si>
    <t>אפקטיבית, המרתה מחודש לחצי שנה</t>
  </si>
  <si>
    <t>מבוצעת ע״י חזקה מתאימה:</t>
  </si>
  <si>
    <t>חישוב בגישה מתמטית:</t>
  </si>
  <si>
    <t>האתגר בשאלה הזו - הוא שהחישוב איננו בתקופות תשלום שלמות. לכן יש צורך להתמודד בצורה של התאמות</t>
  </si>
  <si>
    <t>עם תוצאת החישוב הבסיסית המתקבלת.</t>
  </si>
  <si>
    <t>FV = 100</t>
  </si>
  <si>
    <t>…</t>
  </si>
  <si>
    <t>תזרימי קופון היסטוריים - במהלך השנתיים</t>
  </si>
  <si>
    <t>הקודמות - לא רלוונטיים</t>
  </si>
  <si>
    <t xml:space="preserve">כי חישוב שווי מתבסס על הערך הנוכחי </t>
  </si>
  <si>
    <t>של התזרימים העתידיים</t>
  </si>
  <si>
    <t>המשקיע פה</t>
  </si>
  <si>
    <t>חודש אחרי</t>
  </si>
  <si>
    <t>תום השנה</t>
  </si>
  <si>
    <t>ה-2</t>
  </si>
  <si>
    <t xml:space="preserve">n = </t>
  </si>
  <si>
    <t>מספר תזרימי המזומנים שנותרו ממועד התמחיר ואילך: עד כה בוצעו תזרימים במשך שנתיים מתוך ה-8, נותרו עוד 6 שנים כפול 4</t>
  </si>
  <si>
    <t>ריבית הקופון היא שנתית, אך התשלום רבעוני. תיאמנו את ריבית הקופון ע״י חלוקתה ב-4, וכפלנו בערך הנקוב 100</t>
  </si>
  <si>
    <t>מהו המחיר של אגרת החוב בחלוף שנתיים וחודש ממועד הנפקתה אם הריבית המשק היא 12.6825% (לשנה)? יש להניח</t>
  </si>
  <si>
    <t>ריבית המשק היא שנתית, התשלום רבעוני, יש לתאמה לרבעון.</t>
  </si>
  <si>
    <t>ערך נקוב</t>
  </si>
  <si>
    <t>בשונה מהדוגמאות הקודמות, כאן, הערך הנוכחי שמוביל ״אחת אחורה״ הוביל רבעון אחד אחורה כלומר</t>
  </si>
  <si>
    <t>שלושה חודשים לפני התשלום הקרוב - לפני זמן 27. כללומר, התוצאה היא לזמן 24, ולא 25.</t>
  </si>
  <si>
    <t>כדי לתרגם את התוצאה הנ״ל שהיא לזמן 24 חודש אחד קדימה, יש לכפול ב-1 ועוד ריבית חודשית. המרת הריבית השנתית הנתונה לחודשית:</t>
  </si>
  <si>
    <t>התשובה הסופית:</t>
  </si>
  <si>
    <t xml:space="preserve">מסקנה: בעוד שבמצבים שבהם נקודת הזמן שבה אני נמצא בשלב התמחור היא בדיוק לאחר התשלום התקופתי (שתי השאלות הראשונות), </t>
  </si>
  <si>
    <t>חישוב ה-PV עובד נפלא ללא צורך בהתאמות - כאשר נקודת הזמן שבה נמצאים היא ״בין״ מועדי תשלום, במקרים רבים נדרש לבחון</t>
  </si>
  <si>
    <t xml:space="preserve">בזהירות היכן אנו נמצאים, היכן התשלום הקרוב, ולאן מגיעים בחישוב ה-PV בעקבות יישום העיקרון של ״אחת אחורה״. </t>
  </si>
  <si>
    <t xml:space="preserve">לאחר שזיהינו לאן מגיעים, יש לבצע התאמות בהתאם לנקודת התמחיר הספציפית הנדונה. </t>
  </si>
  <si>
    <t>הביטוי בסוגריים ה״גדולים״ הוא תחשיב מחיר האג״ח הבסיסי (לזמן 24) והמכפלה ב-1 ועוד 1% היא התיקון</t>
  </si>
  <si>
    <t xml:space="preserve">מזמן 24 (בחודשים) לזמן 25. </t>
  </si>
  <si>
    <t>את הפרמטרים בחישוב בצורה מעט שונה.</t>
  </si>
  <si>
    <t>מיני רציו: כאשר משקיע רוכש אג״ח, המחיר נשען על התזרימים בהנחה שהאג״ח תוחזק עד מועד פרעונה.</t>
  </si>
  <si>
    <t>אם מוכרים אותה קודם לכן, התזרים האחרון שיקבל המשקיע יהיה תמורת המכירה. וזו איננה הערך הנקוב,</t>
  </si>
  <si>
    <t>אלא שווי האג״ח במועד מכירתה.</t>
  </si>
  <si>
    <t>כלומר התהליך יורכב מ-3 שלבים:</t>
  </si>
  <si>
    <t>שלב 1 - נחשב את עלות האג״ח למשקיע - ערך נוכחי של כלל התזרימים במועד הרכישה ״כרגיל״.</t>
  </si>
  <si>
    <t>שלב 2 - נחשב את תמורת המכירה של האג״ח - ערך נוכחי של התזרימים שנותרו במועד המכירה - ״כרגיל״.</t>
  </si>
  <si>
    <t>שלב 3 - חישוב התשואה לתקופת ההחזקה יתבסס על עלות הרכישה (שלב 1), תמורת המכירה (שלב 2) והקופונים - כאשר הריבית תהיה ערך מחולץ.</t>
  </si>
  <si>
    <t>אחח יוקר המחיה. איזה מבאס הא? הכל מתייקר כל הזמן.</t>
  </si>
  <si>
    <t xml:space="preserve">ואיפה זה מתבטא? בשיעור האינפלציה. </t>
  </si>
  <si>
    <t xml:space="preserve">כשאנו משקיעים (או מלווים, שזה סוג של השקעה בלווה) אנו מעוניינים לשמור על כח הקניה של פירות </t>
  </si>
  <si>
    <t xml:space="preserve">השקעתנו, ולכן במקרים רבים - השקעות והלוואות הן צמודות למדד. </t>
  </si>
  <si>
    <t xml:space="preserve">ככלל, משמעות ההצמדה היא שקיימת הגנה (התאמת ערך) לתקבולים עבור שינויים במדד המחירים, </t>
  </si>
  <si>
    <t>קרי באינפלציה.</t>
  </si>
  <si>
    <t>תכל׳ס, מה המטרה היום?</t>
  </si>
  <si>
    <t>להראות את הקשרים המתמטיים בין ריבית נומינלית (אפקטיבית כוללת ; שקלית) לבין ריבית ריאלית (ריבית צמודה)</t>
  </si>
  <si>
    <t>והאינפלציה, כולל יישומים קשורים לגבי תזרימי מזומנים.</t>
  </si>
  <si>
    <t>לאחר תרגול זה ו/או הרחבותיו שאוסיף למענכם לפי הצורך, תהיו סמוכים ובטוחים ביכולתכם לפתור את תרגיל</t>
  </si>
  <si>
    <t xml:space="preserve">בית מס׳ 4 על כלל סוגיותיו. </t>
  </si>
  <si>
    <t>שאלה 1 - מחיר אג״ח צמודה וההשפעה של אינפלציה על שוויה</t>
  </si>
  <si>
    <t xml:space="preserve">חברת ״יעלים״ הנפיקה הרגע אג״ח ל-8 שנים, אשר ערכה הנקוב 100 ש״ח. האג״ח צמודה, והיא נושאת ריבית </t>
  </si>
  <si>
    <t xml:space="preserve">קופון בשיעור שנתי של 5%. </t>
  </si>
  <si>
    <t>הריבית הריאלית השנתית בשוק היא 3%.</t>
  </si>
  <si>
    <t>א. מהו מחיר האג״ח במועד ההנפקה?</t>
  </si>
  <si>
    <t>ב. מה יהיה מחיר האג״ח בחלוף שנה, מיד לאחר תשלום הקופון הראשון, אם ידוע שהריבית הריאלית בשוק עודנה 3%</t>
  </si>
  <si>
    <t>נדרש א - מחיר אג״ח צמודה במועד הנפקתה</t>
  </si>
  <si>
    <t>solve</t>
  </si>
  <si>
    <t>SET</t>
  </si>
  <si>
    <t>N</t>
  </si>
  <si>
    <t>נדרש ב - מחיר אג״ח בחלוף שנה, אחרי תשלום קופון אחד</t>
  </si>
  <si>
    <t>ההצמדה:</t>
  </si>
  <si>
    <t>וכי האינפלציה בשנה זו היא 2%.</t>
  </si>
  <si>
    <t>שווי האג״ח הכולל,</t>
  </si>
  <si>
    <t xml:space="preserve">בערכים כספיים </t>
  </si>
  <si>
    <t>נומינלי</t>
  </si>
  <si>
    <t>שווי אג״ח</t>
  </si>
  <si>
    <t>ריאלי,</t>
  </si>
  <si>
    <t>לפני</t>
  </si>
  <si>
    <t>התחשבות</t>
  </si>
  <si>
    <t>בהצמדה</t>
  </si>
  <si>
    <t xml:space="preserve">בגין </t>
  </si>
  <si>
    <t>אינפלציה בשנה / השנים שחלפו</t>
  </si>
  <si>
    <t>האינפלציה הכולל בשנה</t>
  </si>
  <si>
    <t>אפשר כמובן גם לחשב יעלית / מתמטית:</t>
  </si>
  <si>
    <t>לפני 4 שנים ו-8 חודשים בנק המועלים העניק הלוואה של 500 ש״ח בריבית נומינלית חודשית של 2%. כעת קיבל</t>
  </si>
  <si>
    <t>את ההחזר במלואו. האינפלציה בכל אחת מ-3 השנים הראשונות היתה 7%, בשנה הרביעית 8% וב-8 החודשים</t>
  </si>
  <si>
    <t xml:space="preserve">הנותרים 4%. </t>
  </si>
  <si>
    <t>א. מהי הריבית הנומינלית האפקטיבית לתקופת ההלוואה?</t>
  </si>
  <si>
    <t>ב. מהי האינפלציה בתקופה הרלוונטית?</t>
  </si>
  <si>
    <t>נדרש א</t>
  </si>
  <si>
    <t>את הריבית האפקטיבית ניתן לחשב על בסיס הנוסחה הממירה ריבית אפקטיבית מתקופה אחת לאחרת, קרי באמצעות</t>
  </si>
  <si>
    <t>מעריך חזקה מתאים בלבד, כך:</t>
  </si>
  <si>
    <t>גם האינפלציה מחושבת באופן דומה למדי לריבית אפקטיבית, על בסיס כפל בין הגורמים הרלוונטיים ותוך שימוש</t>
  </si>
  <si>
    <t>בחזקה אם קיים שיעור אינפלציה תקופתי ש״חוזר על עצמו״ מספר פעמים:</t>
  </si>
  <si>
    <t>נדרש ב</t>
  </si>
  <si>
    <t>נדרש ג</t>
  </si>
  <si>
    <t>כדי לחשב את הריבית הריאלית לכל התקופה, יש להתבסס על היחס בין 1 בתוספת שיעור התשואה הכולל הנומינלי</t>
  </si>
  <si>
    <t xml:space="preserve">לתקופה, לבין 1 ועוד שיעור האינפלציה לתקופה, כל זה - פחות אחת. </t>
  </si>
  <si>
    <t>נדרש ד</t>
  </si>
  <si>
    <t>כדי להמיר את שיעור התשואה הריאלי (הריבית הריאלית) מתקופה של 4 שנים ו-8 חודשים לתקופה של שנה,</t>
  </si>
  <si>
    <t xml:space="preserve">צריך להשתמש במעריך חזקה מתאים. </t>
  </si>
  <si>
    <t>שאלה 3 - הלוואה בריבית נומינלית ואינפלציה, משוואת פישר</t>
  </si>
  <si>
    <t>שאלה 2 - אג״ח צמודה יישום נוסף</t>
  </si>
  <si>
    <t xml:space="preserve">לפני 3 שנים הונפקה אג״ח לתקופה של 10 שנים. </t>
  </si>
  <si>
    <t xml:space="preserve">האג״ח בערך נקוב של 100 ש״ח, צמודה למדד ומשלמת קופונים בשיעור 7% לשנה, בסוף כל שנה. </t>
  </si>
  <si>
    <t xml:space="preserve">שיעור האינפלציה בשנה הראשונה היה 14% ובשנה השניה והשלישית 12% לשנה. </t>
  </si>
  <si>
    <t xml:space="preserve">הריבית הריאלית השנתית ל-7 השנים הקרובות היא 4%. </t>
  </si>
  <si>
    <t xml:space="preserve">ב. חשבו את שיעור האינפלציה כולל ל-3 השנים. </t>
  </si>
  <si>
    <t>ג. מהו מחיר האג״ח היום, מיד אחרי תשלום הקופון?</t>
  </si>
  <si>
    <t>ד. מהו מחיר האג״ח בסוף השנה ה-4 ולפני תשלום הקופון, אם ידוע שבשנה הריבית האינפלציה היתה 8%, וצפוי שהריבית</t>
  </si>
  <si>
    <t>הריאלית השנתית ב-6 השנים הקרובות תהיה 3%?</t>
  </si>
  <si>
    <t xml:space="preserve">קליל ביותר. מדובר בתזרים הצפוי, בהתעלמות טוטאלית מהשפעות הצמדה ואינפלציה. </t>
  </si>
  <si>
    <t>זמן</t>
  </si>
  <si>
    <t>תזרים</t>
  </si>
  <si>
    <t xml:space="preserve">א. הציגו את תזרים המזומנים הריאלי מהאג״ח לכל אורך חייה. </t>
  </si>
  <si>
    <t>טינדר שי</t>
  </si>
  <si>
    <t>חישוב ערך נוכחי של התזרימים:</t>
  </si>
  <si>
    <t>ריבית ריאלית עדכנית ערב התחשיב</t>
  </si>
  <si>
    <t>מספר התשלומים הקבועים שנותרו</t>
  </si>
  <si>
    <t>סכום הקופון לאחר התאמה לאינפלציה</t>
  </si>
  <si>
    <t>סכום הערך הנקוב לאחר התרמה לאינפלציה</t>
  </si>
  <si>
    <t>נדרש ד - מחיר אג״ח בחלוף 4 שנים</t>
  </si>
  <si>
    <t>בשונה מנדרש ג, שכלל התייחסות לסכומי תזרים הנשענים על הצמדה ל-3 שנים על בסיס נדרש ב, כאן צריך לחשב מחדש</t>
  </si>
  <si>
    <t>את האינפלציה הכוללת לכל 4 שנים על בסיס נתוני האינפלציה לשנה 4. כך נקבל:</t>
  </si>
  <si>
    <t>שאלה 4 - הסקת ריבית מנתוני עסקאות והצמדה</t>
  </si>
  <si>
    <t>במשק קוקי סאן ז׳אק מוצעות העסקאות הבאות:</t>
  </si>
  <si>
    <t>עסקה</t>
  </si>
  <si>
    <t>מכונת נקניק</t>
  </si>
  <si>
    <t>מחשב נייד</t>
  </si>
  <si>
    <t>בסיס הצמדה</t>
  </si>
  <si>
    <t>לא צמוד</t>
  </si>
  <si>
    <t>צמוד</t>
  </si>
  <si>
    <t>א. מהו שיעור הריבית הנומינלית ל-4 השנים הקרובות?</t>
  </si>
  <si>
    <t>ב. מהו שיעור האינפלציה הצפוי לכל 4 השנים הקרובות?</t>
  </si>
  <si>
    <t>ג. מהו קצב האינפלציה השנתי?</t>
  </si>
  <si>
    <t>ד. אם שיעור האינפלציה הצפוי בכל אחת מ-3 השנים הקרובות הוא 1%, מהו שיעור האינפלציה הצפוי בשנה ה-4?</t>
  </si>
  <si>
    <t>פתרון</t>
  </si>
  <si>
    <t>נדרש א - ריבית נומינלית</t>
  </si>
  <si>
    <t>הלוואה עבור</t>
  </si>
  <si>
    <t>הריבית הנומינלית תחולץ מנתוני עסקה נומינלית - לא צמודה. הואיל והתזרימים בתחילת ובתום התקופה ידועים</t>
  </si>
  <si>
    <t>ניתן להתבסס על היחס ביניהם לחילוץ הריבית האפקטיבית הנומינלית:</t>
  </si>
  <si>
    <t>נדרש ב - שיעור אינפלציה</t>
  </si>
  <si>
    <t>הפעם, נשתמש בנתוני התוכנית הצמודה.</t>
  </si>
  <si>
    <t>שלב 2: נשתמש במשוואת פישר על מנת לחלץ את האינפלציה לתקופה הרלוונטית:</t>
  </si>
  <si>
    <t>נדרש ג - תקנון שיעור האינפלציה לשנתי</t>
  </si>
  <si>
    <t>על פי נתוני נדרש ב ונוסחת המרת האינפלציה מתקופה לתקופה (דומה להמרת ריבית אפקטיבית מתקופה לתקופה)</t>
  </si>
  <si>
    <t>נתקנן את שיעור האינפלציה לשנתי</t>
  </si>
  <si>
    <t>מספר התזרימים - כל שנה, 8 שנים</t>
  </si>
  <si>
    <t>קופון תקופתי = ריבית קופון (5%) * ערך נקוב (100)</t>
  </si>
  <si>
    <t>התשובה: 114.04</t>
  </si>
  <si>
    <t>מה יהיה מחיר האג״ח בחלוף שנה, מיד לאחר תשלום הקופון הראשון, אם ידוע שהריבית הריאלית בשוק עודנה 3%</t>
  </si>
  <si>
    <t xml:space="preserve">תזכורת: אג״ח ל-8 שנים בסך הכל, בריבית נקובה 5%. </t>
  </si>
  <si>
    <t>מספר התזרימים שנותרו: לפי 8 בסה״כ, בניכוי 1 שבוצע</t>
  </si>
  <si>
    <t>קופון תקופתי לפי ריבית נקובה 5% כפול ערך נקוב 100</t>
  </si>
  <si>
    <t>לפני הצמדה</t>
  </si>
  <si>
    <t>שימו לב:</t>
  </si>
  <si>
    <t>בנדרש קודם - שדרש</t>
  </si>
  <si>
    <t>שווי אג״ח בהנפקה, ה-PV</t>
  </si>
  <si>
    <t>של התזרימים הבסיסיים</t>
  </si>
  <si>
    <t>היה השווי בהנפקה נקודה (כי אינפלציה</t>
  </si>
  <si>
    <t xml:space="preserve">טרם התרחשה ערב ההנפקה). </t>
  </si>
  <si>
    <t>לעומת זאת, בנדרש זה - חישוב ה - PV</t>
  </si>
  <si>
    <t>של *יתרת* התזרימים הבסיסיים</t>
  </si>
  <si>
    <t xml:space="preserve">היא השווי הריאלי (לפני הצמדה) </t>
  </si>
  <si>
    <t xml:space="preserve">בחלוף שנה, ולא השווי הסופי. </t>
  </si>
  <si>
    <t>שווי ריאלי *לפני הצמדה*</t>
  </si>
  <si>
    <r>
      <rPr>
        <u/>
        <sz val="12"/>
        <color theme="1"/>
        <rFont val="David"/>
        <family val="2"/>
        <charset val="177"/>
      </rPr>
      <t>בשלב ראשון</t>
    </r>
    <r>
      <rPr>
        <sz val="12"/>
        <color theme="1"/>
        <rFont val="David"/>
        <family val="2"/>
        <charset val="177"/>
      </rPr>
      <t>, נחשב בהתאם את מחיר האג״ח בחלוף שנה - במונחים ריאליים (״לפני הצמדה״) - תוך שינוי ה-N (לתזרימים שנותרו) והתעלמות מוחלטת מאלמנט</t>
    </r>
  </si>
  <si>
    <r>
      <rPr>
        <u/>
        <sz val="12"/>
        <color theme="1"/>
        <rFont val="David"/>
        <family val="2"/>
        <charset val="177"/>
      </rPr>
      <t>בשלב השני</t>
    </r>
    <r>
      <rPr>
        <sz val="12"/>
        <color theme="1"/>
        <rFont val="David"/>
        <family val="2"/>
        <charset val="177"/>
      </rPr>
      <t xml:space="preserve">, נצמיד את מחיר האג״ח למדד - בהתאם לאינפלציה בתקופה שחלפה (בשנה שחלפה - כנתון 2%). </t>
    </r>
  </si>
  <si>
    <t>הערך 𝜋 מסמל את שיעור</t>
  </si>
  <si>
    <r>
      <t xml:space="preserve">או </t>
    </r>
    <r>
      <rPr>
        <b/>
        <sz val="12"/>
        <color theme="1"/>
        <rFont val="David"/>
        <family val="2"/>
        <charset val="177"/>
      </rPr>
      <t>בשנים שחלפו</t>
    </r>
  </si>
  <si>
    <t>קרי אינפלציה כוללת</t>
  </si>
  <si>
    <t>לכל התקופה עד כה</t>
  </si>
  <si>
    <t>תשובה סופית:</t>
  </si>
  <si>
    <t>שווי אג״ח (כספית / נומינלי)</t>
  </si>
  <si>
    <t>בחלוף שנה מההנפקה</t>
  </si>
  <si>
    <t>תשובה: 114.71</t>
  </si>
  <si>
    <t>תזרים ריאלי</t>
  </si>
  <si>
    <t>התזרים הנומינלי / הכולל</t>
  </si>
  <si>
    <t>חושב על ידי מכפלה פשוטה של התזרים הריאלי</t>
  </si>
  <si>
    <t>7 * (1 + 43%) = 10</t>
  </si>
  <si>
    <t>107 * (1 + 43%) = 153</t>
  </si>
  <si>
    <r>
      <t xml:space="preserve">ריבית ריאלית עדכנית ערב התחשיב </t>
    </r>
    <r>
      <rPr>
        <b/>
        <u/>
        <sz val="12"/>
        <color theme="1"/>
        <rFont val="David"/>
        <family val="2"/>
        <charset val="177"/>
      </rPr>
      <t>נתון</t>
    </r>
    <r>
      <rPr>
        <sz val="12"/>
        <color theme="1"/>
        <rFont val="David"/>
        <family val="2"/>
        <charset val="177"/>
      </rPr>
      <t xml:space="preserve"> 4%</t>
    </r>
  </si>
  <si>
    <r>
      <t xml:space="preserve">הקופון לאחר התאמה לאינפלציה - </t>
    </r>
    <r>
      <rPr>
        <b/>
        <u/>
        <sz val="12"/>
        <color theme="1"/>
        <rFont val="David"/>
        <family val="2"/>
        <charset val="177"/>
      </rPr>
      <t>נומינלי</t>
    </r>
  </si>
  <si>
    <t xml:space="preserve">100 * (1 + 43%) = </t>
  </si>
  <si>
    <t>מחיר האג״ח אחרי 3 שנים</t>
  </si>
  <si>
    <t>א. חישוב PV של תזרימי אג״ח ריאליים, בהתעלם מהצמדות.</t>
  </si>
  <si>
    <t>ב. מכפלת ה-PV הריאלי באחת ועוד האינפלציה לתקופה הכוללת.</t>
  </si>
  <si>
    <r>
      <t xml:space="preserve">בשאלה </t>
    </r>
    <r>
      <rPr>
        <b/>
        <u/>
        <sz val="12"/>
        <color theme="1"/>
        <rFont val="David"/>
        <family val="2"/>
        <charset val="177"/>
      </rPr>
      <t>הקודמת</t>
    </r>
    <r>
      <rPr>
        <sz val="12"/>
        <color theme="1"/>
        <rFont val="David"/>
        <family val="2"/>
        <charset val="177"/>
      </rPr>
      <t xml:space="preserve"> אופן חישוב המחיר של אג״ח צמודה היה כדקלמן:</t>
    </r>
  </si>
  <si>
    <r>
      <t xml:space="preserve">בשאלה </t>
    </r>
    <r>
      <rPr>
        <b/>
        <u/>
        <sz val="12"/>
        <color theme="1"/>
        <rFont val="David"/>
        <family val="2"/>
        <charset val="177"/>
      </rPr>
      <t>הנוכחית</t>
    </r>
    <r>
      <rPr>
        <sz val="12"/>
        <color theme="1"/>
        <rFont val="David"/>
        <family val="2"/>
        <charset val="177"/>
      </rPr>
      <t>, אופן חישוב המחיר של אג״ח צמודה בוצע בדרך אחרת ושקולה:</t>
    </r>
  </si>
  <si>
    <t>א. מחשבים את תזרימי האג״ח הריאליים.</t>
  </si>
  <si>
    <t>ב. מצמידים את התזרימים הריאליים למדד (על ידי מכפלת כל תזרים ותזרים ב-1 ועוד אינפלציה לתקופה כוללת)</t>
  </si>
  <si>
    <r>
      <t xml:space="preserve">ג. מחשבים PV לתזרים </t>
    </r>
    <r>
      <rPr>
        <b/>
        <u/>
        <sz val="12"/>
        <color theme="1"/>
        <rFont val="David"/>
        <family val="2"/>
        <charset val="177"/>
      </rPr>
      <t>הצמוד</t>
    </r>
    <r>
      <rPr>
        <b/>
        <sz val="12"/>
        <color theme="1"/>
        <rFont val="David"/>
        <family val="2"/>
        <charset val="177"/>
      </rPr>
      <t xml:space="preserve"> והתוצאה המתקבלת היא למעשה שווי כולל. </t>
    </r>
  </si>
  <si>
    <r>
      <t xml:space="preserve">ד. מהו מחיר האג״ח בסוף השנה ה-4 </t>
    </r>
    <r>
      <rPr>
        <b/>
        <i/>
        <u/>
        <sz val="14"/>
        <color theme="1"/>
        <rFont val="David"/>
        <family val="2"/>
        <charset val="177"/>
      </rPr>
      <t>ולפני תשלום הקופון</t>
    </r>
    <r>
      <rPr>
        <i/>
        <sz val="12"/>
        <color theme="1"/>
        <rFont val="David"/>
        <family val="2"/>
        <charset val="177"/>
      </rPr>
      <t>, אם ידוע שבשנה הרביעית האינפלציה היתה 8%, וצפוי שהריבית</t>
    </r>
  </si>
  <si>
    <t>תזרים נומינלי  - אחרי הצמדה</t>
  </si>
  <si>
    <t>בסעיפים קודמים גילינו:</t>
  </si>
  <si>
    <t>סך אינפלציה שנים 1-3:</t>
  </si>
  <si>
    <t>אינפלציה שנה 4:</t>
  </si>
  <si>
    <t>סך אינפלציה שנים 1-4:</t>
  </si>
  <si>
    <t>ביישום:</t>
  </si>
  <si>
    <t xml:space="preserve">זכרו: ה-N הוא מספר תזרימי המזומנים ולא מספר התקופות. </t>
  </si>
  <si>
    <t xml:space="preserve">לכן, ה-N כאן שמייצג את התזרים הקרוב בזמן 4 בתוספת 6 תזרימים 5-10 הוא 7. </t>
  </si>
  <si>
    <t>שווי האג״ח כעת - לזמן 3:</t>
  </si>
  <si>
    <t>מדוע קיבלנו את שווי האג״ח לזמן 3?</t>
  </si>
  <si>
    <t>כי ערך נוכחי של סדרה, גם במחשבון וגם מתמטית, לוקח אותנו תמיד לנקודת הזמן שהיא ״אחת אחורה״ לפני התזרים הראשון בסדרה.</t>
  </si>
  <si>
    <t xml:space="preserve">אם התזרים הראשון שמהוון הוא בזמן 4, ללכת ״אחת אחורה״ אומר שהגענו לזמן 3. </t>
  </si>
  <si>
    <t>לכן, את התוצאה הזו צריך לתקן קדימה על ידי מכפלה ב-1 ועוד הריבית פעם אחת:</t>
  </si>
  <si>
    <t xml:space="preserve">192.93 * (1 + 3%) = </t>
  </si>
  <si>
    <t>(*)</t>
  </si>
  <si>
    <t>אפשר כחלופה לחישוב ערך שקופץ לזמן 3 + התאמתו לזמן 4,</t>
  </si>
  <si>
    <t xml:space="preserve">לבצע חישוב של 6 תזרימים בלבד (מזמן 5 עד וכולל זמן 10) ולהוסיף ״ידנית״ קופון חד פעמי בזמן 4. </t>
  </si>
  <si>
    <t>END</t>
  </si>
  <si>
    <t>הריבית חודשית, מעריך החזקה הוא מספר</t>
  </si>
  <si>
    <t>החודשים בתקופה המוגדרת - 4 שנים ו-8 חודשים</t>
  </si>
  <si>
    <t>שימו לב, אם נתונה ריבית חודשית ללא מידע נוסף, אין צורך לחלק או לכפול אותה אלא רק להמיר באמצעות חזקה.</t>
  </si>
  <si>
    <t>נתון: האינפלציה בכל אחת מ-3 השנים הראשונות היתה 7%, בשנה הרביעית 8% וב-8 החודשים</t>
  </si>
  <si>
    <t xml:space="preserve">תשובה </t>
  </si>
  <si>
    <t>ריבית נומינלית</t>
  </si>
  <si>
    <t>לכל התקופה</t>
  </si>
  <si>
    <t>אינפלציה</t>
  </si>
  <si>
    <t>משוואת פישר שיודעת לייצר קשרים בין ריבית ריאלית, נומינלית ואינפלציה:</t>
  </si>
  <si>
    <t>פיתוח המשוואה לצרכים של חילוץ ריבית ריאלית על בסיס נתוני ריבית נומינלית</t>
  </si>
  <si>
    <t>כוללת ואינפלציה כוללת:</t>
  </si>
  <si>
    <t>ריבית ריאלית לכל 4 השנים ו-8 החודשים:</t>
  </si>
  <si>
    <t>ריבית ריאלית</t>
  </si>
  <si>
    <t>תקנון ריביות (ריאליות ונומינליות) מתקופה ארוכה לקצרה מבצעים באמצעות מעריך מתאים (שבר):</t>
  </si>
  <si>
    <t>ריבית ריאלית במונחים שנתיים</t>
  </si>
  <si>
    <t xml:space="preserve">שלב 1: נחשב את הריבית הריאלית הכוללת לכל 4 השנים הקרובות באמצעות חישוב דומה לקודם. </t>
  </si>
  <si>
    <t>יחולץ בתור הערך המשלים את שיעור האינפלציה הנתון ביתר השנים לשיעור האינפלציה הכולל שמצאנו בנדרש ב</t>
  </si>
  <si>
    <t>של כלל תזרימי הפרויקט. הגודל המתקבל הוא ״נקי״ וסופי במובן זה שהוא משקף את כל השפעות הזמן, לרבות</t>
  </si>
  <si>
    <r>
      <rPr>
        <b/>
        <sz val="12"/>
        <color theme="1"/>
        <rFont val="David"/>
        <family val="2"/>
        <charset val="177"/>
      </rPr>
      <t>א. קריטריון הענ״נ - ערך נוכחי נקי - NPV - Net Present Value:</t>
    </r>
    <r>
      <rPr>
        <sz val="12"/>
        <color theme="1"/>
        <rFont val="David"/>
        <family val="2"/>
        <charset val="177"/>
      </rPr>
      <t xml:space="preserve"> מייצג את הערך הנוכחי הכספי הנקי (שווי להיום)</t>
    </r>
  </si>
  <si>
    <t>התזרימים החיוביים, השליליים ועיתויים. ככלל, פרויקט שהענ״נ שלו חיובי (NPV&gt;0) הוא כדאי; אך במצבים שבהם</t>
  </si>
  <si>
    <t xml:space="preserve">נדרש לבצע בחירה בין פרויקטים, ככלל, לפי קריטריון הענ״נ יועדף הפרויקט שענ״נו הוא הגבוה מביניהם. </t>
  </si>
  <si>
    <t>הממוצע על ההשקעה, באחוזים. פרויקט שה-IRR שלו 10% למשל, משמעו שהתשואה (״הריבית בפועל״ / התשואה</t>
  </si>
  <si>
    <t xml:space="preserve">בפועל) על הסכום שהושקע היא 10% לתקופה (לשנה בדרך כלל). </t>
  </si>
  <si>
    <t>קריטריון השת״פ בפני עצמו לא מעיד על כדאיות במובן זה, ששת״פ חיובי איננו מעיד על כדאיות פרויקט, הואיל</t>
  </si>
  <si>
    <t>וצריך גם להביא לידי ביטוי את התשואה הנדרשת - שנקראת מחיר ההון. בשפה פשוטה, כדי שפרויקט יהיה כדאי</t>
  </si>
  <si>
    <t>נדר שיתקיים IRR&gt;k ובעברית - שה-IRR גבוה יותר ממחיר ההון. בדרך כזו ניתן לומר שהפרויקט מניב תשואה</t>
  </si>
  <si>
    <t xml:space="preserve">עודפת למשקיעים (מעבר לנדרש). </t>
  </si>
  <si>
    <r>
      <rPr>
        <b/>
        <sz val="12"/>
        <color theme="1"/>
        <rFont val="David"/>
        <family val="2"/>
        <charset val="177"/>
      </rPr>
      <t>ב. קריטריון השת״פ - שיעור תשואה פנימי - IRR - Internal Rate of Return:</t>
    </r>
    <r>
      <rPr>
        <sz val="12"/>
        <color theme="1"/>
        <rFont val="David"/>
        <family val="2"/>
        <charset val="177"/>
      </rPr>
      <t xml:space="preserve"> מייצג את שיעור התשואה התקופתי</t>
    </r>
  </si>
  <si>
    <t>בחינת כדאיות פרויקטים (שלדידנו מתבטאים במבנה תזרימי נתון) מתבססת אצלנו על שני קריטריונים:</t>
  </si>
  <si>
    <t>שאלה 1 - בחירה בין פרויקטים המוציאים זה את זה, וסתירה בין ענ״נ לשת״פ הנובעת  מהשקעה שונה</t>
  </si>
  <si>
    <t xml:space="preserve">להלן תזרימי המזומנים הצפויים משני פרויקטים המוציאים זה את זה, אשר חברת ״רמי״ בע״מ יכולה להשקיע </t>
  </si>
  <si>
    <t xml:space="preserve">באחד מביניהם בלבד. </t>
  </si>
  <si>
    <t>פרויקט נקניק</t>
  </si>
  <si>
    <t>פרויקט מחשב</t>
  </si>
  <si>
    <t>סימון</t>
  </si>
  <si>
    <t>M</t>
  </si>
  <si>
    <t>השקעה</t>
  </si>
  <si>
    <t>שם פרויקט</t>
  </si>
  <si>
    <t>ג. איזה פרויקט יועדף לפי כל קריטריון?</t>
  </si>
  <si>
    <t>ד. מהי הסיבה להבדל בדירוג בין הקריטריונים בסעיף ג לעיל?</t>
  </si>
  <si>
    <t>ה. מהו הקריטריון הנכון כלכלית להכרעה בין הפרויקטים? מדוע?</t>
  </si>
  <si>
    <t xml:space="preserve">ו. שרטטו את גרף עקומי הענ״נ (NPV) של הפרויקטים כפונקציה של מחיר ההון (שיעור הריבית) וזהו את שיעור </t>
  </si>
  <si>
    <t xml:space="preserve">הריבית שבו העקומים נחתכים. </t>
  </si>
  <si>
    <t>נקניק חם</t>
  </si>
  <si>
    <t>נקניק קר</t>
  </si>
  <si>
    <t>NH</t>
  </si>
  <si>
    <t>NK</t>
  </si>
  <si>
    <t xml:space="preserve">נדרש: </t>
  </si>
  <si>
    <t>חברת ״טופ ג׳י״ יכולה להשקיע בפרויקטים הבאים:</t>
  </si>
  <si>
    <t>שאלה 2 - הצגה גרפית של עקום הענ״נ, חישוב שת״פ וטווח שערי ריבית לכדאיות</t>
  </si>
  <si>
    <t>ב. האם הפרויקטים כדאיים בשער ריבית של 5%.</t>
  </si>
  <si>
    <t xml:space="preserve">ג. שרטטו גרף NPV עבור הפרויקטים, בשערי ריבית שבין 0% ל-500%. </t>
  </si>
  <si>
    <t>שאלה 3 - מחיר הון המביא לאיזון בין חלופות</t>
  </si>
  <si>
    <t xml:space="preserve">בסכום של 600,000 ש״ח לתום כל שנה, לאינסוף. </t>
  </si>
  <si>
    <t>המטרה של בניית תזרימי מזומנים לתוכניות השקעה היא להתייחס להרכב התזרימי של פרויקטים - סוגי ההכנסות,</t>
  </si>
  <si>
    <t xml:space="preserve">או ה-NPV שלו, מוביל לשווי הפרויקט (ענ״נ). </t>
  </si>
  <si>
    <t>המבנה הכללי של תבנית העבודה הנו:</t>
  </si>
  <si>
    <t>סעיף</t>
  </si>
  <si>
    <t>מכירות / הכנסות עיקריות</t>
  </si>
  <si>
    <t>הוצאות תזרימיות שוטפות</t>
  </si>
  <si>
    <t>הוצאות פחת (לא תזרימי)</t>
  </si>
  <si>
    <t>רווח לפני מס</t>
  </si>
  <si>
    <t>מסים על ההכנסה</t>
  </si>
  <si>
    <t>התאמה - השקעות</t>
  </si>
  <si>
    <t>התאמה - החזר פחת</t>
  </si>
  <si>
    <t>סך תזרים נטו</t>
  </si>
  <si>
    <t>רווח נקי (ללא הוצ׳ מימון)</t>
  </si>
  <si>
    <t>עוקבות</t>
  </si>
  <si>
    <t>+</t>
  </si>
  <si>
    <t>(-)</t>
  </si>
  <si>
    <t>=</t>
  </si>
  <si>
    <t>שאלה 1</t>
  </si>
  <si>
    <t xml:space="preserve">חברת טופ ג׳י שוקלת לבצע פרויקט. להלן נתונים רלוונטיים: </t>
  </si>
  <si>
    <t>א. הפרויקט דורש השקעה במכונה לחימום נקניק שאורך חייה הכלכליים 4 שנים ועלותה 100,000 ש״ח.</t>
  </si>
  <si>
    <t xml:space="preserve">ב. ההכנסה השנתית מחימום הנקניק צפויה היות 80,000 ש״ח. </t>
  </si>
  <si>
    <t>ד. עלויות חיטוי המכונה צפויות להיות 10,000 ש״ח לשנה הראשונה, 12,000 ש״ח לשנה השניה, ובכל שנה עוקבת</t>
  </si>
  <si>
    <t xml:space="preserve">הן תגדלנה ב-4% (YOY). </t>
  </si>
  <si>
    <t xml:space="preserve">ו. מחיר ההון של החברה הנו 10% לשנה. </t>
  </si>
  <si>
    <t xml:space="preserve">ז. שיעור המס החל על החברה הוא 23%. </t>
  </si>
  <si>
    <t xml:space="preserve">א. בנו את תזרים הפרויקט וחשבו את ענ״נו (ה-NPV שלו). </t>
  </si>
  <si>
    <t xml:space="preserve">ב. הניחו כעת שהחברה יכולה לקבל סכום חד פעמי פטור ממס לטובת מכירת הפרויקט בתום השנה השניה שלו. </t>
  </si>
  <si>
    <t>שאלה 2</t>
  </si>
  <si>
    <t>חברת גריזלדה בכפר שוקלת לבצע פרויקט. להלן נתונים רלוונטיים:</t>
  </si>
  <si>
    <t xml:space="preserve">א. הפרויקט דורש השקעה במכונה לחימום נקניק בסך 300,000 ש״ח המופחתת על פני 5 שנים. </t>
  </si>
  <si>
    <t xml:space="preserve">ג. הרווח השנתי (לפני פחת ומימון) הוא 90,000 ש״ח. </t>
  </si>
  <si>
    <t xml:space="preserve">ד. משך הפרויקט 6 שנים. </t>
  </si>
  <si>
    <t xml:space="preserve">ה. שיעור המס החל על החברה הוא 23%. </t>
  </si>
  <si>
    <t>ו. מחיר ההון של החברה הוא 12% לשנה.</t>
  </si>
  <si>
    <t>נדרש: האם הפרויקט כדאי?</t>
  </si>
  <si>
    <t>שאלה 3</t>
  </si>
  <si>
    <t>חברת צ׳וריסוס שוקלת להשקיע 100,000 ש״ח בציוד חדש לחימום נקניק.</t>
  </si>
  <si>
    <t>להלן פרטים רלוונטיים:</t>
  </si>
  <si>
    <t xml:space="preserve">ב. בתום השנה ה-4 הציוד צפוי להמכר תמורת 20,000 ש״ח. </t>
  </si>
  <si>
    <t xml:space="preserve">ג. הפחת הוא בשיטת הקו הישר על פני 4 שנים. </t>
  </si>
  <si>
    <t xml:space="preserve">ד. שיעור מס החברות 23%. </t>
  </si>
  <si>
    <t xml:space="preserve">א. הציוד יופעל במשך 4 שנים ויוביל להכנסות בסך של 60,000 ש״ח לשנה. </t>
  </si>
  <si>
    <t>התאמה - מכר השקעה</t>
  </si>
  <si>
    <t xml:space="preserve">נדרש: האם ההשקעה כדאית? בססו תשובתכם על חישוב רלוונטי. </t>
  </si>
  <si>
    <t xml:space="preserve">חברת ״יעלים״ מחזיקה במכונה ענקית לחימום נקניק המניבה תזרים שנתי נקי נטו בסוף כל שנה בסך 400,000 ש״ח, </t>
  </si>
  <si>
    <t xml:space="preserve">לאינסוף. </t>
  </si>
  <si>
    <t>נדרש: מהו מחיר ההון המוביל לאיזון / אדישות בין החלופות?</t>
  </si>
  <si>
    <t>ידוע שהשקעה בסכום של 2,000,000 ש״ח בשיפור קצב חימום הנקניק, ההכנסות תפסקנה אך תתחדשנה בעוד שנתיים</t>
  </si>
  <si>
    <t xml:space="preserve">הדרכה: יש להציג את תזרימי המזומנים ולבטא מתמטית את הערך הנוכחי של המצב הקיים ושל המצב המוצע, </t>
  </si>
  <si>
    <t>ולהשוות בין הערכים. הפתרון המתקבל יבוצע מתמטית, אבל בהינתן שהבחינה רבת - ברירה, אפשר להציב את הערכים</t>
  </si>
  <si>
    <t xml:space="preserve">הרלוונטיים אם החילוץ ארוך ומעייף עבורכם. </t>
  </si>
  <si>
    <t xml:space="preserve">ד. מהו תחום שערי הריבית בו כדאי כל פרויקט (בנפרד). </t>
  </si>
  <si>
    <t>פתרון סעיף א</t>
  </si>
  <si>
    <t>כאשר משך הפרויקט בשנים לא ידוע, הנחה לגיטימית מאד היא לטעון שמשך הפרויקט זהה לאורך החיים</t>
  </si>
  <si>
    <t>הכלכליים (תקופת השימוש הצפויה) בנכס ההשקעה המשרת את הפרויקט.</t>
  </si>
  <si>
    <t xml:space="preserve">בשפה פשוטה: כאן מכונת הנקניק בעלת אורך חיים כלכלי נתון של 4 שנים, לכן הטבלה ל-4 שנים.  </t>
  </si>
  <si>
    <t>הוצאות תזרימיות שוטפות - ניקוי וחיטוי</t>
  </si>
  <si>
    <t xml:space="preserve">ה. הפחת על מכונת חימום הנקניק מחושב לפי שיטת הקו הישר על פני שנתיים. </t>
  </si>
  <si>
    <t>מסים על ההכנסה - לפי 23% נתון ז</t>
  </si>
  <si>
    <t>רווח ללא מימון - רווח לפני מס בניכוי מס</t>
  </si>
  <si>
    <t>ברגע שביטאנו את התזרים השנתי נטו, עלינו לחשב את ערכו הנוכחי המצרפי (NPV) בהתחשב במחיר</t>
  </si>
  <si>
    <t xml:space="preserve">ההון, והתוצאה שתתקבל היא למעשה שווי הפרויקט. </t>
  </si>
  <si>
    <t>ניתן לחשב מתמטית או מחשבונית. נציג גם וגם. על פי נתון ו, מחיר ההון 10% לשנה.</t>
  </si>
  <si>
    <t>Cash</t>
  </si>
  <si>
    <t>מחיר ההון בשאלה</t>
  </si>
  <si>
    <t>Csh.Deditor &gt;&gt;&gt; EXE &gt;&gt;&gt;</t>
  </si>
  <si>
    <t>Solve NPV =</t>
  </si>
  <si>
    <t xml:space="preserve">הפרויקט כדאי - מדובר בפרויקט בודד שה-NPV שלו חיובי. </t>
  </si>
  <si>
    <t>פתרון סעיף ב - יש להניח שניתן למכור את הפרויקט בתום השנה ה-2, בפטור ממס</t>
  </si>
  <si>
    <t>במחשבון הפיננסי, אינדקס זמן ״1״ הוא למעשה זמן 0, אינדקס זמן ״2״ הוא למעשה זמן 1 וכן הלאה.</t>
  </si>
  <si>
    <t>אם אני נמצא בתום השנה ה-2, מועד זה הוא זמן ״0״ שלי, ובמועד זה לא צפוי תזרים או השקעה.</t>
  </si>
  <si>
    <t xml:space="preserve">רק בשנים העוקבות, 3 ו-4, שהן בתום שנה ובתום שנתיים מהיום, צפויים תזרימים. </t>
  </si>
  <si>
    <t>עודד: ד״ר צבאן, אם היה נתון שהמטרה היא לתמחר את הפרויקט רגע לפני קבלת תזרים המזומנים הספציפי</t>
  </si>
  <si>
    <t xml:space="preserve">של תום השנה ה-2, אזי כן היה צריך להזין ערך כמותי באינדקס ״1״. </t>
  </si>
  <si>
    <t>הסכום שיידרש כדי למכור את הפרויקט</t>
  </si>
  <si>
    <t xml:space="preserve">הוצאות תזרימיות שוטפות </t>
  </si>
  <si>
    <t>התאמה - השקעות - בקרקע</t>
  </si>
  <si>
    <r>
      <t xml:space="preserve">הוצאות </t>
    </r>
    <r>
      <rPr>
        <sz val="12"/>
        <color rgb="FFFF0000"/>
        <rFont val="David"/>
        <family val="2"/>
        <charset val="177"/>
      </rPr>
      <t>פחת</t>
    </r>
    <r>
      <rPr>
        <sz val="12"/>
        <color theme="1"/>
        <rFont val="David"/>
        <family val="2"/>
        <charset val="177"/>
      </rPr>
      <t xml:space="preserve"> (לא תזרימי)</t>
    </r>
  </si>
  <si>
    <t>מסים על ההכנסה לפי 23%</t>
  </si>
  <si>
    <t>רווח ללא מימון = רווח לפני מס בניכוי מס</t>
  </si>
  <si>
    <t xml:space="preserve">ידוע שמחיר ההון של החברה (ריבית להיוון, %I) הוא 12% לשנה. בהתאם, נחשב את שווי הפרויקט. </t>
  </si>
  <si>
    <t>Csh. DEditor  &gt;&gt;&gt;&gt;&gt;&gt;&gt;&gt;&gt;&gt;&gt;&gt;&gt;&gt;&gt;</t>
  </si>
  <si>
    <t>&lt;&lt;&lt; ESC &lt;&lt;&lt;</t>
  </si>
  <si>
    <t>התאמה - מכר השקעה (*)</t>
  </si>
  <si>
    <t xml:space="preserve">כאשר מבוצעת מכירה של פריט רכוש קבוע (השקעה), ייתכן שייווצר רווח / הפסד הון. </t>
  </si>
  <si>
    <t>רווח / הפסד זה מוגדר בתור ההפרש שבין תמורת המכירה הצפויה לבין העלות המופחתת (עלות</t>
  </si>
  <si>
    <t xml:space="preserve">בניכוי הפחת הנצבר) ערב המכירה. </t>
  </si>
  <si>
    <t>רווח / הפסד זה - ימוסה, ולכן יש לחשב אותו לצד ההשפעה התזרימית ברוטו של המכירה.</t>
  </si>
  <si>
    <t>חישוב העלות המופחתת:</t>
  </si>
  <si>
    <t>פחת נצבר (4 שנים)</t>
  </si>
  <si>
    <t xml:space="preserve">25,000 * 4 = </t>
  </si>
  <si>
    <t>עלות הפריט</t>
  </si>
  <si>
    <t>עלות מופחתת לצורך מס</t>
  </si>
  <si>
    <t>חישוב רווח הון / הפסד הון לפי ההפרש בין תמורת המכירה הצפויה לבין העלות המופחתת ערב המכירה:</t>
  </si>
  <si>
    <t>תמורת המכירה - נתונה</t>
  </si>
  <si>
    <t>עלות מופחתת ערב המכירה</t>
  </si>
  <si>
    <t>רווח הון - הפרש חיובי</t>
  </si>
  <si>
    <t>שיעור המס על רווח ההון</t>
  </si>
  <si>
    <t>מס רווח ההון</t>
  </si>
  <si>
    <t xml:space="preserve">20,000 * 23% = </t>
  </si>
  <si>
    <t>תזרים נטו במכירה:</t>
  </si>
  <si>
    <t xml:space="preserve">20,000 - 4,600 = </t>
  </si>
  <si>
    <t xml:space="preserve">I% </t>
  </si>
  <si>
    <t>Csh. D. Editor</t>
  </si>
  <si>
    <t xml:space="preserve">ענ״נ חיובי - פרויקט כדאי. </t>
  </si>
  <si>
    <t xml:space="preserve">כדי לחשב את השת״פ, אפשר לפעול ב-2 דרכים. </t>
  </si>
  <si>
    <t xml:space="preserve">הדרך האחת היא לייצר פתרון מתמטי שמבוסס על משוואה מעריכית. </t>
  </si>
  <si>
    <t>הדרך האחרת היא להשתמש במחשבון הפיננסי, ובמקרה הזה, By FAR, היא הדרך המומלצת פרקטית והיא זו שתכלל</t>
  </si>
  <si>
    <t xml:space="preserve">בתדריך (הדרך המתמטית תוצג בפתרון המרצה לתרגיל המקביל במידת הצורך למעוניינים בכך). </t>
  </si>
  <si>
    <t>כל מה שצריך לעשות כדי לחלץ IRR במחשבון פיננסי זה להזין את תזרימי המזומנים ב-CASH לפי הסדר ולבצע</t>
  </si>
  <si>
    <t xml:space="preserve">את ה-SOLVE על שורת ה-IRR. לתשומת לבכם, כי ה-SOLVE על IRR שונה מחילוץ ריבית ב-CMPD שדורש </t>
  </si>
  <si>
    <t>את ה-SOLVE על %I. במלים אחרות, כשעוסקים בפרויקטים וב-CASH, ה-%I הוא לעולם לא ערך מחולץ.</t>
  </si>
  <si>
    <t xml:space="preserve">צריך לחשב את מחיר ההון (אך בכך איננו עוסקים בסעיף זה). </t>
  </si>
  <si>
    <t>א. חשבו את שיעור התשואה הפנימי (השת״פ) של כל פרויקט - IRR</t>
  </si>
  <si>
    <t xml:space="preserve">דגש נוסף שאוכל לתת לכם הוא, שאין כל צורך בהזנת מחיר ההון כדי לחשב IRR. לעומת זאת, כדי לחשב NPV, כן </t>
  </si>
  <si>
    <t>קדימה לעבודה:</t>
  </si>
  <si>
    <t>לא רלוונטי ואין צורך להזינו בחישובי IRR. אפשר להזין אפס אם תרצו, זה לא משנה</t>
  </si>
  <si>
    <t>CSh. D. Editor</t>
  </si>
  <si>
    <t>נקניק</t>
  </si>
  <si>
    <t>מחשב</t>
  </si>
  <si>
    <t>כמובן שלא הזנו את שתי הטבלאות יחד... הזנו רק את תזרימי נקניק, וביצענו SOLVE של IRR.</t>
  </si>
  <si>
    <t xml:space="preserve">נכנסנו שוב ל-D. Editor, הזנו את תזרימי מחשב, וביצענו SOLVE של IRR. </t>
  </si>
  <si>
    <t>IRR נקניק</t>
  </si>
  <si>
    <t>IRR מחשב</t>
  </si>
  <si>
    <t>התשובות לנדרש א:</t>
  </si>
  <si>
    <t xml:space="preserve">תשומת לבכם לכך, שכדי לחשב NPV, חובה להזין את מחיר ההון (בשונה מה-IRR שאיננו רגיש להזנת מחיר ההון או </t>
  </si>
  <si>
    <t xml:space="preserve">היעדרו). </t>
  </si>
  <si>
    <t>גם הפעם, נתמקד בפתרון מחשבוני. את הפתרון הנוסחאתי (שיוביל לתוצאות זהות כמובן) תוכלו לראות בפתרון התרגיל</t>
  </si>
  <si>
    <t xml:space="preserve">מטעם הפרופסור (אם יהיו אי התאמות כלשהן, דברו איתי). </t>
  </si>
  <si>
    <t>NPV נקניק</t>
  </si>
  <si>
    <t>NPV מחשב</t>
  </si>
  <si>
    <r>
      <t xml:space="preserve">ב. חשבו את הערך הנוכחי הנקי (NPV) של כל פרויקט, </t>
    </r>
    <r>
      <rPr>
        <b/>
        <sz val="12"/>
        <color theme="1"/>
        <rFont val="David"/>
        <family val="2"/>
        <charset val="177"/>
      </rPr>
      <t xml:space="preserve">בהנחה שמחיר ההון של החברה 6%. </t>
    </r>
  </si>
  <si>
    <t>התשובות לנדרש ב:</t>
  </si>
  <si>
    <t xml:space="preserve">ב. חשבו את הערך הנוכחי הנקי (NPV) של כל פרויקט, בהנחה שמחיר ההון של החברה 6%. </t>
  </si>
  <si>
    <t>ריכוז הממצאים:</t>
  </si>
  <si>
    <t>NPV</t>
  </si>
  <si>
    <t>IRR</t>
  </si>
  <si>
    <t>פרויקט מועדף לפי הקריטריון</t>
  </si>
  <si>
    <t>שת״פ מירבי</t>
  </si>
  <si>
    <t>ענ״נ מירבי</t>
  </si>
  <si>
    <t>קריטריון</t>
  </si>
  <si>
    <t>הסיבה להבדל בדירוגים היא גודל השקעה שונה. פרויקט נקניק מניב תשואה גבוהה יותר באחוזים, על השקעה כספית</t>
  </si>
  <si>
    <t>נמוכה הרבה יותר - מה שמתרגם במקרה זה לערך כספי (ענ״נ) נמוך משמעותית.</t>
  </si>
  <si>
    <t>מטרת הפירמה היא להשיא ערך כספי לבעלים. הדבר מתאפשר על ידי מיקסום ענ״נ, NPV. לכן הקריטריון הנכון כלכלית</t>
  </si>
  <si>
    <t xml:space="preserve">להכרעה בין הפרויקטים הוא ה-NPV ובמקרה זה יש להעדיף מחשב על נקניק. </t>
  </si>
  <si>
    <t xml:space="preserve">את הפתרון המתמטי הנגזר מהשוואת משוואת הענ״נ תוכלו לבצע בעצמכם ו/או על בסיס הפתרון שיוצג בהמשך. </t>
  </si>
  <si>
    <t>אני אציג לכם טריק טכני, כדלקמן:</t>
  </si>
  <si>
    <t>א. חשבו את הפרויקט ההפרשי - כלומר, קחו את הפרויקט בעל ההשקעה הגבוהה והתזרימים הגבוהים, והחסירו</t>
  </si>
  <si>
    <t>מתזרימיו את התזרימים של הפרויקט הקטן, בעל ההשקעה הקטנה והתזרימים הנמוכים. הזינו אותם ב-CASH.</t>
  </si>
  <si>
    <t>ב. חלצו IRR לתזרימי הפרויקט ההפרשי.</t>
  </si>
  <si>
    <t xml:space="preserve">ג. התוצאה שתתקבל היא נקודת החיתוך בין עקומי הענ״נ של הפרויקט. </t>
  </si>
  <si>
    <t>הפרשי-מחשב</t>
  </si>
  <si>
    <t>פחות נקניק</t>
  </si>
  <si>
    <t>IRR הפרשי</t>
  </si>
  <si>
    <t>כלומר עקומי הענ״נ משתווים במחיר הון של 8.51%. המתמטיקאים מביניכים יכולים לחשב את ה-NPV</t>
  </si>
  <si>
    <t>לכל פרויקט בנפרד במחיר הון זה בדרך הנוחה עליהם ולהיווכח שמגיעים לאותה התוצאה.</t>
  </si>
  <si>
    <t>על התזרימים הללו אפעיל חילוץ של ה-IRR:</t>
  </si>
  <si>
    <t>תזרים שנתי
בשנים 1-7</t>
  </si>
  <si>
    <t>חשוב חשוב חשוב: בשונה מהשאלה הקודמת, שבה הפרויקטים היו פשוטים / קונבנציונליים - כאלו שכוללים תזרים</t>
  </si>
  <si>
    <t>חיובי בזמן אפס, ולאחר מכן סדרה של תזרימים חיוביים, כאן, לצערנו הרב, פרויקט נקניק קר הוא ״לא קונבנציונלי״</t>
  </si>
  <si>
    <t xml:space="preserve">ואיך יודעים זאת? על בסיס העובדה שהוא מתחיל בתזרים שלילי (עד פה בסדר), הופך לחיובי (עד פה גם בסדר) אבל </t>
  </si>
  <si>
    <t>אז שוב חוזר לשלילי.</t>
  </si>
  <si>
    <t>מצב כזה, שבו מזהים פרויקט שתזרימי המזומנים שלו הופכים סימן יותר מפעם אחת, הוא פרויקט שבו לא ניתן</t>
  </si>
  <si>
    <t xml:space="preserve">לחשב את השת״פ באמצעות מחשבון פיננסי, שכן - במצבים כאלו מתמטית ייוצרו בדרך כלל כמה שת״פים. </t>
  </si>
  <si>
    <t>הנחמה היא שבמצבים כאלו גם לא תקבלו בדרך כלל פרויקטים ארוכים כדי שהיישום המתמטי של חילוץ השת״פ</t>
  </si>
  <si>
    <t xml:space="preserve">לא יהיה מטורף. </t>
  </si>
  <si>
    <t>הואיל ובפתרון לשאלה קודמת בכלל לא הצגנו חישוב מתמטי של שת״פ, נשתמש בעובדה שכאן אי אפשר לפתור</t>
  </si>
  <si>
    <t>הכל עם מחשבון פיננסי, ונחשב את השת״פ ידנית / מתמטית גם לפרויקט נקניק חם (למרות היותו קונבציונלי ובהתאם</t>
  </si>
  <si>
    <t>היכולת לחלץ את השת״פ - IRR שלו במחשבון) וגם לפרויקט נקניק קר. כדלקמן:</t>
  </si>
  <si>
    <t>חילוץ שת״פ נקניק קר:</t>
  </si>
  <si>
    <t>חילוץ שת״פ נקניק חם:</t>
  </si>
  <si>
    <t xml:space="preserve">הסבר: בונים את משוואת הערך הנוכחי, מציבים בה את מחיר ההון כנעלם (IRR), ומשווים הכל ל-0. </t>
  </si>
  <si>
    <t>הערה: המתמטיקאים מבינכם יכולים לטעון שיש פה שני פתרונות, אבל לגמרי אפשר לשלול פתרונות שליליים</t>
  </si>
  <si>
    <t>ולכן יש פתרון אחד תקין, שלגמרי אפשר להגיע אליו גם באמצעו שימוש ב-CASH וכלי ה-IRR במחשבון</t>
  </si>
  <si>
    <t>הפיננסי, שיניב תוצאה זהה.</t>
  </si>
  <si>
    <t>לצערי מטעמי קוצר יריעה אינני יכול להציג רענון לאופן פתרון מלא של משוואות אלו, אבל הנחמה היא שבדרך</t>
  </si>
  <si>
    <t>כלל סוגיות הקשורות לאיורים וחילוצים מורכבים אינן במשקל עצום בבחינה, לכן שווה למי שאין לו רקע</t>
  </si>
  <si>
    <t xml:space="preserve">מתמטי וקצת נבהל מזה, לחזור לנושא אחרי השלמה של יתר הנושאים המרכזיים יותר. </t>
  </si>
  <si>
    <t xml:space="preserve">מה שכן חשוב להבין זה את קיומם של שני שת״פים לאור אי הקונבנציונליות של הפרויקט. </t>
  </si>
  <si>
    <t>עבור מחיר הון של 5% פרויקט נקניק חם כדאי, ופרויקט נקניק קר לא כדאי. כדי לראות זאת, קחו את תזרימי המזומנים</t>
  </si>
  <si>
    <t>של הפרויקטים ופשוט חשבו NPV של כל פרויקט וגלו את ה-NPV החיובי של נקניק חם ואת השלילי של נקניק קר.</t>
  </si>
  <si>
    <t>נקניק חם כדאי ממחיר הון 0 עד מחיר הון 10.9%.</t>
  </si>
  <si>
    <t>נקניק קר כדאי ממחיר הון 38.2% עד מחיר הון 261.8%.</t>
  </si>
  <si>
    <t>עם השקעה נוספת</t>
  </si>
  <si>
    <t>ללא השקעה נוספת</t>
  </si>
  <si>
    <t>פרויקט</t>
  </si>
  <si>
    <t>מזמן 2 צפונה</t>
  </si>
  <si>
    <t>זמן 0</t>
  </si>
  <si>
    <t>זמן 1</t>
  </si>
  <si>
    <t>ביטוי השוואה בין משוואת הענ״נ של הפרויקטים:</t>
  </si>
  <si>
    <t>בנוסף, אל תשכחו שהמבחן אמריקאי; אם כבר הגעתם למשוואה, לפעמים אפשר פשוט להציב בה את התוצאות</t>
  </si>
  <si>
    <t>האפשריות במסיחי התשובה ולראות מתי היא מתקיימת.</t>
  </si>
  <si>
    <t xml:space="preserve">מחיר ההון המוביל לאיזון בין החלופות הוא 7.8%. </t>
  </si>
  <si>
    <t>הסבר נוסף: הענ״נ עם ההשקעה הנוספת צריך לבטא את העובדה שכאשר אני משתמש בערך נוכחי של סדרה אינסופית</t>
  </si>
  <si>
    <t>לשם חישוב השווי של 600,000 מזמן 2 צפונה, אני בהגדרה קופץ ״אחת אחורה״ כלומר לזמן 1. ביטוי זה יש לתקנן</t>
  </si>
  <si>
    <t xml:space="preserve">שנה נוספת לאחור ולכן המכנה הנוסף במחובר השני באגף שמאל. </t>
  </si>
  <si>
    <t>פתרונות נבחרים מורחבים למבחן לדוגמא מס׳ 4</t>
  </si>
  <si>
    <t xml:space="preserve">השאלה עוסקת בבחירה בין חלופות בהתבסס על שיעורי ריבית נתונים. </t>
  </si>
  <si>
    <t xml:space="preserve">אין נתונים בדבר תזרימי מזומנים, תשלומים, תקבולים וכיו״ב. </t>
  </si>
  <si>
    <t xml:space="preserve">זה אומר שאין מה לנסות לדרג את החלופות בכלים של ערך נוכחי (PV). </t>
  </si>
  <si>
    <t>וכמובן שאם כך, נרצה לבחון את הריבית האפקטיבית בכל חלופה, ולפיה לדרג.</t>
  </si>
  <si>
    <t>נשים לב - ככלל, בהלוואות, השאיפה של הלווה היא לחלופה שבה הריבית האפקטיבית היא הנמוכה ביותר.</t>
  </si>
  <si>
    <r>
      <t xml:space="preserve">יחד עם זאת, למרות שכאן ציינו הלוואה - הבקשה היתה להכריע בדבר החלופה הטובה ביותר </t>
    </r>
    <r>
      <rPr>
        <b/>
        <sz val="12"/>
        <color theme="1"/>
        <rFont val="David"/>
        <family val="2"/>
        <charset val="177"/>
      </rPr>
      <t>לבנק</t>
    </r>
    <r>
      <rPr>
        <sz val="12"/>
        <color theme="1"/>
        <rFont val="David"/>
        <family val="2"/>
        <charset val="177"/>
      </rPr>
      <t xml:space="preserve"> (למלווה). </t>
    </r>
  </si>
  <si>
    <t>וכמובן שהוא ישאף לריבית האפקטיבית הגבוהה ביותר.</t>
  </si>
  <si>
    <t xml:space="preserve">בקצרה: דירוג מבוסס שיעורי ריבית === ריבית אפקטיבית === גבוהה למלווה / למשקיע (נמוכה ללווה). </t>
  </si>
  <si>
    <t>חלופה 1 - ריבית נתונה המחושבת ״מספר פעמים״ (מחושבת כל....) - ריבית דריבית</t>
  </si>
  <si>
    <t>ריבית 20% [לשנה = ברירת מחדל], המחושבת כל רבעון</t>
  </si>
  <si>
    <t>חלופה 2 - ריבית נתונה המחושבת ״מספר פעמים״ (מחושבת כל....) - ריבית דריבית</t>
  </si>
  <si>
    <t>ריבית של 19% [לשנה = ברירת מחדל], המחושבת כל חודש</t>
  </si>
  <si>
    <t>חלופה 3 - ריבית נתונה, נקודה</t>
  </si>
  <si>
    <t>כאשר נתונה ריבית מסוימת, ללא ציון ״מחושבת כל״ / ״מראש״ - הריבית היא כבר אפקטיבית, ואין צורך לתאם</t>
  </si>
  <si>
    <t>אותה. כברירת מחדל - אפקטיבית שנתית.</t>
  </si>
  <si>
    <t>חלופה 4 - ריבית מראש</t>
  </si>
  <si>
    <t>כאשר נתונה ריבית המחושבת מראש, הדגש המרכזי הוא שהיא למעשה מנכה סכום מקרן ההלוואה (במכנה)</t>
  </si>
  <si>
    <t>ולא מתווספת להחזר בתום התקופה. אם הריבית מראש נטולת ״עיוותים״ (לא ״מחושבת כל״...):</t>
  </si>
  <si>
    <t>הדרישה בשאלה היא למסלול העדיף למלווה (לבנק) כלומר מסלול הריבית האפקטיבית המירבית - חלופה 4.</t>
  </si>
  <si>
    <t>FV(Total)</t>
  </si>
  <si>
    <t>FV = PV(-)</t>
  </si>
  <si>
    <t>חודש</t>
  </si>
  <si>
    <t>pmt = -500</t>
  </si>
  <si>
    <t>pmt = -300</t>
  </si>
  <si>
    <t>n = 24</t>
  </si>
  <si>
    <t>n = 12</t>
  </si>
  <si>
    <t>I% = 1.25</t>
  </si>
  <si>
    <t>בסדרות: תמיד נרצה ריבית לתקופת תשלום,</t>
  </si>
  <si>
    <r>
      <rPr>
        <b/>
        <sz val="12"/>
        <color theme="1"/>
        <rFont val="David"/>
        <family val="2"/>
        <charset val="177"/>
      </rPr>
      <t>ולא</t>
    </r>
    <r>
      <rPr>
        <sz val="12"/>
        <color theme="1"/>
        <rFont val="David"/>
        <family val="2"/>
        <charset val="177"/>
      </rPr>
      <t xml:space="preserve"> את הריבית לתקופת העסקה / הסדרה.</t>
    </r>
  </si>
  <si>
    <t>תהליך העבודה כאשר מזהים צורך לחשב ערך עתידי הנובע ממספר סדרות:</t>
  </si>
  <si>
    <t xml:space="preserve">מתחילים מהסדרה המוקדמת ביותר ומחשבים לה FV. </t>
  </si>
  <si>
    <t xml:space="preserve">מזינים את כל ערכי הסדרה העוקבת, ובנוסף כוללים ב - PV את ה - FV של השלב הקודם בסימן הפוך. </t>
  </si>
  <si>
    <t>סדרה 2</t>
  </si>
  <si>
    <t>סדרה 1</t>
  </si>
  <si>
    <t>יתרת החסכון בתום השנה ה-3 (לתום הסדרה ה-2)</t>
  </si>
  <si>
    <t>היא:</t>
  </si>
  <si>
    <t>ש״ח.</t>
  </si>
  <si>
    <t xml:space="preserve">תשובה א. </t>
  </si>
  <si>
    <t>שלב 2: התאמה</t>
  </si>
  <si>
    <t>PV = ?</t>
  </si>
  <si>
    <t>pmt = 15,000</t>
  </si>
  <si>
    <t>שלב 1</t>
  </si>
  <si>
    <t>n = Ensof</t>
  </si>
  <si>
    <t>ערך נוכחי של סדרה מקפיץ תמיד אוטומטית</t>
  </si>
  <si>
    <t>תדירות: חצי שנתית</t>
  </si>
  <si>
    <t>תקופת תשלום אחת אחורה ביחס לתחילת הסדרה:</t>
  </si>
  <si>
    <t>I% = 3</t>
  </si>
  <si>
    <t>חצי שנה לפני זמן 2: זמן 1.5</t>
  </si>
  <si>
    <t>התאמת הריבית משנתית אפקטיבית (נתון)</t>
  </si>
  <si>
    <t>לחצי שנתית אפקטיבית (הנדרש, לאור תדירות התשלומים)</t>
  </si>
  <si>
    <t>הואיל והריבית הנתונה אפקטיבית (ולא נקובה המחושבת כל...)</t>
  </si>
  <si>
    <t>אין לחלק את הריבית או לכפול אותה, אלא לתאם את תקופתה</t>
  </si>
  <si>
    <t>באמצעות מעריך מתאים.</t>
  </si>
  <si>
    <t>חישוב ערך נוכחי PV של סדרה אינסופית, קל במיוחד לחשב באמצעות נוסחה מתמטית:</t>
  </si>
  <si>
    <t>בהצבה:</t>
  </si>
  <si>
    <t>את החישוב של הערך הנוכחי מזמן 1.5 לזמן 0 נבצע כך:</t>
  </si>
  <si>
    <t>התאמת סדרה</t>
  </si>
  <si>
    <t>שנתי</t>
  </si>
  <si>
    <t>הערך הנוכחי הסופי (הפקדה בזמן 0)</t>
  </si>
  <si>
    <t>הערך שנצבר לזמן 1.5 (עתידי)</t>
  </si>
  <si>
    <t>התשובה א.</t>
  </si>
  <si>
    <t xml:space="preserve">ביצוע שני השלבים במחשבון פיננסי בלבד: </t>
  </si>
  <si>
    <t>חייבים לעבוד ״מהסוף להתחלה״ - קודם על הסדרה ואז על התאמתה לאחור.</t>
  </si>
  <si>
    <t xml:space="preserve">Solve </t>
  </si>
  <si>
    <t>שאלה 4</t>
  </si>
  <si>
    <t>לכאורה השאלה מורכבת, הצמדות, עניינים, ערך ריאלי.</t>
  </si>
  <si>
    <t>אבל התהליך שלמדנו ויישמנו לא מעט גם באג״ח מאד חביב: כאשר אני מגלה עסקה שערכיה צמודים למדד, לרבות</t>
  </si>
  <si>
    <r>
      <t xml:space="preserve">הלוואה, בתור התחלה אחשב את הערך / היתרה הרלוונטית </t>
    </r>
    <r>
      <rPr>
        <b/>
        <sz val="12"/>
        <color theme="1"/>
        <rFont val="David"/>
        <family val="2"/>
        <charset val="177"/>
      </rPr>
      <t>בהתעלם מהמדד</t>
    </r>
    <r>
      <rPr>
        <sz val="12"/>
        <color theme="1"/>
        <rFont val="David"/>
        <family val="2"/>
        <charset val="177"/>
      </rPr>
      <t xml:space="preserve"> (ריאלית), ואז אתייחס להשפעות</t>
    </r>
  </si>
  <si>
    <t>ההצמדה עם ביטוי רלוונטי.</t>
  </si>
  <si>
    <t>מדובר בהלוואה הנפרעת בתשלומים שווים - שפיצר:</t>
  </si>
  <si>
    <t>את יתרת ההלוואה במונחים ריאליים נחשב באמצעות AMRT:</t>
  </si>
  <si>
    <t>.</t>
  </si>
  <si>
    <r>
      <t xml:space="preserve">יתרה </t>
    </r>
    <r>
      <rPr>
        <b/>
        <sz val="12"/>
        <color theme="1"/>
        <rFont val="David"/>
        <family val="2"/>
        <charset val="177"/>
      </rPr>
      <t>ריאלית</t>
    </r>
    <r>
      <rPr>
        <sz val="12"/>
        <color theme="1"/>
        <rFont val="David"/>
        <family val="2"/>
        <charset val="177"/>
      </rPr>
      <t xml:space="preserve"> (לפני מתן ביטוי להצמדה!)</t>
    </r>
  </si>
  <si>
    <t>BAL</t>
  </si>
  <si>
    <t>כדי לחשב את היתרה העדכנית כולל הצמדה, נכפול את התוצאה הריאלית ב-1 ועוד שיעור האינפלציה בחזקה</t>
  </si>
  <si>
    <t>רלוונטית (ואם האינפלציה בפועל / עליית המדד בפועל לא נתונה, נכפול בעליית המדד הצפויה):</t>
  </si>
  <si>
    <t xml:space="preserve">התשובה ב. </t>
  </si>
  <si>
    <t>שאלה 5</t>
  </si>
  <si>
    <t>PV = 18,750</t>
  </si>
  <si>
    <t>pmt = 1,200</t>
  </si>
  <si>
    <t>I% = ?</t>
  </si>
  <si>
    <t>ככלל: ערך נוכחי של סדרה מוביל תמיד אחת אחורה ביחס לתחילתה. כלומר, אם אייצר ביטוי לערך נוכחי של סדרה</t>
  </si>
  <si>
    <t xml:space="preserve">אינסופית שמופע איברה הראשון בזמן 0, אגיע לזמן 1-. </t>
  </si>
  <si>
    <t xml:space="preserve">דרך נעימה מאד להתגבר על התופעה (רק במצבים שבהם התזרים הראשון הוא בזמן 0) היא על ידי פירוק הסדרה - </t>
  </si>
  <si>
    <t xml:space="preserve">לסכום מיידי בזמן 0 שאחריו יתר הסכומים. </t>
  </si>
  <si>
    <t>PMT = 1,200</t>
  </si>
  <si>
    <t>הביטוי להלן מייצג את העובדה שהערך הנוכחי הכולל שווה לסכום המיידי בזמן אפס, בתוספת הערך הנוכחי</t>
  </si>
  <si>
    <t xml:space="preserve">של אינסוף תשלומים מזמן 1 ואילך. </t>
  </si>
  <si>
    <t>ניסיון לבצע תהליך טכני קצר לשאלות בדיוק כאלו (חילוץ ריבית מסדרה אינסופית שערכה הנוכחי נתון,</t>
  </si>
  <si>
    <t>והתזרימים הם בתחילת כל תקופה מזמן 0):</t>
  </si>
  <si>
    <t>שאלה 6</t>
  </si>
  <si>
    <t>מאד דומה לשאלה 3! [אך ללא התאמת ריבית, סדרה רגילה ולא אינסופית]</t>
  </si>
  <si>
    <t>I% = 5</t>
  </si>
  <si>
    <t>שנה שלמה אחורה - לזמן 2</t>
  </si>
  <si>
    <t xml:space="preserve">הסכום המינימלי שנסכים לקבל חלף הסדר תקבולים מוגדר הוא הערך הנוכחי של ההסדר. </t>
  </si>
  <si>
    <t xml:space="preserve">התשובה: 74,259 (ג). </t>
  </si>
  <si>
    <t>שאלה 7</t>
  </si>
  <si>
    <t>2.5 .....</t>
  </si>
  <si>
    <t>pmt = 30</t>
  </si>
  <si>
    <t>n = Endof</t>
  </si>
  <si>
    <t>I% = 2.4695</t>
  </si>
  <si>
    <t>הואיל והתשלומים חצי שנתיים, נדרש להוון (לחשב PV) בריבית אפקטיבית חצי שנתית - זו סדרה.</t>
  </si>
  <si>
    <t xml:space="preserve">הריבית הנתונה היא ריבית אפקטיבית לשנה. </t>
  </si>
  <si>
    <t>וכעת, חישוב הערך הנוכחי של הסדרה האינסופית מתמטית:</t>
  </si>
  <si>
    <r>
      <rPr>
        <b/>
        <sz val="12"/>
        <color theme="1"/>
        <rFont val="David"/>
        <family val="2"/>
        <charset val="177"/>
      </rPr>
      <t>או</t>
    </r>
    <r>
      <rPr>
        <sz val="12"/>
        <color theme="1"/>
        <rFont val="David"/>
        <family val="2"/>
        <charset val="177"/>
      </rPr>
      <t xml:space="preserve"> במחשבון פיננסי:</t>
    </r>
  </si>
  <si>
    <t xml:space="preserve">התשובה (א). </t>
  </si>
  <si>
    <t>שאלה 8</t>
  </si>
  <si>
    <t>אם אתם נתקלים בשאלה שבה נתונה הלוואה הנפרעת בלוח סילוקין רגיל, בלי הצמדות, וכל מה רוצים זה יתרת החוב,</t>
  </si>
  <si>
    <t>אתם קוראים לפרופסור עבודי, ומחבקים אותו חיבוק מכל הלב. כי לא תהיה שאלה קלה יותר מזה בחיים.</t>
  </si>
  <si>
    <t xml:space="preserve">בלוח סילוקין רגיל: יתרת ההלוואה היא למעשה סכום ההלוואה המקורי, בניכוי התשלום הקבוע על חשבון הקרן </t>
  </si>
  <si>
    <t xml:space="preserve">שהוא היחס בין סכום ההלוואה למספר התשלומים - כפול מספר התשלומים שבוצעו. </t>
  </si>
  <si>
    <t>שאלה 9</t>
  </si>
  <si>
    <t xml:space="preserve">תמיד ולעולם כאשר משנים את סוג ההסדר או אופן הסילוק של הלוואה במועד מסוים, נעבוד בשני שלבים. </t>
  </si>
  <si>
    <t xml:space="preserve">בשלב הראשון נחשב את יתרת ההלוואה לפי התנאים המקוריים ערב השינוי. </t>
  </si>
  <si>
    <t>לאחר מכן נפרוס את ההלוואה מחדש ונטפל בה לפי התנאים העדכניים ודרך הסילוק המעודכנת.</t>
  </si>
  <si>
    <t>ואם כך, תחילה: חישוב יתרת הלוח הרגיל לאחר שבוצעו 10 תשלומים מתוך 20:</t>
  </si>
  <si>
    <t xml:space="preserve">כעת נתייחס ליתרה זו כאל הלוואה ״חדשה״ שנרצה לפרוס לפי סילוקין שפיצר - </t>
  </si>
  <si>
    <t>זכרו, שכל טיפול בשפיצר תמיד דורש בתור התחלה חילוץ ה - PMT (התשלום התקופתי הקבוע) באמצעות CMPD:</t>
  </si>
  <si>
    <t>משך ההלוואה הכולל / מספר ההחזרים הנותר ללא שינוי</t>
  </si>
  <si>
    <t>כעת, חישוב יתרת החוב לאחר 6 תשלומי שפיצר (מתוך ה-10) תחולץ באמצעות AMRT:</t>
  </si>
  <si>
    <t>תמיד ניגשים לפונקציית AMRT רק לאחר חילוץ ה - PMT וללא איפוס מחשבון.</t>
  </si>
  <si>
    <t>מספר התשלום השפיצרי שעליו שואלים</t>
  </si>
  <si>
    <t>PM1:</t>
  </si>
  <si>
    <t>PM2:</t>
  </si>
  <si>
    <t>התשובה הנכונה: (א).</t>
  </si>
  <si>
    <t>שאלה 13</t>
  </si>
  <si>
    <t>לא מדובר בסדרה, והערכים</t>
  </si>
  <si>
    <t>שלב 2</t>
  </si>
  <si>
    <t xml:space="preserve">הם כספיים בלבד, </t>
  </si>
  <si>
    <t>לכן הנתון לגבי כל כמה</t>
  </si>
  <si>
    <t>אם נרשום n=8 נקבל ריבית רבעונית</t>
  </si>
  <si>
    <t>זמן הריבית מחושבת</t>
  </si>
  <si>
    <t>מיותר.</t>
  </si>
  <si>
    <t>אפשר לעבוד בערכים שנתיים</t>
  </si>
  <si>
    <t xml:space="preserve">ורק להתאים את ה - n. </t>
  </si>
  <si>
    <t>לחובבי הז׳אנר - גם אין מניעה</t>
  </si>
  <si>
    <t>לעבוד בערכים רבעוניים</t>
  </si>
  <si>
    <t>ולתאם את ה - n</t>
  </si>
  <si>
    <t xml:space="preserve">התשובה: ב. </t>
  </si>
  <si>
    <t>שאלה 14</t>
  </si>
  <si>
    <t xml:space="preserve">יש כאן סיפור מעניין על הפקדה חד פעמית, לשנתיים, בריבית 6% שצמודה למדד. </t>
  </si>
  <si>
    <t>כדי לדעת כמה החוסך יקבל בתום התקופה, נעבוד כרגיל בעולם מדדי: נחשב את תוצאת העסקה (את הערך העתידי)</t>
  </si>
  <si>
    <t>במונחים ריאליים (תוך התעלמות מוחלטת מהצמדה) ואז ניתן ביטוי להצמדה עצמה.</t>
  </si>
  <si>
    <t>הסכום הריאלי הנצבר בתום השנתיים (לפני הצמדה)</t>
  </si>
  <si>
    <t>סכום סופי אחרי הצמדה:</t>
  </si>
  <si>
    <t xml:space="preserve">התשובה: (א). </t>
  </si>
  <si>
    <t>שאלה 15</t>
  </si>
  <si>
    <t>דורשים עיבוד ריבית נתונה המחושבת כל... לריבית אפקטיבית.</t>
  </si>
  <si>
    <t>פתרונות נבחרים מובחרים למבחן לדוגמא מס׳ 1</t>
  </si>
  <si>
    <t xml:space="preserve">מחיר ההון = ריבית להיוון של תזרימי מזומנים בפרויקט. </t>
  </si>
  <si>
    <t>I% = 10.2</t>
  </si>
  <si>
    <t xml:space="preserve">בשפה פשוטה: זה ה - %I שאותו נציב ב - CASH לצורך חישוב ה - NPV של הפרויקט. </t>
  </si>
  <si>
    <t>בנוסף נתון שיעור המס</t>
  </si>
  <si>
    <t>t = 20%</t>
  </si>
  <si>
    <t xml:space="preserve">נתחיל מהצגה בסיסית על ציר הזמן של הכנסות והוצאות. </t>
  </si>
  <si>
    <t xml:space="preserve">כברירת מחדל, ערכים אלו הם בתום כל שנה, אלא אם נאמר מפורשות אחרות. </t>
  </si>
  <si>
    <t xml:space="preserve">במקרים רבים - ערכים שליליים מוצגים בסוגריים. אתם כמובן תפעלו איך שנוח. </t>
  </si>
  <si>
    <t>הכנסות</t>
  </si>
  <si>
    <t>הוצאות תזרימיות (ללא פחת)</t>
  </si>
  <si>
    <t>הוצאות פחת</t>
  </si>
  <si>
    <t>רווח הון</t>
  </si>
  <si>
    <t>רווח לפני מס (חייב במס)</t>
  </si>
  <si>
    <t>מס (חברות) לתשלום</t>
  </si>
  <si>
    <t>עלות ההשקעה</t>
  </si>
  <si>
    <t>תמורה ממכירת ההשקעה</t>
  </si>
  <si>
    <t>הוסף - פחת</t>
  </si>
  <si>
    <t>תזרים מזומנים נטו</t>
  </si>
  <si>
    <t>כעת, נפעל לחישוב מתבקש (NPV או IRR) באמצעות פונקציית CASH:</t>
  </si>
  <si>
    <t>תזכורת - בפרויקטים, ה - %I הוא מחיר ההון</t>
  </si>
  <si>
    <t xml:space="preserve">I% = </t>
  </si>
  <si>
    <t>Csh. D. Editor &gt;&gt;&gt;&gt; EXE &gt;&gt;&gt;&gt;</t>
  </si>
  <si>
    <t>תזרים זמן 0</t>
  </si>
  <si>
    <t>תזרים זמן 1</t>
  </si>
  <si>
    <t>תזרים זמן 2</t>
  </si>
  <si>
    <t>תזרים זמן 3</t>
  </si>
  <si>
    <t>תזרים זמן 4</t>
  </si>
  <si>
    <t>&lt;&lt;&lt;ESC&lt;&lt;&lt;</t>
  </si>
  <si>
    <t xml:space="preserve">Solve NPV = </t>
  </si>
  <si>
    <t xml:space="preserve">Solve IRR = </t>
  </si>
  <si>
    <t xml:space="preserve">אם בשאלה מסוימת מבקשים לחשב גם NPV וגם IRR, אנא התחילו עם NPV ורק לאחר מכן IRR. </t>
  </si>
  <si>
    <t>דיון בהיגדים:</t>
  </si>
  <si>
    <t xml:space="preserve">א. ההיגד שגוי - ניתן לחשב את ה - IRR. </t>
  </si>
  <si>
    <t xml:space="preserve">ב. ההיגד שגוי - אדישות מתקיימת כאשר NPV=0 ובמונחי IRR: כאשר ה - IRR זהה למחיר ההון. </t>
  </si>
  <si>
    <t xml:space="preserve">ג. ההיגד שגוי, ה - NPV שלילי. </t>
  </si>
  <si>
    <t>ד. ההיגד נכון, ה-NPV שלילי.</t>
  </si>
  <si>
    <t>להלן הסברים מפורטים לגבי כל שורה ושורה בטבלת חישוב התזרים נטו:</t>
  </si>
  <si>
    <t>הוצאות תזרימיות (ללא פחת):</t>
  </si>
  <si>
    <t xml:space="preserve">הוצאות ״שוטפות״ כגון חשמל, ניקיון, אבטחה - הן תזרים מזומנים שלילי אמיתי, שמהווה הוצאה. </t>
  </si>
  <si>
    <t>הוצאות פחת:</t>
  </si>
  <si>
    <t xml:space="preserve">הוצאות פחת הן הוצאות רעיוניות שמשקפות שחיקה / בלאי / אובדן ערך של פריטי רכוש קבוע (השקעות). </t>
  </si>
  <si>
    <t>אם קנינו לטובת פרויקט מכונות, ציוד, כלי רכב, מבנים וכו׳ - הטענה היא שבמהלך השימוש הצפוי בהם,</t>
  </si>
  <si>
    <t>לאורך חיי הפרויקט, ערכם נשחק ויורד. המשמעות: נוצרה כאן הוצאה (אובדן ערך) אך היא איננה מלווה</t>
  </si>
  <si>
    <t xml:space="preserve">ביציאה תזרימית. </t>
  </si>
  <si>
    <t>אנו כוללים אותה בשלב ראשון של החישוב, משום שלמרות שאיננה מייצגת יציאה כספית - היא עדיין</t>
  </si>
  <si>
    <t xml:space="preserve">משפיעה על הרווח לצורך מס ועל תשלום המס. </t>
  </si>
  <si>
    <t>איך מחשבים את הוצאות הפחת - ברמה הטכנית? מתבססים על ההפרש בין העלות (סכום ההשקעה)</t>
  </si>
  <si>
    <t>בניכוי ערך שייר (גרט) - השווי הצפוי לפריט בתום חייו (שווי ״הברזל״ / הערך שאין עליו פחת, במבנים</t>
  </si>
  <si>
    <t xml:space="preserve">מדובר בחלק של הקרקע), כל ההפרש (עלות בניכוי גרט) מחולק בתקופת ההפחתה של הפרויקט. </t>
  </si>
  <si>
    <t>כאן: ההשקעה 700,000, הגרט 100,000, ההפחתה לפי 4 שנים, לכן הוצאות הפחת השנתיות:</t>
  </si>
  <si>
    <t xml:space="preserve">(700,000 - 100,000)/4 = </t>
  </si>
  <si>
    <t>השפעה 1</t>
  </si>
  <si>
    <t>השפעה 2</t>
  </si>
  <si>
    <t>של הוצאות</t>
  </si>
  <si>
    <t xml:space="preserve">פחת </t>
  </si>
  <si>
    <t>פחת</t>
  </si>
  <si>
    <t>בחלק העליון</t>
  </si>
  <si>
    <t>בחלק התחתון</t>
  </si>
  <si>
    <t>הוצאה</t>
  </si>
  <si>
    <t>של הטבלה</t>
  </si>
  <si>
    <t>בסימן שלילי</t>
  </si>
  <si>
    <t>בסימן חיובי</t>
  </si>
  <si>
    <t>רווח הון / הפסד הון:</t>
  </si>
  <si>
    <t>רווח / הפסד הון הוא ההפרש שבין תמורת המכירה הצפויה לפריט רכוש קבוע (השקעה) בתום הפרויקט,</t>
  </si>
  <si>
    <t xml:space="preserve">לבין ״שוויו התיאורטי״ (עלות מופחתת) לאותו מועד. </t>
  </si>
  <si>
    <t>רכיב התמורה שזהה</t>
  </si>
  <si>
    <t>לעלות המופחתת לא חייב במס</t>
  </si>
  <si>
    <t>תמורה ממכירת ציוד ההשקעה בתום הפרויקט - נתון:</t>
  </si>
  <si>
    <t>בניכוי עלות מופחתת:</t>
  </si>
  <si>
    <t>על רווח ההון</t>
  </si>
  <si>
    <t>רווח הון (הפרש חיובי) = הכנסה נוספת בתום שנה 4</t>
  </si>
  <si>
    <t>בסך 50,000</t>
  </si>
  <si>
    <t>משולם מס</t>
  </si>
  <si>
    <t>מופיע בחלק העליון</t>
  </si>
  <si>
    <t>עלות היסטורית (השקעה)</t>
  </si>
  <si>
    <t>בניכוי פחת נצבר עד המכירה</t>
  </si>
  <si>
    <t xml:space="preserve">150,000 * 4 = </t>
  </si>
  <si>
    <t>עלות מופחתת</t>
  </si>
  <si>
    <t>מס חברות לתשלום:</t>
  </si>
  <si>
    <t xml:space="preserve">מכפלה פשוטה של שיעור המס 20% ברווח לפני מס - וכל זה בסימן שלילי (כדי לייצג את העובדה שמדובר בתשלום). </t>
  </si>
  <si>
    <t>תמורה ממכירת השקעה:</t>
  </si>
  <si>
    <t>אנו יודעים שסך התמורה ממכירת ההשקעה היא:</t>
  </si>
  <si>
    <t>אנחנו גם יודעים שהחלק מתוכה שמהווה רווח וחייב במס</t>
  </si>
  <si>
    <t>זה אומר שכל יתר תמורת המכירה שלא חייבת במס</t>
  </si>
  <si>
    <t xml:space="preserve">150,000 - 50,000 = </t>
  </si>
  <si>
    <t xml:space="preserve">רכיבים שאינם חייבים במס - יופיעו בחלק התחתון של הטבלה ב״התאמות״. </t>
  </si>
  <si>
    <t>רכיב תמורה ממכירת השקעה בחלק התחתון בטבלה = בגובה העלות המופחתת ערב המכירה.</t>
  </si>
  <si>
    <t>התזרים נטו בכל שנה נתון לגמרי.</t>
  </si>
  <si>
    <t>השקעה ראשונית בזמן אפס של 500 אלפי ש״ח, ותקבול נטו בסך 75 בתום כל שנה.</t>
  </si>
  <si>
    <t>בנוסף ציינו שהענ״נ (NPV) הוא 20 אלפי ש״ח.</t>
  </si>
  <si>
    <t xml:space="preserve">הנעלם - מחיר ההון. </t>
  </si>
  <si>
    <t>כאשר עוסקים בסדרות אינסופיות, גם אם בחלק מהמקרים אפשר להשתמש בקיצור דרך של מחשבון פיננסי, צריך להכיר</t>
  </si>
  <si>
    <t>את הנוסחה המתמטית שאומרת:</t>
  </si>
  <si>
    <t xml:space="preserve">ערך נוכחי PV של סדרה אינסופית קבועה מחושב לפי היחס בין התשלום התקופתי הקבוע לשיעור הריבית / שיעור ההיוון. </t>
  </si>
  <si>
    <t xml:space="preserve">בנוסף, ברמה הכלכלית: ה - NPV מוגדר בתור הערך הנוכחי הנקי של כלל תזרימי המזומנים (ענ״נ). כלומר, אם ניקח </t>
  </si>
  <si>
    <t>את כלל התזרימים במונחי זמן אפס - או במילים אחרות: אם ניקח את ההשקעה המיידית (בזמן אפס) ונוסיף לה</t>
  </si>
  <si>
    <t>את הביטוי המייצג את הערך הנוכחי של יתר התזרימים - זה הענ״נ (NPV):</t>
  </si>
  <si>
    <t>בהינתן</t>
  </si>
  <si>
    <t>עלות ההשקעה המיידית</t>
  </si>
  <si>
    <t>שהתקבולים</t>
  </si>
  <si>
    <t>אינסופיים</t>
  </si>
  <si>
    <t>מסקנת ביניים:</t>
  </si>
  <si>
    <t>משוואה לחישוב ענ״נ (NPV) הדורשת השקעה מיידית שלאחריה סדרה אינסופית קבועה:</t>
  </si>
  <si>
    <t>כאשר:</t>
  </si>
  <si>
    <t>I0</t>
  </si>
  <si>
    <t>סכום ההשקעה המיידית</t>
  </si>
  <si>
    <t>התקבול התקופתי הקבוע, לנצח</t>
  </si>
  <si>
    <t>r</t>
  </si>
  <si>
    <t>מחיר ההון של החברה</t>
  </si>
  <si>
    <t xml:space="preserve">גם בשאלה זו, בדומה לשאלה 7, ישנו דיון בפרויקט שכולל השקעה ראשונית מיידית - שאחריה רצף תזרימי אינסופי קבוע. </t>
  </si>
  <si>
    <t>בהתאם, משוואת הענ״נ תהיה זהה גם היא:</t>
  </si>
  <si>
    <t xml:space="preserve">בשאלה זו, נדרש דווקא ה - IRR, ואין מידע בדבר ערך ה - NPV. </t>
  </si>
  <si>
    <t xml:space="preserve">לא נורא! משום שלפי ההגדרה המתמטית ה - IRR הוא אותו ערך של מחיר הון (r) שמוביל ל - NPV=0. </t>
  </si>
  <si>
    <t xml:space="preserve">זכרו: כאשר מחלצים ריבית מסדרה (סופית / אינסופית; מתמטית או באמצעות נוסחה), הריבית הוא תמיד לתקופה </t>
  </si>
  <si>
    <t>הזהה לפרק הזמן בין תשלומים בסדרה.</t>
  </si>
  <si>
    <t>בשאלה 7 - התזרימים היו שנתיים, הריבית שחולצה היתה שנתית כנדרש, וסיימנו.</t>
  </si>
  <si>
    <t>בשאלה הזו - התזרימים הם כל 7 חודשים, ולכן הריבית המחולצת היא ל-7 חודשים ולא לשנה.</t>
  </si>
  <si>
    <t>לכן, הואיל והשאלה דרשה שת״פ שנתי, עלינו לבצע המרה של הריבית המחולצת מ-7 חודשים ל-12 חודשים (לשנה).</t>
  </si>
  <si>
    <t>ומדוע המעריך 12/7? משום שהמעריך בהתאמת הריבית הוא היחס בין ״הרצוי״ (הנדרש - שנה, 12 חודשים)</t>
  </si>
  <si>
    <t>לבין המצוי (הקיים, המחושב בשלב קודם - 7 חודשים):</t>
  </si>
  <si>
    <t>מספר אנקדוטות קטנות לגבי ריבית</t>
  </si>
  <si>
    <t>שאלות הדורשות באופן ספציפי חישוב ריבית - ממש שאלות שהתשובה להן היא ריבית באחוזים:</t>
  </si>
  <si>
    <t xml:space="preserve">בשאלות אלו, ניתקל בניסוחים כגון - </t>
  </si>
  <si>
    <t>נטלת הלוואה לשנה, בריבית שנתית בשיעור 10%, המחושבת כל רבעון</t>
  </si>
  <si>
    <t>נטלת הלוואה לשנה, בריבית מראש בשיעור 8%</t>
  </si>
  <si>
    <t>נטלת הלוואה לשנה, בריבית חודשית 1%</t>
  </si>
  <si>
    <t>נדרש: מהי הריבית האפקטיבית (לרבות בחלופה העדיפה).</t>
  </si>
  <si>
    <t>מקרה א - ריבית ״המחושבת כל״ (ואיננה ריבית מראש):</t>
  </si>
  <si>
    <t>נוסחת ההמרה דורשת ״שני צעדים״:</t>
  </si>
  <si>
    <t xml:space="preserve">צעד 1 - לחלק את הריבית לתקופת חישוב אחת. </t>
  </si>
  <si>
    <t>צעד 2 - לתאם את התקופה כנדרש עם חזקה.</t>
  </si>
  <si>
    <t>חשוב ומאד נפוץ - בשאלות ייעודיות לחישובי ריבית</t>
  </si>
  <si>
    <t>R</t>
  </si>
  <si>
    <t>הריבית הנתונה</t>
  </si>
  <si>
    <t>מספר תקופות חישוב הריבית - בתקופה הנתונה</t>
  </si>
  <si>
    <t>m</t>
  </si>
  <si>
    <t>מספר תקופות חישוב הריבית - בתקופה הנדרשת</t>
  </si>
  <si>
    <t>מקרה ב - ריבית ״מראש״:</t>
  </si>
  <si>
    <t>d</t>
  </si>
  <si>
    <t>הריבית שמתפקדת כריבית מראש</t>
  </si>
  <si>
    <t xml:space="preserve">מספר תקופות חישוב הריבית מראש </t>
  </si>
  <si>
    <t>מספר תקופות חישוב הריבית בתקופה הנדרשת</t>
  </si>
  <si>
    <t>שילוב של ריבית ״המחושבת כל״ יחד עם ריבית מראש:</t>
  </si>
  <si>
    <t>מקרה ג - ריבית שאין נתון ספציפי לגבי סוגה, אלא רק יש לתאם את תקופתה:</t>
  </si>
  <si>
    <t>הריבית הנתונה - לרבות: תשואה לפדיון באג״ח, IRR, מחיר ההון</t>
  </si>
  <si>
    <t>היחס בין התקופה הרצויה למצויה</t>
  </si>
  <si>
    <t xml:space="preserve">סוגיה - נניח שנתונה ריבית של 8% בשנה ראשונה, 10% בשנה שניה, ו-12% בשנה שלישית, ולא נתון סוג הריבית. </t>
  </si>
  <si>
    <t>כיצד נחשב ריבית לתקופה של 3 שנים?</t>
  </si>
  <si>
    <t>סוגיה - לגבי ריבית נקובה באג״ח - החישוב שלה הוא יחסי פשוט תמיד. למשל, אם אג״ח משלמת ריבית שנתית נקובה</t>
  </si>
  <si>
    <t>בשיעור 10% פעמיים בשנה (כל חצי שנה) הריבית לפיה נחשב את הקופון (התזרים התקופתי):</t>
  </si>
  <si>
    <t>10%/2 = 5%</t>
  </si>
  <si>
    <t>סוגיה - נניח ומספרים לי על הלוואה בסך 100,000 ש״ח הנפרעת בתשלומים חודשיים, כאשר הריבית הנקובה היא 12%</t>
  </si>
  <si>
    <t>לשנה. על איזו ריבית אתבסס לצורך חישוב התשלום החודשי?</t>
  </si>
  <si>
    <t>12% / 12 = 1%</t>
  </si>
  <si>
    <t>במלים אחרות:</t>
  </si>
  <si>
    <t xml:space="preserve">תמיד נרצה לדעת - מה ה״אינפוט״ = האם מדובר בריבית ה״מחושבת כל״ או ריבית ללא תיאור נוסף. </t>
  </si>
  <si>
    <t xml:space="preserve">וכן לאיזו תקופת ריבית אני רוצה להגיע (יעזור - למעריך החזקה). </t>
  </si>
  <si>
    <t xml:space="preserve">בשאלה זו עשו בשבילנו עבודה: </t>
  </si>
  <si>
    <t xml:space="preserve">הלוואה ל-3 שנים, ריבית שנתית לא צמודה 7%. </t>
  </si>
  <si>
    <t xml:space="preserve">בתור התחלה נשאל את עצמנו - מהי הריבית הכוללת לכל 3 השנים? </t>
  </si>
  <si>
    <t>רגע... באיזה סוג ריבית מדובר? האם בריבית המחושבת ״כל״?</t>
  </si>
  <si>
    <t>האם בריבית מראש?</t>
  </si>
  <si>
    <t>לא ולא. זו ריבית שאין לה הקשר ספציפי ואין לה תיאור הנלווה באשר לאופן חישובה.</t>
  </si>
  <si>
    <t>המקרה הזה הוא המקרה הנפוץ ביותר, והוא מכתיב לצורך חישוב ריבית כוללת את הנוסחה הנעזרת</t>
  </si>
  <si>
    <t>בחזקה בלבד:</t>
  </si>
  <si>
    <t xml:space="preserve">בעסקה הנתונה, ההלוואה לא צמודה, לכן אין צורך להוסיף ערך כלשהו לריבית זו; היא הריבית הסופית (נומינלית). </t>
  </si>
  <si>
    <t>במקביל, ישנם נתוני אינפלציה. הואיל והיא שונה בכל שנה, נוח לנסות ולחשב את האינפלציה הכוללת:</t>
  </si>
  <si>
    <t>בשאלות ריבית הקשורות לאינפלציה, בדרך כלל נצטרך לחלץ אחד מבין הגורמים:</t>
  </si>
  <si>
    <t>בהתאם למשוואת פישר.</t>
  </si>
  <si>
    <t>כאן, מה שצריך לחלץ - ריבית ריאלית - שתוצאתה ל-3 שנים כי מחושבת על בסיס יחס בין ערכים תלת - שנתיים:</t>
  </si>
  <si>
    <t>משוואת פישר:</t>
  </si>
  <si>
    <t>תהליך:</t>
  </si>
  <si>
    <t>אם נתונה ריבית נומינלית ואינפלציה, ונדרשת ריבית ריאלית תקופתית:</t>
  </si>
  <si>
    <t>א. נחשב ריבית נומינלית לכל התקופה.</t>
  </si>
  <si>
    <t>ב. נחשב אינפלציה לכל התקופה.</t>
  </si>
  <si>
    <t>ג. נשתמש במשוואת פישר לחילוץ הריבית הריאלית.</t>
  </si>
  <si>
    <t xml:space="preserve">ד. לא נשכח לתאם את התוצאה ליחידת הזמן הנדרשת (בדרך כלל - שנה אחת). </t>
  </si>
  <si>
    <t>פתרונות נבחרים מובחרים למבחן לדוגמא מס׳ 3</t>
  </si>
  <si>
    <t xml:space="preserve">שאלה 11 </t>
  </si>
  <si>
    <t>בנתוני השאלה,  ידועים תזרימי המזומנים הנקיים של פרויקט, כדלקמן:</t>
  </si>
  <si>
    <t>בנוסף ידוע שמחיר ההון הריאלי של המשקיע 4% לשנה, והאינפלציה הצפויה 6% לשנה.</t>
  </si>
  <si>
    <t>הואיל והתזרים כאן מעורב, בחלקו כפוף להצמדה ובחלקו לא, אנחנו נחלק את התזרים לחלקים (לרכיבים)</t>
  </si>
  <si>
    <t>כאשר כל רכיב יהוון (יחושב לו NPV) בריבית מתאימה, ולבסוף נחבר את הערכים.</t>
  </si>
  <si>
    <t>ערך נוכחי:</t>
  </si>
  <si>
    <t>חישוב NPV:</t>
  </si>
  <si>
    <t>סה״כ NPV לתזרימים העתידיים, בניכוי סכום ההשקעה הכולל בזמן 0:</t>
  </si>
  <si>
    <t xml:space="preserve">Total NPV = 96,620 + 36,664 - 90,000 = </t>
  </si>
  <si>
    <t xml:space="preserve">על פי הנתון, מדובר בשאלת תזרימי מזומנים. </t>
  </si>
  <si>
    <t>נדרשת השקעה בסך 700,000 ש״ח.</t>
  </si>
  <si>
    <t>התפוקה ביח׳ היא 2,500 יח׳, כשמחיר המוצר 320 דולר נכון להיום, קרי סך הכנסה ראשונית שנתית:</t>
  </si>
  <si>
    <t xml:space="preserve">2,500 * 320 = </t>
  </si>
  <si>
    <t xml:space="preserve">שיעור המס 40%. </t>
  </si>
  <si>
    <t>האינפלציה צפויה 5% לשנה.</t>
  </si>
  <si>
    <t>שיעור התשואה הריאלי הנדרש 10%, ונדרש לחשב ענ״נ.</t>
  </si>
  <si>
    <t>מסים על ההכנסה לפי 40%</t>
  </si>
  <si>
    <t>היוון התזרים הנומינלי בשיעור תשואה נומינלי שהנו:</t>
  </si>
  <si>
    <t xml:space="preserve">גם ההכנסה תגדל לפי שיעור האינפלציה, ולכן מהווה תזרים ריאלי. </t>
  </si>
  <si>
    <t xml:space="preserve">הפריט מופחת בקו ישר על פני שנתיים - כך שלמעשה, הוצאות הפחת אינן במונחים ריאליים. </t>
  </si>
  <si>
    <t>בדמיון מסויים לשאלה 13, גם כאן צריך לפצל, כי חלק מהתזרימים אינם כפופים להצמדה (נומינליים, בעיקר</t>
  </si>
  <si>
    <t>מגן המס על הפחת) וחלק מהתזרימים כפופים להצמדה (כל מה שמושפע מהמדד באופן מלא - הוצאות שכר עבודה</t>
  </si>
  <si>
    <t xml:space="preserve">וכן שווי התפוקה ששומר על ערך ריאלי). </t>
  </si>
  <si>
    <t xml:space="preserve">זהו סך הענ״נ של התזרימים הריאליים וההשקעה. </t>
  </si>
  <si>
    <t>ריאלי</t>
  </si>
  <si>
    <t>התאמה - פחת</t>
  </si>
  <si>
    <t>הוחשב בריאלי</t>
  </si>
  <si>
    <t>היוון התזרים הריאלי בשיעור תשואה ריאלי שהנו:</t>
  </si>
  <si>
    <t>סה״כ NPV כולל:</t>
  </si>
  <si>
    <t xml:space="preserve">Total NPV = 129,359 + 226,158 = </t>
  </si>
  <si>
    <t>שאלה 10</t>
  </si>
  <si>
    <t>בשאלה נתונים לגבי דני שמפקיד 10,000 ש״ח פעם אחת לתקופה של 20 שנים.</t>
  </si>
  <si>
    <t xml:space="preserve">מדובר בטיפוס שאלה של ״איזון אקטוארי״ (הפקדה / הפקדות שאחריה סדרת משיכות). </t>
  </si>
  <si>
    <t>אפשר לפתור במספר דרכים, אבל הדרך שאני אוהב היא:</t>
  </si>
  <si>
    <t>Deposits</t>
  </si>
  <si>
    <t>Withdrawls</t>
  </si>
  <si>
    <t>26-27</t>
  </si>
  <si>
    <t>1-20</t>
  </si>
  <si>
    <t>21-25</t>
  </si>
  <si>
    <t>כלומר, סך ההפקדות לזמן 20:</t>
  </si>
  <si>
    <t>בניכוי משיכות לאותה נקודה:</t>
  </si>
  <si>
    <t>אך דרשו את היתרה לזמן 28, ולכן יש לדחוף את התוצאה הנ״ל 8 שנים קדימה. נקבל:</t>
  </si>
  <si>
    <t>פתרונות נבחרים מובחרים למבחן לדוגמא מס׳ 2</t>
  </si>
  <si>
    <t>על פי לשון השאלה, מדובר בפרויקט אשר:</t>
  </si>
  <si>
    <t>ההשקעה בו:</t>
  </si>
  <si>
    <t>אורך חיי בשנים:</t>
  </si>
  <si>
    <t>רווח תפעולי:</t>
  </si>
  <si>
    <t>לפני התייחסות לפחת ומסים</t>
  </si>
  <si>
    <t>שיעור המס:</t>
  </si>
  <si>
    <t>תקופת הפחתה:</t>
  </si>
  <si>
    <t>ריבית:</t>
  </si>
  <si>
    <t>מסים על ההכנסה לפי 25%</t>
  </si>
  <si>
    <t>ענ״נ / NPV</t>
  </si>
  <si>
    <t xml:space="preserve">הערה: עלות הסוקר היא עלות שקועה. החברה כבר *השקיעה* את הסכום הזה. לא תשקיע אותו. </t>
  </si>
  <si>
    <t>מדובר בעלות שלא ניתן לוותר עליה או לבטל כרגע גם אם נחליט לא לבצע את הפרויקט.</t>
  </si>
  <si>
    <t xml:space="preserve">זכרו, המטרה שלנו היא קבלת החלטות - ולא שיוך תקציבים חשבונאי. </t>
  </si>
  <si>
    <t xml:space="preserve">וכל עלות או הכנסה שאיננה נוצרת ספציפית בעקבות ההחלטה בנקודת הזמן הנוכחית לא תהווה משקל בהחלטותינו. </t>
  </si>
  <si>
    <t>שאלה 12</t>
  </si>
  <si>
    <t>השאלה דנה בהמצאה שתאפשר לחברה ליצור עלייה בהכנסות (שזה כמו לומר - לייצר הכנסות חדשות) בסך 7,000</t>
  </si>
  <si>
    <t>ש״ח בכל שנה, 4 שנים.</t>
  </si>
  <si>
    <t xml:space="preserve">בשנה 5, ההכנסה תגדל ב-5,000 ש״ח, בתדירות של אחת לשנתיים החל מאותה נקודה לאינסוף. </t>
  </si>
  <si>
    <t>מדובר בהגדרה בערך נוכחי של תזרימים משני סוגים:</t>
  </si>
  <si>
    <t>א. ערך נוכחי של 4 תזרימים שנתיים, בסך 7,000 ש״ח, שנים 1-4.</t>
  </si>
  <si>
    <t>ב. ערך נוכחי של סדרה אינסופית, בסך 5,000, בתדירות של אחת לשנתיים, שנים 5 ואילך.</t>
  </si>
  <si>
    <t>למעשה מדובר בשאלת ״ערך נוכחי מורכב״ שעובדת ״מהסוף להתחלה״. במצב כזה נפעל כדלקמן:</t>
  </si>
  <si>
    <t>שלב 1: נחשב ערך נוכחי PV לסדרה המאוחרת. ערך נוכחי לסדרה אינסופית אפשר לחשב עם נוסחה מתמטית</t>
  </si>
  <si>
    <t>5 til Forever</t>
  </si>
  <si>
    <t>1 to 4</t>
  </si>
  <si>
    <t>או על ידי הזנת 999 ב-n. ערך זה מוביל אותנו ״אחת אחורה״ ביחס למועד התזרים הראשון,  והואיל והתזרים</t>
  </si>
  <si>
    <t xml:space="preserve">הראשון בזמן 5 והתזרימים כל שנתיים התוצאה דוחפת לזמן 3. </t>
  </si>
  <si>
    <t xml:space="preserve">שלב 2: נתאם את התוצאה מזמן 3 לזמן 0. בשלב זה, נגיע לערך הנוכחי של הסדרה האינסופית לזמן 0. </t>
  </si>
  <si>
    <t xml:space="preserve">שלב 3: נחשב את ה-PV של הסדרה המוקדמת יותר. </t>
  </si>
  <si>
    <t xml:space="preserve">שלב 4: נחבר את ערכי שלבים 2 ו-3. </t>
  </si>
  <si>
    <t>for t = 0</t>
  </si>
  <si>
    <t>סך הכל ערך נוכחי:</t>
  </si>
  <si>
    <t>סדרה סופית</t>
  </si>
  <si>
    <t>נשאלת השאלה, למה זה כל כך שונה מתרגילי הבית?</t>
  </si>
  <si>
    <t>והתשובה: כשיש סדרה רציפה, כל שנה, בלי שינויי תדירות, הכל בסדר. הקפיצה אחורה שנובעת מחישוב ערך</t>
  </si>
  <si>
    <t>נוכחי מובילה בדיוק לחישוב הקודם.</t>
  </si>
  <si>
    <t>אבל כשישנה סדרה שנתית, ופתאום יש שינוי לתדירות דו שנתית, הקפיצה אחורנית לא מובילה לנקודת הזמן של תחילת</t>
  </si>
  <si>
    <t xml:space="preserve">הסדרה הקודמת, מה שדורש עבודה ידנית בהתאמה מתוך מודעות לכך (או מתמטית). </t>
  </si>
  <si>
    <t xml:space="preserve">מדובר באג״ח שזמן פרעונה בעוד 5 שנים. </t>
  </si>
  <si>
    <t xml:space="preserve">ערך נקוב: </t>
  </si>
  <si>
    <t>ריבית נקובה</t>
  </si>
  <si>
    <t>תדירות תשלום: כל רבעון (מה שאומר שמשלמים ריבית של 2.5% לרבעון שכן חישובי ריבית נקובה הם יחסיים).</t>
  </si>
  <si>
    <t>שיעור תשואה לפדיון (ריבית שבה מהוונים, במונחי ריבית אפקטיבית, המרתה מתקופה לתקופה עם חזקה): 10.381%.</t>
  </si>
  <si>
    <t xml:space="preserve">נדרש שווי האג״ח. </t>
  </si>
  <si>
    <t>נגדיר:</t>
  </si>
  <si>
    <t>בחישובי אג״ח - מדובר בריבית קופון יחסית מוכפלת בערך נקוב</t>
  </si>
  <si>
    <t>מספר תזרימי הקופון, כמספר הרבעונים ב-5 שנים במקרה זה</t>
  </si>
  <si>
    <t>שיעור תשואה לפדיון מתורגם למונחים רבעוניים בחזקה מתאימה</t>
  </si>
  <si>
    <t>שווי האג״ח - הערך המחולץ</t>
  </si>
  <si>
    <t>למעשה, לא היינו זקוקים לדרך חישוב זו; שהרי באג״ח הצפויה לשלם בתום כל תקופה, ובה הריבית הנקובה</t>
  </si>
  <si>
    <t xml:space="preserve">לתקופת תשלום זהה לשיעור התשואה לפדיון לתקופת תשלום, מתקיים גם שוויון בין ערך נקוב לשווי / מחיר. </t>
  </si>
  <si>
    <t>A</t>
  </si>
  <si>
    <t>B</t>
  </si>
  <si>
    <t>C</t>
  </si>
  <si>
    <t>מדובר במצב שבו צריך להכריע (לבחור רק אחד לכל היותר) בין הפרויקטים הבאים:</t>
  </si>
  <si>
    <t xml:space="preserve">זה קצת ארוך, אבל יאפשר לענות לכל השאלות. </t>
  </si>
  <si>
    <t>לשם כך:</t>
  </si>
  <si>
    <t>NPV(I%=5)</t>
  </si>
  <si>
    <t>NPV(I%=10)</t>
  </si>
  <si>
    <t>NPV(I%=25)</t>
  </si>
  <si>
    <t>מסקנה: אם הם מוציאים זה את זה, במחיר הון 5% עדיף C, במחיר הון 10% עדיף C ובמחיר הון 25% עדיף את A.</t>
  </si>
  <si>
    <t xml:space="preserve">אם הם לא מוציאים זה את זה, כדאי לבצע את כל הפרויקטים בעלי ענ״נ חיובי כלומר במחיר הון של 5% או 10% כולם יבוצעו </t>
  </si>
  <si>
    <t xml:space="preserve">ואילו במחיר הון של 25% יבוצעו A ו-C. </t>
  </si>
  <si>
    <t xml:space="preserve">השאלה דורשת חישוב ערך נוכחי של פרויקט שמניב 30,000 בתום כל שנה 5 שנים, ולאחר מכן 10,000 בתום כל </t>
  </si>
  <si>
    <t>שנה לאינסוף (כלומר מזמן 6 ואילך). מחיר ההון 10%. עלות הציוד 150,000 ש״ח.</t>
  </si>
  <si>
    <t>לשם כך קל מאד לחשב ערך נוכחי של ההכנסות:</t>
  </si>
  <si>
    <t>נחשב ערך נוכחי לסדרה האינסופית תחילה, זאת משום שבערך נוכחי מורכב מתחילים מהסדרה המאוחרת</t>
  </si>
  <si>
    <t>ואז עוברים למוקדמת. חשוב לשים לב שכשהסדרה אינסופית אפשר פשוט להזין n=999.</t>
  </si>
  <si>
    <t xml:space="preserve">התוצאה המתקבלת היא לזמן 5 (אחת לפני התזרים הראשון שהוא בזמן 6). נצרף PV זה כ-FV לחישוב ה-PV </t>
  </si>
  <si>
    <t xml:space="preserve">של הסדרה מזמן 1 לזמן 5. </t>
  </si>
  <si>
    <t>6 to forever</t>
  </si>
  <si>
    <t>1 to 5</t>
  </si>
  <si>
    <t>סך הכל שווי (אמנם בחישוב הפיננסי התוצאה במינוס אבל זהו שווי חיובי של הכנסות כמובן):</t>
  </si>
  <si>
    <t>בניכוי עלות השקעה:</t>
  </si>
  <si>
    <t>שווי נטו - ענ״נ</t>
  </si>
  <si>
    <t>הפרויקט כדאי</t>
  </si>
  <si>
    <t>השאלה דנה בהלוואה של 5,000 ש״ח למשך 10 שנים בריבית 6% לשנה שנפרעת בתשלומים שווים,</t>
  </si>
  <si>
    <t>כלומר בשיטת לוח סילוקין שפיצר, חוץ מאשר התשלום בשנה הראשונה שהוא 1,000 ש״ח.</t>
  </si>
  <si>
    <t>שואלים מהו גובה התשלום השנתי החל מהשנה השניה.</t>
  </si>
  <si>
    <t>של ה-1,000, ננכה אותו מסכום ההלוואה, ועל היתרה נפעיל חילוץ של סוכם התשלום התקופתי לפי משפט זה -</t>
  </si>
  <si>
    <t>להלן:</t>
  </si>
  <si>
    <t>בריבית נקבל (אפשר גם במחשבון פיננסי):</t>
  </si>
  <si>
    <t>מזה, נוריד 1,000, סך התשלום באותו מועד, נקבל:</t>
  </si>
  <si>
    <t>את זה נפרוס כעת ל-9 תשלומים שווים בהתייחס לריבית שנתית של 6%:</t>
  </si>
  <si>
    <t>יש כמה דרכים לפתור.</t>
  </si>
  <si>
    <t>אני אלך על הגישה הבאה. נחשב את הסכום הנצבר בגין ההלוואה לזמן 1. ואז נתייחס להחזר החד פעמי</t>
  </si>
  <si>
    <t>אשרי המאמין.</t>
  </si>
  <si>
    <t xml:space="preserve">נעמה מפקידה 1,000 ש״ח כל חודש 3 שנים, אך ההפקדה הראשונה עוד חודשיים. </t>
  </si>
  <si>
    <t>אז ככה, תחילה נתאם את הריבית האפקטיבית הרבעונית לחודשית עם מעריך חזקה מתאים.</t>
  </si>
  <si>
    <t xml:space="preserve">הריבית הנתונה היא ריבית אפקטיבית רבעונית בשיעור 6.12%, ורוצים ערך נוכחי. </t>
  </si>
  <si>
    <t>כעת נחשב ערך נוכחי לסדרה. חשוב לזכור שערך נוכחי של סדרה לוקח תמיד אחת אחורה ביחס למועד</t>
  </si>
  <si>
    <t>התזרים הראשון בסדרה ואם מועד התזרים הראשון בעוד חודשיים והתקבולים כל חודש, אוטומטית</t>
  </si>
  <si>
    <t>קופצים לזמן 1 ונדרשת התאמה של חודש 1 נוסף אחורה בפעולה נוספת (ידנית / מחשבונית):</t>
  </si>
  <si>
    <t>pmt</t>
  </si>
  <si>
    <t>pv</t>
  </si>
  <si>
    <t>fv</t>
  </si>
  <si>
    <t>צעד 1</t>
  </si>
  <si>
    <t>צעד 2</t>
  </si>
  <si>
    <t>זו באמת שאלה מורכבת יותר, ברמת אופן הצגת הנתונים. בעיקרון שווה להגיע אליה ״בסוף״ אחרי שהנושאים</t>
  </si>
  <si>
    <t xml:space="preserve">הקלאסיים יותר מכוסים. </t>
  </si>
  <si>
    <t>בכל מקרה, להלן הסבר:</t>
  </si>
  <si>
    <t>אם סדרה היא אינסופית - הרי היא מתחילה בערך מסוים, וככל שמתקרבים למועד התשלום, כך ערכה עולה (נצברת</t>
  </si>
  <si>
    <t xml:space="preserve">ריבית ומתקרבים למועד תשלום). </t>
  </si>
  <si>
    <t xml:space="preserve">לכן, המחיר הנמוך ביותר הוא מיד לאחר ביצוע תשלום מסוים, והמחיר הגבוה ביותר הוא רגע לפני התשלום. </t>
  </si>
  <si>
    <t>פרט, זה אומר שמחיר תכנית ההשקעה בתחילת פברואר (רחוק מהתשלום של יולי) נמוך ממחיר התוכנית בסוף דצמבר</t>
  </si>
  <si>
    <t xml:space="preserve">שהוא רגע לפני התשלום של ינואר. </t>
  </si>
  <si>
    <t>שאלה 11</t>
  </si>
  <si>
    <t>שוב שאלה עם סקר שוק שכבר בוצע, ולכן לא רלוונטי בעליל - הוא אמנם ישולם בעתיד הכל טוב ויפה, אך זוהי עלות</t>
  </si>
  <si>
    <t xml:space="preserve">שבנקודת הזמן הנוכחית אין כל דרך להמנע ממנה. לכן איננה רלוונטית לקבלת החלטות. </t>
  </si>
  <si>
    <t>מסים על ההכנסה לפי 30%</t>
  </si>
  <si>
    <t>שימו לב, לעניין מכר ההשקעה, יש שתי שיטות הצגה שמראים בפתרונות.</t>
  </si>
  <si>
    <t>שיטה אחת מראה את התזרים ברוטו בזמן 5 בסך 10, ולמעלה מכניסה לרווחים את רווח ההון שהוא 10 (כי הפריט הופחת</t>
  </si>
  <si>
    <t xml:space="preserve">במלואו). </t>
  </si>
  <si>
    <t>שיטה אחרת שהצגנו בתרגול אומרת - עזבו את רווח ההון מההצגה בשורות העליונות, חשבו את התזרים נטו מהמכירה,</t>
  </si>
  <si>
    <t xml:space="preserve">שהוא לפי התזרים ברוטו 10 בניכוי מס על ה-10 הללו (מס של 30%) כך שהתזרים נטו הוא 7. </t>
  </si>
  <si>
    <t>סוגיות נוספות שנשאלתי לגביהן ע״י סטודנטים וסטודנטיות לדורותיהן</t>
  </si>
  <si>
    <t>שנים 1-5</t>
  </si>
  <si>
    <t>שנים 6-20</t>
  </si>
  <si>
    <t>שנים 21-30</t>
  </si>
  <si>
    <t>משוואת הפתרון:</t>
  </si>
  <si>
    <t>103.2745x = 1,032,745</t>
  </si>
  <si>
    <t>תרגיל בית 1 - שאלה 8 (לרציונל פתרון מלא בשאלה מקבילה - עיינו בתרגול 2 שאלה 5)</t>
  </si>
  <si>
    <t>תרגיל בית 1 - שאלה 6 (לרציונל פתרון מלא בשאלה מקבילה - עיינו בתרגול 1 שאלה 5)</t>
  </si>
  <si>
    <t xml:space="preserve">ניתן לקבל 1,000 כל שנה 3 שנים, ו-1,200 כל שנה בכל שנה עוקבת 10 שנים. </t>
  </si>
  <si>
    <t>או: לקבל 15,000 בעוד 5 שנים.</t>
  </si>
  <si>
    <t>מה החלופה המועדפת?</t>
  </si>
  <si>
    <t>כאשר ישנה סדרה שכוללת תקבולים שמשתנים בשלב מסוים, מדובר בסדרה מורכבת, ואת ערכה</t>
  </si>
  <si>
    <t>הנוכחי נחשב מהסוף להתחלה. כלומר, נתחיל בערך נוכחי ל-1,200 - 10 תשלומים, ולאחר מכן</t>
  </si>
  <si>
    <t xml:space="preserve">נצרף זאת (בדרך של העברת PV ל-FV בסימן הפוך) עבור הסדרה של 1,000 בכל שנה 3 שנים. </t>
  </si>
  <si>
    <t>כך נקבל:</t>
  </si>
  <si>
    <t>time 4-13</t>
  </si>
  <si>
    <t>time 1-3</t>
  </si>
  <si>
    <t>כלומר שווי החלופה כ-10,728 ש״ח.</t>
  </si>
  <si>
    <t>החלופה הקלה של 15,000 בעוד 5 שנים:</t>
  </si>
  <si>
    <t>כלומר שווי החלופה כ-11,753 ש״ח ולכן היא תועדף.</t>
  </si>
  <si>
    <t>מבחן 1</t>
  </si>
  <si>
    <t>מבחן 2</t>
  </si>
  <si>
    <t>מבחן 3</t>
  </si>
  <si>
    <t>מבחן 4</t>
  </si>
  <si>
    <t>2, 4, 12</t>
  </si>
  <si>
    <t>3, 6, 13</t>
  </si>
  <si>
    <t>2, 14</t>
  </si>
  <si>
    <t>ריבית אפקטיבית</t>
  </si>
  <si>
    <t>6,9</t>
  </si>
  <si>
    <t>8,9,10,11</t>
  </si>
  <si>
    <t>1, 5, 15</t>
  </si>
  <si>
    <t>5,8</t>
  </si>
  <si>
    <t>14,15</t>
  </si>
  <si>
    <t>הלוואות (לוחות סילוקין)</t>
  </si>
  <si>
    <t>2,4,5</t>
  </si>
  <si>
    <t>4, 8, 9</t>
  </si>
  <si>
    <t>פרויקטים - תזרימים נתונים</t>
  </si>
  <si>
    <t>5,7,9,13</t>
  </si>
  <si>
    <t>1, 2,4,10,12,15</t>
  </si>
  <si>
    <t>12,13</t>
  </si>
  <si>
    <t>תזרימי מזומנים</t>
  </si>
  <si>
    <t>3,7,11</t>
  </si>
  <si>
    <t>6,7</t>
  </si>
  <si>
    <t>11,12</t>
  </si>
  <si>
    <r>
      <rPr>
        <sz val="11"/>
        <rFont val="David"/>
        <family val="2"/>
        <charset val="177"/>
      </rPr>
      <t>1, 11</t>
    </r>
    <r>
      <rPr>
        <sz val="12"/>
        <rFont val="David"/>
        <family val="2"/>
        <charset val="177"/>
      </rPr>
      <t>,</t>
    </r>
    <r>
      <rPr>
        <sz val="11"/>
        <rFont val="David"/>
        <family val="2"/>
        <charset val="177"/>
      </rPr>
      <t>14</t>
    </r>
    <r>
      <rPr>
        <sz val="12"/>
        <rFont val="David"/>
        <family val="2"/>
        <charset val="177"/>
      </rPr>
      <t>,</t>
    </r>
    <r>
      <rPr>
        <sz val="11"/>
        <rFont val="David"/>
        <family val="2"/>
        <charset val="177"/>
      </rPr>
      <t>15</t>
    </r>
  </si>
  <si>
    <t>ממוצע</t>
  </si>
  <si>
    <t>משקל ממוצע</t>
  </si>
  <si>
    <t>עברנו בתרגול המסכם 6.10.2024</t>
  </si>
  <si>
    <t>לאחר מכן, בחלוף שנה בדיוק [החל מזמן 21], הוא מתחיל למשוך סכום שנתי בסוף כל שנה במשך 5 שנים של 4,500 [שנים: 21-25]</t>
  </si>
  <si>
    <t>לאחר מכן, בכל שנה מהשנתיים העוקבות [שנים: 26-27], מושך 5,000 ש״ח. לאחר מכן, בסוף השנה ה-28, הוא מושך את היתרה.</t>
  </si>
  <si>
    <t xml:space="preserve">השאלה מורכבת - ראשית, משום שסכומי המשיכות משתנים (סדרת משיכות מורכבת / מספר סדרות), </t>
  </si>
  <si>
    <t xml:space="preserve">ושנית, משום שהערך שאותו נדרש לחלץ הוא היתרה בתום התקופה (FV). </t>
  </si>
  <si>
    <t>שואלים מהו סכום היתרה (בשאלה נתון שריבית השנתית 7%).</t>
  </si>
  <si>
    <t xml:space="preserve">א. חשב את הערך העתידי FV של ההפקדה / ההפקדות עד ל״ערב הפרישה״ - תקופה אחת לפני תחילת המשיכות. </t>
  </si>
  <si>
    <t xml:space="preserve">במקרה זה, אם ההפקדה היא ל-20 שנה, אני פשוט מחשב ערך עתידי FV לזמן 20. </t>
  </si>
  <si>
    <r>
      <t xml:space="preserve">ב. חשב את הערך הנוכחי PV של </t>
    </r>
    <r>
      <rPr>
        <b/>
        <sz val="12"/>
        <color theme="1"/>
        <rFont val="David"/>
        <family val="2"/>
        <charset val="177"/>
      </rPr>
      <t>המשיכות</t>
    </r>
    <r>
      <rPr>
        <sz val="12"/>
        <color theme="1"/>
        <rFont val="David"/>
        <family val="2"/>
        <charset val="177"/>
      </rPr>
      <t xml:space="preserve">, </t>
    </r>
    <r>
      <rPr>
        <u/>
        <sz val="12"/>
        <color theme="1"/>
        <rFont val="David"/>
        <family val="2"/>
        <charset val="177"/>
      </rPr>
      <t>לאותה נקודת זמן</t>
    </r>
    <r>
      <rPr>
        <sz val="12"/>
        <color theme="1"/>
        <rFont val="David"/>
        <family val="2"/>
        <charset val="177"/>
      </rPr>
      <t xml:space="preserve">. לרבות היתרה בתום התקופה. אבל הואיל והיתרה הנ״ל ״בסוף״ לא נתונה, נתעלם ממנה. </t>
    </r>
  </si>
  <si>
    <t xml:space="preserve">ג. נחשב את ההפרש בין ה-FV של סך ההפקדות ל-PV של סך המשיכות (לא כולל המשיכה של היתרה בסוף) לזמן 20 - נצפה לקבל הפרש חיובי.  </t>
  </si>
  <si>
    <t>ד. הפרש זה, יתרה במונחי זמן 20, נקדם לזמן 28 כדי למצוא את היתרה לזמן 28 (נקודת הזמן שבה תתקיים היתרה) ע״י מכפלה פשוטה ב-1 ועוד הריבית.</t>
  </si>
  <si>
    <t>יתרה לאותה נקודה לזמן 20</t>
  </si>
  <si>
    <t xml:space="preserve">38,697 - 24,896 = </t>
  </si>
  <si>
    <t xml:space="preserve">13,800 * (1 + 7%)^8 = </t>
  </si>
  <si>
    <t>סדרות המשיכה במונחי PV</t>
  </si>
  <si>
    <t>מה למדתי?</t>
  </si>
  <si>
    <t xml:space="preserve">בשאלות עם הפקדות ומשיכות - </t>
  </si>
  <si>
    <t xml:space="preserve">להפקדות מבצעים FV, למשיכות PV. </t>
  </si>
  <si>
    <t>אם סדרת המשיכות היא מורכבת, כלומר</t>
  </si>
  <si>
    <t>כוללת כמה תתי סדרות, חישוב ערכה הנוכחי PV</t>
  </si>
  <si>
    <t>יבוצע ״מהסוף להתחלה״ כלומר, מחשבים PV</t>
  </si>
  <si>
    <t>לסדרה המאוחרת יותר, ומזינים את התוצאה</t>
  </si>
  <si>
    <t>בתור ה-FV (בסימן הפוך) של הסדרה המוקדמת</t>
  </si>
  <si>
    <t>יותר...</t>
  </si>
  <si>
    <t>אם נשארת יתרה בסוף תקופת המשיכות,</t>
  </si>
  <si>
    <t>המשמעות היא שקיים הפרש בין PV משיכות</t>
  </si>
  <si>
    <t>ל-FV הפקדות, ויש לבטאו באמצעות הכפלה</t>
  </si>
  <si>
    <t>מתאימה בריבית - לנקודת הזמן אליה מחושבת</t>
  </si>
  <si>
    <t>היתרה.</t>
  </si>
  <si>
    <t>המרצה בחר לחשב את הערך העתידי של ההפקדות לזמן 25.</t>
  </si>
  <si>
    <t>אם אכן בוחרים כך, אזי גם את המשיכות צריך לבטא במונחי אותה נקודת זמן.</t>
  </si>
  <si>
    <t>ובמצב כזה, כמובן שיחושב ערך עתידי למשיכות בזמן 21-25 כסדרה.</t>
  </si>
  <si>
    <t xml:space="preserve">באותה נקודה - הוא חישב את ההפרש: 28,396. </t>
  </si>
  <si>
    <t>ואותו דחף לזמן 27: כך מתקבל שההפרש בגין המשיכות הראשונות לזמן 27 הוא 32,510.</t>
  </si>
  <si>
    <t xml:space="preserve">המשיכות הנוספות נדחפו גם הן ל-27, ואז חושב שוב ההפרש. </t>
  </si>
  <si>
    <t>ואז הערך נדחף עוד שנה קדימה מ-27 ל-28 על מנת לדעת מהי התוצאה.</t>
  </si>
  <si>
    <t>עוד נתון שזרמי המזומנים צמודים ב-70% למדד, ונדרש הענ״נ (NPV) של תכנית ההשקעה.</t>
  </si>
  <si>
    <t xml:space="preserve">כדי לחשב NPV עליי לדעת את תזרימי המזומנים נטו (נתון) וגם את הריבית המשמשת בהיוונם. </t>
  </si>
  <si>
    <r>
      <t xml:space="preserve">באופן כללי - רוצים לחשב </t>
    </r>
    <r>
      <rPr>
        <b/>
        <sz val="12"/>
        <color theme="1"/>
        <rFont val="David"/>
        <family val="2"/>
        <charset val="177"/>
      </rPr>
      <t>ערך נוכחי</t>
    </r>
    <r>
      <rPr>
        <sz val="12"/>
        <color theme="1"/>
        <rFont val="David"/>
        <family val="2"/>
        <charset val="177"/>
      </rPr>
      <t xml:space="preserve"> של </t>
    </r>
    <r>
      <rPr>
        <b/>
        <sz val="12"/>
        <color theme="1"/>
        <rFont val="David"/>
        <family val="2"/>
        <charset val="177"/>
      </rPr>
      <t>תזרימים ריאליים</t>
    </r>
    <r>
      <rPr>
        <sz val="12"/>
        <color theme="1"/>
        <rFont val="David"/>
        <family val="2"/>
        <charset val="177"/>
      </rPr>
      <t xml:space="preserve"> (שכפופים למנגנון הצמדה) </t>
    </r>
    <r>
      <rPr>
        <b/>
        <sz val="12"/>
        <color theme="1"/>
        <rFont val="David"/>
        <family val="2"/>
        <charset val="177"/>
      </rPr>
      <t>בריבית ריאלית (מחיר ההון הריאלי)</t>
    </r>
    <r>
      <rPr>
        <sz val="12"/>
        <color theme="1"/>
        <rFont val="David"/>
        <family val="2"/>
        <charset val="177"/>
      </rPr>
      <t>.</t>
    </r>
  </si>
  <si>
    <r>
      <t xml:space="preserve">בשונה מכך - ערך נוכחי של </t>
    </r>
    <r>
      <rPr>
        <b/>
        <sz val="12"/>
        <color theme="1"/>
        <rFont val="David"/>
        <family val="2"/>
        <charset val="177"/>
      </rPr>
      <t>תזרימים</t>
    </r>
    <r>
      <rPr>
        <sz val="12"/>
        <color theme="1"/>
        <rFont val="David"/>
        <family val="2"/>
        <charset val="177"/>
      </rPr>
      <t xml:space="preserve"> שקליים (</t>
    </r>
    <r>
      <rPr>
        <b/>
        <sz val="12"/>
        <color theme="1"/>
        <rFont val="David"/>
        <family val="2"/>
        <charset val="177"/>
      </rPr>
      <t>נומינליים</t>
    </r>
    <r>
      <rPr>
        <sz val="12"/>
        <color theme="1"/>
        <rFont val="David"/>
        <family val="2"/>
        <charset val="177"/>
      </rPr>
      <t xml:space="preserve">) - תזרימי מזומנים שלגביהם לא חל מנגנון הצמדה, </t>
    </r>
    <r>
      <rPr>
        <b/>
        <sz val="12"/>
        <color theme="1"/>
        <rFont val="David"/>
        <family val="2"/>
        <charset val="177"/>
      </rPr>
      <t>מחשבים בריבית נומינלית (מחיר הון נומינלי)</t>
    </r>
    <r>
      <rPr>
        <sz val="12"/>
        <color theme="1"/>
        <rFont val="David"/>
        <family val="2"/>
        <charset val="177"/>
      </rPr>
      <t>.</t>
    </r>
  </si>
  <si>
    <t>תזרים כולל</t>
  </si>
  <si>
    <t>נתון בשאלה</t>
  </si>
  <si>
    <t>פיצול של כלל התזרימים (למעט ההשקעה שהיא בזמן 0 ולכן סכומה הוא</t>
  </si>
  <si>
    <t>ערכה הנוכחי) לרכיב 70% שהוא ריאלי (צמוד) ולרכיב 30% שהוא נומינלי (לא צמוד)</t>
  </si>
  <si>
    <t>רכיב צמוד (70%) - ריאלי</t>
  </si>
  <si>
    <t>רכיב לא צמוד (30%) - נומינלי</t>
  </si>
  <si>
    <t>את התזרים הנומינלי - נהוון במחיר הון נומינלי - לא נתון, אך ניתן לחישוב לפי משוואת פישר:</t>
  </si>
  <si>
    <t>(1 + 4%) * (1 + 6%) = (1 + rn)</t>
  </si>
  <si>
    <t xml:space="preserve">rn = </t>
  </si>
  <si>
    <t>המטרה היא להוון תזרימים בתדירות שנתית,</t>
  </si>
  <si>
    <t xml:space="preserve">ולכן מחיר ההון צריך להיות לשנה. </t>
  </si>
  <si>
    <t>ולכן התבססנו על ריבית לשנה אחת ואינפלציה לשנה אחת.</t>
  </si>
  <si>
    <r>
      <t xml:space="preserve">את התזרימים הריאליים, נהוון במחיר הון ריאלי </t>
    </r>
    <r>
      <rPr>
        <sz val="12"/>
        <color rgb="FFFF0000"/>
        <rFont val="David"/>
        <family val="2"/>
        <charset val="177"/>
      </rPr>
      <t>4%</t>
    </r>
    <r>
      <rPr>
        <sz val="12"/>
        <color theme="1"/>
        <rFont val="David"/>
        <family val="2"/>
        <charset val="177"/>
      </rPr>
      <t xml:space="preserve"> נתון.</t>
    </r>
  </si>
  <si>
    <t>NPV Income</t>
  </si>
  <si>
    <t>ה-NPV של ההכנסות הריאליות</t>
  </si>
  <si>
    <t>אלו שצמודות למדד</t>
  </si>
  <si>
    <t>ה-NPV של ההכנסות הנומינליות</t>
  </si>
  <si>
    <t>אלו שאינן צמודות למדד</t>
  </si>
  <si>
    <t>בניכוי עלויות ראשוניות</t>
  </si>
  <si>
    <t xml:space="preserve">בזמן 0 קרי עלות </t>
  </si>
  <si>
    <t>ההשקעה</t>
  </si>
  <si>
    <t>שכר העבודה השנתי כיום 3,000 (תזרים שלילי שוטף), והוא במונחים ריאליים - יעלה בשיעור 12% לשנה.</t>
  </si>
  <si>
    <r>
      <t xml:space="preserve">נתחיל מטבלת תזרימים המתייחסת רק </t>
    </r>
    <r>
      <rPr>
        <b/>
        <sz val="12"/>
        <color theme="1"/>
        <rFont val="David"/>
        <family val="2"/>
        <charset val="177"/>
      </rPr>
      <t>לערכים ריאליים</t>
    </r>
    <r>
      <rPr>
        <sz val="12"/>
        <color theme="1"/>
        <rFont val="David"/>
        <family val="2"/>
        <charset val="177"/>
      </rPr>
      <t xml:space="preserve"> אלו:</t>
    </r>
  </si>
  <si>
    <t>ערך נוכחי של כלל התזרימים הריאליים (ללא השפעות מיסים של פחת)</t>
  </si>
  <si>
    <t>נעבור לטבלת ערכים נומינליים - כלומר, הערך הנוכחי החיובי הנוצר כתוצאה ממגיני / זיכויי מגן המס על הפחת (ללא השקעה שכבר נדונה לעיל):</t>
  </si>
  <si>
    <t xml:space="preserve">700,000 / 2 = </t>
  </si>
  <si>
    <t>עלות השקעה חלקי תקופת הפחתה</t>
  </si>
  <si>
    <t>למעשה, זה הפסד</t>
  </si>
  <si>
    <t>בגין הפסדים והוצאות - קיימת השפעת מס חיובית לפי מכפלת סכום ההוצאה / ההפסד בשיעור המס</t>
  </si>
  <si>
    <t>לחילופין: תמיד אפשר לחשב בצורה מהירה את ההשפעה התזרימית הספציפית של הפחת</t>
  </si>
  <si>
    <t>על בסיס ערך חיובי תקופתי בגבוה הוצאות הפחת כפול שיעור המס:</t>
  </si>
  <si>
    <t>700,000 / 2 * 40% = 140,000</t>
  </si>
  <si>
    <t xml:space="preserve">rn = (1 + 10%) * (1 + 5%) - 1 = </t>
  </si>
  <si>
    <t>הערך הנוכחי של התזרימים הנומינליים. עליי להוסיפו לערך הנוכחי של התזרימים</t>
  </si>
  <si>
    <t xml:space="preserve">הריאליים כדי להגיע לענ״נ הכולל. </t>
  </si>
  <si>
    <t xml:space="preserve">ערך נוכחי תזרימים ריאליים (כולל גילום השקעה בזמן 0). </t>
  </si>
  <si>
    <t xml:space="preserve">ערך נוכחי תזרימים נומינליים (מגיני המס על הפחת בערכם הנוכחי). </t>
  </si>
  <si>
    <t>כל עלות ״טרום עסקית״</t>
  </si>
  <si>
    <t>כזו שתשלומה או המחויבות לשלמה</t>
  </si>
  <si>
    <t>נוצרה בעבר, טרם קבלת ההחלטה</t>
  </si>
  <si>
    <t>בנקודת הזמן הנוכחית, איננה</t>
  </si>
  <si>
    <t>רלוונטית לקבלת החלטות ולא תהווה</t>
  </si>
  <si>
    <t>חלק מרכיבי תזרימי המזומנים</t>
  </si>
  <si>
    <t>לחישוב הענ״נ.</t>
  </si>
  <si>
    <t>ביצוע</t>
  </si>
  <si>
    <t>דוחה</t>
  </si>
  <si>
    <t>תזרימי המזומנים של פרויקט</t>
  </si>
  <si>
    <t xml:space="preserve">הם תמיד ולעולם רק ההפרש </t>
  </si>
  <si>
    <t>בין שני העולמות הללו</t>
  </si>
  <si>
    <t xml:space="preserve">באפשרויות המענה ישנם מגוון מחירי הון (5%, 10%, 25%). לכן הדרך הנכונה היא לחשב את ה-NPV לכל מחירי ההון לסוגיהם. </t>
  </si>
  <si>
    <t>Csh. Deditor &gt;&gt;&gt;</t>
  </si>
  <si>
    <t>בהנחה שהפרויקטים לא מוציאים זה את זה, כל הפרויקטים כדאיים - ענ״נ חיובי</t>
  </si>
  <si>
    <t>בהנחה שהפרויקטים לא מוציאים זה את זה, רק A ו-C כדאיים</t>
  </si>
  <si>
    <t>בהנחה שהפרויקטים מוציאים זה את זה - לוקחים את הגבוה מביניהם - C.</t>
  </si>
  <si>
    <t>בהנחה שהפרויקטים מוציאים זה את זה - לוקחים את הגבוה מביניהם - A.</t>
  </si>
  <si>
    <t xml:space="preserve">הטענה היחידה הנכונה היא טענה 1. </t>
  </si>
  <si>
    <t>…Forever</t>
  </si>
  <si>
    <t>אינסופית</t>
  </si>
  <si>
    <t>תזרים שנתי, ריבית שנתית</t>
  </si>
  <si>
    <t>תזרימים אחת לשנתיים, נדרשת ריבית לשנתיים</t>
  </si>
  <si>
    <r>
      <rPr>
        <sz val="12"/>
        <color theme="0"/>
        <rFont val="David"/>
        <family val="2"/>
        <charset val="177"/>
      </rPr>
      <t>,</t>
    </r>
    <r>
      <rPr>
        <sz val="12"/>
        <color theme="1"/>
        <rFont val="David"/>
        <family val="2"/>
        <charset val="177"/>
      </rPr>
      <t>=(1+12%)^2-1</t>
    </r>
  </si>
  <si>
    <t>חישוב ערך נוכחי של סדרה אינסופית</t>
  </si>
  <si>
    <t>שמתחילה בזמן 5 לזמן 0</t>
  </si>
  <si>
    <t>ערך נוכחי לסדרה האינסופית הנתונה</t>
  </si>
  <si>
    <t>הואיל והתזרימים כל שנתיים, וההתחלה ב-5,</t>
  </si>
  <si>
    <t>הערך הנוכחי הסדרתי מקפיץ שנתיים אחורה ביחס ל-5</t>
  </si>
  <si>
    <t>כלומר לזמן 3</t>
  </si>
  <si>
    <t xml:space="preserve">התאמה </t>
  </si>
  <si>
    <t>של 3</t>
  </si>
  <si>
    <t>נוספות</t>
  </si>
  <si>
    <t>לאחור</t>
  </si>
  <si>
    <t>בריבית שנתית</t>
  </si>
  <si>
    <t xml:space="preserve">כך מקבלים ערך נוכחי של הסדרה האינסופית לזמן 0. </t>
  </si>
  <si>
    <t>חישוב ערך נוכחי של סדרה</t>
  </si>
  <si>
    <t>סופית שנתית מזמן 1 לזמן 4</t>
  </si>
  <si>
    <t>סדרה זו מתחילה בזמן 1</t>
  </si>
  <si>
    <t>והיא בתדירותש נתית</t>
  </si>
  <si>
    <t>לכן הקפיצה האוטומטית</t>
  </si>
  <si>
    <t>תקופת תשלום אחת אחורה מובילה שנה אחת לפני</t>
  </si>
  <si>
    <t>זמן 1 - כלומר לזמן 0 ואין צורך בהתאמה.</t>
  </si>
  <si>
    <t>ניקח את ההלוואה בסך 5,000 ש״ח בזמן אפס, ובזמן 1, מבוצע התשלום הראשון. בהתחשב</t>
  </si>
  <si>
    <t>יתרה</t>
  </si>
  <si>
    <t>ע״ח קרן</t>
  </si>
  <si>
    <t>פריסה מפה ואילך</t>
  </si>
  <si>
    <t>בשיטה שפיצרית</t>
  </si>
  <si>
    <t>מספר התשלומים (2 עד 10)</t>
  </si>
  <si>
    <t>היתרה לנקודת הזמן שממנה ואילך התשלומים קבועים ולפיכך נפרסים כשפיצר</t>
  </si>
  <si>
    <t>בשפיצר - יתרת תום התקופה 0</t>
  </si>
  <si>
    <t xml:space="preserve">השאלה דנה בחוסך שמעוניין להבטיח לעצמו הכנסה חודשית בסך 2,500 בסוף כל חודש 10 שנים. </t>
  </si>
  <si>
    <t>הסכום יתקבל לראשונה בעוד חודש.</t>
  </si>
  <si>
    <t>שואלים כמה צריך להפקיד היום כדי לאפשר זאת, בהנחה שהריבית הנקובה 24% לשנה, מחושבת חודשית.</t>
  </si>
  <si>
    <t>בעיקרון - השאלה פשוטה מאד. הסכום החד פעמי שצריך להפקיד כדי לממן סדרת תשלומים חייב להיות הערך</t>
  </si>
  <si>
    <t xml:space="preserve">הנוכחי קרי PV של סדרת התשלומים (המשיכות). </t>
  </si>
  <si>
    <t xml:space="preserve">השאלה המעניינת כאן היא לגבי הריבית. </t>
  </si>
  <si>
    <t>מה פשר ריבית נקובה 24% מחושבת חודשית?</t>
  </si>
  <si>
    <t>ובכן, צריך לעבוד על זה לאט.</t>
  </si>
  <si>
    <t>קודם כל, נדע: בחישובים של ערך נוכחי, אני תמיד צריך ריבית אפקטיבית.</t>
  </si>
  <si>
    <t xml:space="preserve">לעניין סדרות, ולא משך העסקה הכולל). </t>
  </si>
  <si>
    <t>הואיל והריבית שנתית נקובה, מחושבת כל חודש, התהליך בחישוב הריבית נשען על הנוסחה ה״מורכבת״ אשר</t>
  </si>
  <si>
    <t>כוללת שני חלקים - העברת הריבית הנקובה לריבית לתקופת חישוב, ואז החזרתה למונחים אפקטיביים עם מעריך</t>
  </si>
  <si>
    <t>חזקה מתאים. כלומר:</t>
  </si>
  <si>
    <t>וביישום:</t>
  </si>
  <si>
    <t>כשההסבר הוא:</t>
  </si>
  <si>
    <t>הערך 24% זו הריבית הנקובה. המהלך הראשון הוא להעביר אותה לתקופת חישוב אחת על ידי חלוקה מתאימה.</t>
  </si>
  <si>
    <t>הואיל והנקובה שנתית, והחישוב כל חודש, החלוקה היא ב-12.</t>
  </si>
  <si>
    <t>השלב הבא הוא מעריך החזקה. מעריך החזקה הוא התשובה לשאלה - כמה תקופות חישוב (כאן - חודש) נכנסות</t>
  </si>
  <si>
    <t>בתוך תקופת הריבית הנדרשת (כאן - צריך ריבית חודשית, כי כאמור מדובר בסדרה שמרווח הזמן בין תזרימיה חודש).</t>
  </si>
  <si>
    <t xml:space="preserve">התשובה היא 1. </t>
  </si>
  <si>
    <t>כך מגיעים ל-2%.</t>
  </si>
  <si>
    <t>חדי העיין מביניכם בודאי יכולים לומר: ״שי, פשוט יכולנו לחלק 24% ב-12 וזהו״ וזה נכון. מה שניסיתי להראות</t>
  </si>
  <si>
    <t>זה שמדובר למעשה במקרה פרטי של חישוב ריבית אפקטיבית כאשר הריבית נקובה ומחושבת מספר פעמים.</t>
  </si>
  <si>
    <t xml:space="preserve">זו לא נוסחה שונה, או לוגיקה אחרת. </t>
  </si>
  <si>
    <t>וזה הכל. ברגע שיש את זה אפשר לחשב:</t>
  </si>
  <si>
    <t>השאלה עוסקת בהלוואה ל-5 שנים שדורשת ניכוי מראש בשיעור 30%, רוצים לדעת מהי הריבית האפקטיבית השנתית</t>
  </si>
  <si>
    <t xml:space="preserve">לכל אורך תקופת ההלוואה. </t>
  </si>
  <si>
    <t>יש כמה גישות. כנראה הגישה הפשוטה ביותר היא זו האומרת שברגע שיש עסקה שכל מה שהיא כוללת זה תשלום</t>
  </si>
  <si>
    <t>ריבית מראש / ניכוי מראש, ולא נתונים הסכומים הכספיים, אפשר להניח (לשם פשטות) שהסכום הוא 100, ואז</t>
  </si>
  <si>
    <t>להשתמש בערכי הניכוי כדי להציג את התזרים בתחילת התקופה ובתום התקופה וממנו לחלץ את הריבית</t>
  </si>
  <si>
    <t>האפקטיבית לתקופת העסקה כולה.</t>
  </si>
  <si>
    <t>לאחר שהריבית האפקטיבית לתקופת העסקה כולה בידינו, אין שום בעיה להמיר אותה לשנה עם מעריך חזקה</t>
  </si>
  <si>
    <t>מתאים.</t>
  </si>
  <si>
    <t xml:space="preserve">זמן </t>
  </si>
  <si>
    <t>קרן ראשונית - נניח 100</t>
  </si>
  <si>
    <t>ניכוי מראש לפי 30% מה-100</t>
  </si>
  <si>
    <t>תזרים נטו</t>
  </si>
  <si>
    <t>החזר קרן ראשונית</t>
  </si>
  <si>
    <t>היחס בין סך התשלום בסוף לסך התקבול בהתחלה, נטו, הוא הריבית האפקטיבית לתקופת העסקה כולה. כאן:</t>
  </si>
  <si>
    <t>שאלות לגבי תכני התרגולים - אליי, ,בשמחה וגיל: shay.tsaban@gmail.com.</t>
  </si>
  <si>
    <t>נושא ראשון (והיחיד במפגש זה, ככל הנראה) - ערך נוכחי - PV</t>
  </si>
  <si>
    <t>***</t>
  </si>
  <si>
    <t>שימו לב: המושג ״ריבית תקופתית״ מתייחס לפרק הזמן של הריבית הנתונה.</t>
  </si>
  <si>
    <t>כאן ספציפית נתונה ריבית חודשית.</t>
  </si>
  <si>
    <t>בהתאם לתקופת הריבית, יש לקבוע בהתאם את ה-n שמתייחס למספר תקופות הריבית.</t>
  </si>
  <si>
    <t>בשיק 123, תקופת התקבול היא בעוד חודש, והואיל והריבית חודשית, ה-n שווה ל-1.</t>
  </si>
  <si>
    <t>הרחבה - האם ניתן, באמצעות המחשבון הפיננסי לחשב ערך נוכחי מצרפי / כולל של צרור שיקים בפעולה אחת?</t>
  </si>
  <si>
    <t>כן!</t>
  </si>
  <si>
    <t>הריבית לפרק הזמן בין תשלומים</t>
  </si>
  <si>
    <t>Csh. D. Editor &gt;&gt;&gt;&gt;&gt; EXE &gt;&gt;&gt;&gt;&gt;&gt;</t>
  </si>
  <si>
    <t>הווה, היום, זמן 0</t>
  </si>
  <si>
    <t>ערך נוכחי מצרפי של כלל השיקים:</t>
  </si>
  <si>
    <t xml:space="preserve">אספרסו אומר: </t>
  </si>
  <si>
    <t xml:space="preserve">״שי, הדגש להם - CMPD ישרת אותי בערך נוכחי / עתידי של סכום יחיד או סדרות קבועות (אותן נציג בהמשך), </t>
  </si>
  <si>
    <t>וה-CASH ישרתני בעיקר בערך נוכחי של סדרות סכומים שערכיהן משתנים״</t>
  </si>
  <si>
    <t>בנוסחאות המתמטיות הריבית מסומנת r</t>
  </si>
  <si>
    <t>במחשבון הפיננסי, נקודה ״1״ היא זמן 0, ובה אין תזרים באף עסקה.</t>
  </si>
  <si>
    <t>במחשבון הפיננסי, נקודה ״2״ היא זמן 1, וכן הלאה...</t>
  </si>
  <si>
    <t>דרך ראשונה - CASH</t>
  </si>
  <si>
    <t>דרך שנייה - CMPD</t>
  </si>
  <si>
    <t xml:space="preserve">אם נתקלתי בסדרת תזרימים קבועה שמופע איברה הראשון איננו בעוד תקופה אחת - אלא בזמן אחר, </t>
  </si>
  <si>
    <t>אפעל כך לשם חישוב הערך הנוכחי לזמן 0:</t>
  </si>
  <si>
    <t xml:space="preserve">שאלה 2.1 - לשם המחשה נוספת של הכלים הרלוונטיים לחישוב ערך נוכחי של סדרה קבועה דחויה </t>
  </si>
  <si>
    <t>בונידו שוקל לרכוש נכס שצפוי להניב לו סכום של 50,000 ש״ח בתום כל שנה במשך 9 שנים, כאשר התקבול הראשון</t>
  </si>
  <si>
    <t>יבוצע בתום השנה ה-4.</t>
  </si>
  <si>
    <t>בהנחה שהריבית השנתית היא 3%, מהו הסכום המירבי שיסכים בונידו לשלם בעד הנכס היום?</t>
  </si>
  <si>
    <t>היום</t>
  </si>
  <si>
    <t>תקבול ראשון</t>
  </si>
  <si>
    <t>תקבול אחרון</t>
  </si>
  <si>
    <t>pmt = 50,000</t>
  </si>
  <si>
    <t>n = 9</t>
  </si>
  <si>
    <t>r = 3%</t>
  </si>
  <si>
    <t>דרך מתמטית:</t>
  </si>
  <si>
    <t>דרך CMPD:</t>
  </si>
  <si>
    <t>דרך CASH:</t>
  </si>
  <si>
    <t>שאלה 4 - איזון אקטוארי - הפקדות ומשיכות</t>
  </si>
  <si>
    <t xml:space="preserve">הריבית השנתית 6% (שימו לב לפרשנות - משיכה ראשונה בגיל 73 בתכל׳ס). הוא מפקיד בתום כל שנה עד ערב פרישתו. </t>
  </si>
  <si>
    <t>בן 97</t>
  </si>
  <si>
    <t>ערך נוכחי סדרה קבועה (של משיכות), גם מתמטית וגם מחשבונית:</t>
  </si>
  <si>
    <t>ֿ</t>
  </si>
  <si>
    <t xml:space="preserve">כעת נבטא את הערך העתידי של סדרת ההפקדות. </t>
  </si>
  <si>
    <t>מטרתנו היא להצליח לצבור סכום עתידי ערב הפרישה</t>
  </si>
  <si>
    <t>שהוא שווה ליתרת הצבירה הנדרשת (PV של המשיכות):</t>
  </si>
  <si>
    <t>על פי המשפט: באיזון אקטוארי חייב להתקיים שוויון</t>
  </si>
  <si>
    <t>בין הערך העתידי של ההפקדות לערך הנוכחי של המשיכות:</t>
  </si>
  <si>
    <t>ההפקדה השנתית שתדרש כדי לעמוד בסכומי משיכה אלו היא כ-5,598 ש״ח לשנה</t>
  </si>
  <si>
    <t xml:space="preserve">FV </t>
  </si>
  <si>
    <t>בחישובי ערך עתידי, יוזן PV רק אם ישנה הפקדה מיידית בזמן 0</t>
  </si>
  <si>
    <t>במחשבון פיננסי:</t>
  </si>
  <si>
    <t xml:space="preserve">במחשבון פיננסי אי אפשר לבצע ישירות חילוץ של x במצב כזה מורכב. אני עושה כאן טריק: נניח שאני מפקיד שקל אחד כל תקופה. </t>
  </si>
  <si>
    <t>סכום ההפקדה התקופתית הקבועה</t>
  </si>
  <si>
    <t>תרגול 3 - ריבית אפקטיבית</t>
  </si>
  <si>
    <t>הבהרה לגבי תכני האתר:</t>
  </si>
  <si>
    <t>שלא הוצגה ולא נלמדה. שני הדגשים:</t>
  </si>
  <si>
    <t>למשל, אם אני רוצה לחשב סכום החזר בהלוואת שפיצר, ואני מפנה ללוח שבו אני שולף מספר שמתאים ל-7% ו-4 תשלומים,</t>
  </si>
  <si>
    <t xml:space="preserve">זו בסך הכל הצבה בנוסחת ערך נוכחי סדרתי של 7% ו-4 תשלומים. </t>
  </si>
  <si>
    <t>ההדגש המורכב (אם בא לכם להשתמש בזה בכל זאת) - מה שהלוח שאליו אני מפנה באקסל מציג זה פשוט את התוצאות של נוסחת ערך נוכחי סדרתי.</t>
  </si>
  <si>
    <t xml:space="preserve">הבנתי שהקלטה שנקראת ״נספח א למפגש 2״ לטובת לוחות סילוקין היתה פחות ברורה לאור העובדה שכוללת התייחסות לטבלת אקסל </t>
  </si>
  <si>
    <t xml:space="preserve">ההדגש הקל - אפשר בהחלט לפתור רק על בסיס המוצג בהדרכה שנקראת ״נספח ב למפגש 2״. פשוט תתעלמו מנספח א.  </t>
  </si>
  <si>
    <t xml:space="preserve">לוחות סילוקין - שפיצר ורגיל - יש כאן תוכן כתוב שמדריך, לא נוכל לעבור עליו. תתמודדו עם מה שכתוב ותשאלו. </t>
  </si>
  <si>
    <t xml:space="preserve">ריבית אפקטיבית והנחות היסוד שלה - זה מאד חשוב ומאד מאד מרכזי. </t>
  </si>
  <si>
    <t>לומדים לבד, יש הקלטה באתר (נספח ב)</t>
  </si>
  <si>
    <t>מפה מתחיל החלק המוקלט של המפגש בסמסטר 2025א. החלק הקודם נפתר אם תרצו בהקלטת שנה שעברה (נספח ב).</t>
  </si>
  <si>
    <t>או ההלוואה בהתאמה.</t>
  </si>
  <si>
    <t xml:space="preserve">אנו כבר יודעים שאם ישנה דרך לחשב את הריבית הכספית (בש״ח), כלומר את ההפרש בין סכום הריבית לבין </t>
  </si>
  <si>
    <t xml:space="preserve">סכום ההלוואה / הקרן, אנו יודעים את הריבית האפקטיבית. </t>
  </si>
  <si>
    <t>כאן - במקום המקרה הקלאסי ״תשלם היום 1,000 או בעוד 3 חודשים 1,200״ הניסוח מתייחס למרחק זמן</t>
  </si>
  <si>
    <t xml:space="preserve">בין שתי נקודות זמן עתידיות: </t>
  </si>
  <si>
    <t>ריבית כספית בש״ח לפרק הזמן של 3 חודשים - 200:</t>
  </si>
  <si>
    <r>
      <t xml:space="preserve">הוא הריבית האפקטיבית </t>
    </r>
    <r>
      <rPr>
        <b/>
        <u/>
        <sz val="12"/>
        <color theme="1"/>
        <rFont val="David"/>
        <family val="2"/>
        <charset val="177"/>
      </rPr>
      <t>לתקופת העסקה (לפרק הזמן בין התשלומים/פרק הזמן במהלכו הריבית נצברת)</t>
    </r>
    <r>
      <rPr>
        <sz val="12"/>
        <color theme="1"/>
        <rFont val="David"/>
        <family val="2"/>
        <charset val="177"/>
      </rPr>
      <t>.</t>
    </r>
  </si>
  <si>
    <t>המכנה: מספר תקופות חישוב הריבית בתקופת הריבית הנקובה</t>
  </si>
  <si>
    <t>המעריך: מספר תקופות חישוב הריבית בתקופה של הריבית האפקטיבית שצריך לחשב</t>
  </si>
  <si>
    <r>
      <t xml:space="preserve">ז. הריבית (הנקובה) לחצי שנה היא 6% </t>
    </r>
    <r>
      <rPr>
        <u/>
        <sz val="12"/>
        <color theme="1"/>
        <rFont val="David"/>
        <family val="2"/>
        <charset val="177"/>
      </rPr>
      <t>בחישוב חודשי</t>
    </r>
  </si>
  <si>
    <t>לקחתי הלוואה</t>
  </si>
  <si>
    <t>בניכוי ריבית מראש</t>
  </si>
  <si>
    <t>תקבול נטו</t>
  </si>
  <si>
    <t>החזר</t>
  </si>
  <si>
    <t xml:space="preserve">מלשון deduction, ניכוי, ללמדנו שנוסחה זו מתייחסת למצבי ריבית מראש. </t>
  </si>
  <si>
    <t>שאלה ממבחן (מבחן לדוגמא 2)</t>
  </si>
  <si>
    <t>קרן ההלוואה (הנחה)</t>
  </si>
  <si>
    <t>ניכוי מראש</t>
  </si>
  <si>
    <t>תזרים נטו מיידי</t>
  </si>
  <si>
    <t>תשלום</t>
  </si>
  <si>
    <t xml:space="preserve">כאשר אני מחשב את הריבית האפקטיבית על בסיס היחס בין התזרים בתום התקופה לתזרים בתחילת התקופה, פחות אחת, </t>
  </si>
  <si>
    <t xml:space="preserve">התוצאה המתקבלת היא הריבית האפקטיבית לתקופת העסקה - לכן כאן קיבלתי ריבית אפקטיבית ל-5 שנים. </t>
  </si>
  <si>
    <t>נשאלת השאלה - כיצד אמיר ריבית אפקטיבית זו מ-5 שנים לשנה?</t>
  </si>
  <si>
    <t>כאן, אין ריבית המחושבת ״מספר פעמים״ או דיון אחר; כל שצריך לעשות הוא לקחת ריבית ורק להמיר את תקופתה.</t>
  </si>
  <si>
    <t>ההמרות האלו מבוצעות באמצעות מעריך חזקה מתאים בלבד.</t>
  </si>
  <si>
    <t>כאשר נתונה ריבית מראש, אפשר לחילופין להמנע מהצורך בהצגת הציר ופשוט להשתמש בנוסחה העקרונית של ריבית מראש:</t>
  </si>
  <si>
    <t xml:space="preserve">זו כאמור הריבית האפקטיבית ל-5 שנים, ואופן התאמתה יבוצע כמו שעשינו למעלה. </t>
  </si>
  <si>
    <t>תשובה א</t>
  </si>
  <si>
    <t>קרן ההלוואה</t>
  </si>
  <si>
    <t>הריבית האפקטיבית לתקופת העסקה כולה - שנתיים וחצי - על פי היחס בין התזרימים פחות אחת:</t>
  </si>
  <si>
    <t>המרה מתקופת העסקה כולה (שנתיים וחצי) לשנה:</t>
  </si>
  <si>
    <t>כאשר נתונה</t>
  </si>
  <si>
    <t>ריבית ״המחושבת כל״</t>
  </si>
  <si>
    <t>כל חודש, כל שנה, כל חציון</t>
  </si>
  <si>
    <t>זה לא המקרה פה...</t>
  </si>
  <si>
    <t>כאשר נתונה או חושבה</t>
  </si>
  <si>
    <t>ריבית כוללת ויש להמירה</t>
  </si>
  <si>
    <t>מתקופה אחת לאחרת</t>
  </si>
  <si>
    <t>זה המצב פה!!!</t>
  </si>
  <si>
    <t>כאשר נתונה ריבית המנוכה</t>
  </si>
  <si>
    <t>מראש.</t>
  </si>
  <si>
    <t>תרגול 4 - חישובי אג״ח</t>
  </si>
  <si>
    <t>חלק א - השלמות ותרגולים בנושא ריבית - חישובי ריבית אפקטיבית מנתוני סדרה והתאמת הריבית</t>
  </si>
  <si>
    <t>אלפחורס יכול לרכוש היום מחשב בעלות של 20,000 ש״ח. הוא יכול לשלם את מלוא התמורה במזומן, או</t>
  </si>
  <si>
    <t>לחילופין לשלם היום מקדמה בסכום של 2,000 ש״ח ובנוסף לשלם 2,000 ש״ח בתום כל חודש במשך 11 חודשים.</t>
  </si>
  <si>
    <t>מהי הריבית השנתית האפקטיבית המגולמת בהסדר התשלומים?</t>
  </si>
  <si>
    <t>שאלה זו, בשונה מרוב השאלות שנדונו בתרגול 3, כוללת ערכים של סדרת תשלומים (התשלום החודשי הקבוע</t>
  </si>
  <si>
    <t>עבור המחשב). בשאלות הדורשות חילוץ ריבית מנתונים סדרתיים, בשונה משאלות שפשוט מספקות ערכי ריבית</t>
  </si>
  <si>
    <t xml:space="preserve">אחוזיים שנדרשת המרתם - נעבוד בדרך שונה. </t>
  </si>
  <si>
    <t>התהליך יהיה כדלקמן:</t>
  </si>
  <si>
    <t>מקבל</t>
  </si>
  <si>
    <t>משלם</t>
  </si>
  <si>
    <t>נטו</t>
  </si>
  <si>
    <t>..</t>
  </si>
  <si>
    <t>ברגע שזיהיתי את הערך נטו המתקבל בזמן 0 (שווי המוצר בניכוי מקדמה קשורה), ואת סדרת התשלומים שתבוצע</t>
  </si>
  <si>
    <t>עבורו, בהכרח מתקיים - שהערך נטו בזמן אפס הוא למעשה ה-PV בסימן חיובי, סדרת ערכי התשלומים היא ה-PMT</t>
  </si>
  <si>
    <t>וחילוץ הריבית יכול להתבצע ביתר קלות:</t>
  </si>
  <si>
    <t>הערך המתקבל היום נטו בזמן 0</t>
  </si>
  <si>
    <t>התשלום התקופתי הקבוע בסימן שלילי</t>
  </si>
  <si>
    <t>אם היה תשלום או תקבול חד פעמי בסיום הסדרה...</t>
  </si>
  <si>
    <t>הריבית המחולצת</t>
  </si>
  <si>
    <t xml:space="preserve">הריבית שחולצה מהסדרה החודשית - היא ריבית לחודש בהגדרה. </t>
  </si>
  <si>
    <t xml:space="preserve">לפיכך, הואיל ונתבקשנו לחשב ריבית לשנה - עלינו להמירה. </t>
  </si>
  <si>
    <r>
      <t xml:space="preserve">הריבית המחולצת כ-%I, היא תמיד </t>
    </r>
    <r>
      <rPr>
        <b/>
        <sz val="12"/>
        <color theme="1"/>
        <rFont val="David"/>
        <family val="2"/>
        <charset val="177"/>
      </rPr>
      <t>אפקטיבית</t>
    </r>
    <r>
      <rPr>
        <sz val="12"/>
        <color theme="1"/>
        <rFont val="David"/>
        <family val="2"/>
        <charset val="177"/>
      </rPr>
      <t xml:space="preserve"> מה שאומר: יש לי כאן ריבית אפקטיבית לחודש, אני צריך להמירה לשנה.</t>
    </r>
  </si>
  <si>
    <t>המרת הריבית האפקטיבית מחודש לשנה מבוצעת באמצעות מעריך חזקה מתאים, ללא חלוקה או כפל:</t>
  </si>
  <si>
    <r>
      <t xml:space="preserve">חילוץ מתמטי </t>
    </r>
    <r>
      <rPr>
        <u/>
        <sz val="12"/>
        <color theme="1"/>
        <rFont val="David"/>
        <family val="2"/>
        <charset val="177"/>
      </rPr>
      <t>למי שרוצה</t>
    </r>
    <r>
      <rPr>
        <sz val="12"/>
        <color theme="1"/>
        <rFont val="David"/>
        <family val="2"/>
        <charset val="177"/>
      </rPr>
      <t>:</t>
    </r>
  </si>
  <si>
    <t>חלק ב - שאלה ספציפית לבקשתכם - תרגיל הגשה 1 שאלה 5 - ״מר בילדינג״</t>
  </si>
  <si>
    <t>מר בילדינג מתעניין בהשקעה בבניין משרדים.</t>
  </si>
  <si>
    <t xml:space="preserve">שיעור הריבית של מר בילדינג הנו 8%. </t>
  </si>
  <si>
    <t xml:space="preserve">א. מהו הסכום המירבי אותו יהיה מוכן לשלם עבור בניין המשרדים. </t>
  </si>
  <si>
    <t>השמאי קבע כי הבניין יניב 32,000 בסוף כל שנה 15 שנים, ולאחר מכן סכום של 23,000 בסוף כל שנה לאינסוף.</t>
  </si>
  <si>
    <t>.....</t>
  </si>
  <si>
    <t>Forever</t>
  </si>
  <si>
    <t xml:space="preserve">הסכום </t>
  </si>
  <si>
    <t>המירבי</t>
  </si>
  <si>
    <t>שנסכים לשלם</t>
  </si>
  <si>
    <t>הוא הערך הנוכחי</t>
  </si>
  <si>
    <t>של תקבולי הנכס</t>
  </si>
  <si>
    <t>PV(א) = FV(ב)</t>
  </si>
  <si>
    <t>מתמטית - מחברים את שני הביטויים (יוצא אותו דבר):</t>
  </si>
  <si>
    <t>סוגיה 1 - חישוב מחיר אג״ח (מכשיר פיננסי - אגרת חוב, מקנה למחזיק בו תשלומים מוגדרים היטב)</t>
  </si>
  <si>
    <t>נדרשת ריבית שוק חצי שנתית משום שפרק הזמן בין תשלומים כאן חצי שנה</t>
  </si>
  <si>
    <t>המרת ריבית השוק מתקופה אחת לאחרת היא תמיד באמצעות חזקה (לעולם לא באמצעות כפל)</t>
  </si>
  <si>
    <t>ישנן 6 תקופות ריבית</t>
  </si>
  <si>
    <t>שוק של חודש בחצי שנה</t>
  </si>
  <si>
    <t>הדגש יינתן בתרגול היום על:</t>
  </si>
  <si>
    <t>א. חזרה מושגית - רכיבי אג״ח.</t>
  </si>
  <si>
    <t xml:space="preserve">ב. חישוב מחיר אג״ח. </t>
  </si>
  <si>
    <t xml:space="preserve">ג. חילוץ תשואה לפדיון - ytm. </t>
  </si>
  <si>
    <t>והכל בהגדרות מבוססות מחשבון פיננסי.</t>
  </si>
  <si>
    <t>תרגיל בסגנון שאלה מס׳ 1 בתרגיל הגשה 3 - נושא: חישוב שיעור תשואה מתקופת החזקה באג״ח</t>
  </si>
  <si>
    <t xml:space="preserve">גוז׳ון רכש אג״ח במועד הנפקתה. אורך חיי האג״ח במועד הנפקתה 15 שנים. </t>
  </si>
  <si>
    <t xml:space="preserve">האג״ח היא בערך נקוב של 800 והיא נושאת ריבית נקובה שנתית בשיעור 8% המשולמת אחת לשנה. </t>
  </si>
  <si>
    <t xml:space="preserve">האג״ח תפדה בתשלום אחד בתום 15 השנים. </t>
  </si>
  <si>
    <t xml:space="preserve">במועד רכישת האג״ח - שיעור התשואה לפדיון הוא 5% לשנה. </t>
  </si>
  <si>
    <t>בחלוף 6 שנים מכר גוז׳ון את האג״ח. במועד המכירה, שיעור התשואה לפדיון 6% לשנה.</t>
  </si>
  <si>
    <t>נדרש: מהו שיעור התשואה התקופתי שהניב גוז׳ון במהלך תקופת החזקתו באג״ח?</t>
  </si>
  <si>
    <t>כדי לחשב את שיעור התשואה (הרווחיות באחוזים) אני צריך לדעת:</t>
  </si>
  <si>
    <t xml:space="preserve">א. כמה שילמתי - מחיר האג״ח במועד רכישתה ע״י המשקיע. </t>
  </si>
  <si>
    <t xml:space="preserve">ג. בכמה מכרתי - מחיר האג״ח במועד מכירתה ע״י המשקיע. </t>
  </si>
  <si>
    <t>ב. כמה קיבלתי - לאורך תקופת ההחזקה באג״ח - קופונים (תשלומי הריבית הנקובה) - ״טריביאלי״.</t>
  </si>
  <si>
    <t>מייצג את מספר התשלומים שנותרו לאג״ח במועד חישוב המחיר</t>
  </si>
  <si>
    <t>תשלום הקופון / הריבית התקופתית: ריבית נקובה * ערך נקוב</t>
  </si>
  <si>
    <t>בחישוב מחיר אג״ח - ה-FV הוא הערך הנקוב</t>
  </si>
  <si>
    <t>ראו מטה</t>
  </si>
  <si>
    <t>ריבית להיוון היא: שיעור תשואה לפדיון / ריבית השוק / אלטרנטיבית למועד החישוב</t>
  </si>
  <si>
    <t>שיעור תשואה עדכני לפדיון במועד המכירה</t>
  </si>
  <si>
    <t>מייצג את התשלומים שנותרו 15-6</t>
  </si>
  <si>
    <t>הקופון התקופתי נקבע בהנפקה וקבוע</t>
  </si>
  <si>
    <t>ה-FV הערך הנקוב</t>
  </si>
  <si>
    <t xml:space="preserve">שימו לב - בחישוב חוזר של מחיר האג״ח בחלוף תקופה / תקופות, הערכים היחידים שיתנו הם אלו המסומנים בריבוע - n ו- %I. </t>
  </si>
  <si>
    <t xml:space="preserve">כל היתר נקבע משפטית במועד ההנפקה. </t>
  </si>
  <si>
    <t>חילוץ שיעור תשואה בהתחשב במספר תקבולי הקופון:</t>
  </si>
  <si>
    <t>נכניס לחישוב ״בסוף״</t>
  </si>
  <si>
    <t>בשלב חילוץ התשואה - ה-n הוא מספר תקבולי הקופון</t>
  </si>
  <si>
    <t>מספר השנים שבהן המשקיע החזיק באג״ח</t>
  </si>
  <si>
    <t>ה-PMT לעולם לא משתנה! נקבע בהנפקה - מכפלת ריבית נקובה בערך נקוב</t>
  </si>
  <si>
    <t>שווי האג״ח במועד רכישתה (התשלום שבוצע על ידי המשקיע) ב-(-)</t>
  </si>
  <si>
    <t>זוהי למעשה התוצאה של שלב א</t>
  </si>
  <si>
    <t>שווי האג״ח במועד מכירתה (תמורת המכירה) שהתקבלה ב +</t>
  </si>
  <si>
    <t>זוהי למעשה התוצאה של שלב ב (בערך מוחלט)</t>
  </si>
  <si>
    <t>חילוץ שיעור התשואה שהניב המשקיע</t>
  </si>
  <si>
    <t>תרגיל נוסף בסגנון שאלה 3.1 - חישובי מחיר וחילוץ שיעור תשואה לתקופת החזקה</t>
  </si>
  <si>
    <t>תוכי קטן רכש אג״ח שערכה הנקוב 900 ש״ח שנתיים לאחר הנפקתה.</t>
  </si>
  <si>
    <t>במועד הנפקת האג״ח - שיעור התשואה לפדיון היה 4%.</t>
  </si>
  <si>
    <t xml:space="preserve">בחלוף שנתיים, שיעור התשואה לפדיון / ריבית השוק היה 6%. </t>
  </si>
  <si>
    <t>בחלוף 8 שנים (מההנפקה) - שיעור התשואה לפדיון היה 12%.</t>
  </si>
  <si>
    <t xml:space="preserve">התוכי הקטן מכר את האג״ח בחלוף 8 השנים הללו. </t>
  </si>
  <si>
    <t xml:space="preserve">הריבית הנקובה באג״ח היא ריבית שנתית בשיעור 5%. </t>
  </si>
  <si>
    <t>מהו שיעור התשואה לתקופת ההחזקה, אם האג״ח היא לתקופה כוללת של 20 שנה?</t>
  </si>
  <si>
    <t>מחיר הרכישה</t>
  </si>
  <si>
    <t>תמורת המכירה</t>
  </si>
  <si>
    <t>חילוץ התשואה</t>
  </si>
  <si>
    <t>שיעור התשואה השנתי</t>
  </si>
  <si>
    <t>של התוכי הקטן</t>
  </si>
  <si>
    <t>שלילי בשיעור 0.559%.</t>
  </si>
  <si>
    <t>תרגיל בנושא חישוב מחיר אג״ח - לפני ואחרי תשלום קופון</t>
  </si>
  <si>
    <t xml:space="preserve">קוקילידה שוקלת לרכוש אג״ח שערכה הנקוב 500 ש״ח. היא משלמת ריבית נקובה בשיעור 9% על בסיס שנתי. </t>
  </si>
  <si>
    <t xml:space="preserve">האג״ח תפרע בעוד 20 שנים. </t>
  </si>
  <si>
    <t>א. מהו מחיר האג״ח היום, אם ידוע ששיעור התשואה לפדיון הוא 12%?</t>
  </si>
  <si>
    <t>ב. מהו מחיר האג״ח בעוד שנתיים מהיום, רגע לאחר תשלום הקופון, אם ידוע ששיעור התשואה לפדיון הוא 14%?</t>
  </si>
  <si>
    <t>ג. מהו מחיר האג״ח בעוד 5 שנים מהיום, רגע לפני תשלום הקופון, אם ידוע ששיעור התשואה לפדיון הוא 8%?</t>
  </si>
  <si>
    <t>סעיף א</t>
  </si>
  <si>
    <t>סעיף ב</t>
  </si>
  <si>
    <t>סעיף ג</t>
  </si>
  <si>
    <t>מספר הקופונים</t>
  </si>
  <si>
    <t>שמוזן מדוייק</t>
  </si>
  <si>
    <t xml:space="preserve">כי הקופון </t>
  </si>
  <si>
    <t>האחרון כבר היה</t>
  </si>
  <si>
    <t>הקופונים</t>
  </si>
  <si>
    <t>כאן</t>
  </si>
  <si>
    <t>לא כולל</t>
  </si>
  <si>
    <t>את הקופון</t>
  </si>
  <si>
    <t>הנוסף</t>
  </si>
  <si>
    <t>שהוא מיידי</t>
  </si>
  <si>
    <t>בעוד רגע:</t>
  </si>
  <si>
    <t>שווי ללא הקופון המיידי</t>
  </si>
  <si>
    <t>קופון מיידי</t>
  </si>
  <si>
    <t xml:space="preserve">שווי כולל להיום </t>
  </si>
  <si>
    <t>גישה אחרת לחישוב שווי האג״ח אם אנו נמצאים רגע לפני הקופון הקרוב:</t>
  </si>
  <si>
    <t>לא ניתן להזין סתם כך קופון נוסף בתחשיב</t>
  </si>
  <si>
    <t>הואיל ובמצב כזה לא יינתן ביטוי להשפעת</t>
  </si>
  <si>
    <t xml:space="preserve">הזמן בגין העובדה שהקופון הקרוב - </t>
  </si>
  <si>
    <t>ממש קרוב</t>
  </si>
  <si>
    <t xml:space="preserve">התזרים הראשון מיידי. </t>
  </si>
  <si>
    <t>אבל החישוב לוקח ״אחת אחורה״</t>
  </si>
  <si>
    <t xml:space="preserve">כלומר לזמן 1-. </t>
  </si>
  <si>
    <t>לתקן קדימה:</t>
  </si>
  <si>
    <t xml:space="preserve">544.26 * (1 + 8%) = </t>
  </si>
  <si>
    <t>דרך שכן עובדת:</t>
  </si>
  <si>
    <t>מחשבים PV לכל התזרימים</t>
  </si>
  <si>
    <t>אבל מגלמים על כולו</t>
  </si>
  <si>
    <t>ריבית לתקופה אחת</t>
  </si>
  <si>
    <t>נוספת</t>
  </si>
  <si>
    <t>סיכום ביניים - סוגיות ליבה בחישובי שווי אג״ח וחילוצי תשואה:</t>
  </si>
  <si>
    <t xml:space="preserve">א. כדי לחלץ שיעור תשואה לתקופת ההשקעה, אחשב מחיר ברכישה, מחיר במכירה, ואבצע את החילוץ בהתחשב גם בקופונים בדרך. </t>
  </si>
  <si>
    <t xml:space="preserve">ב. כדי לחשב שווי אג״ח בכל נקודת זמן, אתבסס על מספר הקופונים שנותרו, סכומם, הערך הנקוב, והריבית העדכנית להיוון (שיעור תשואה לפדיון). </t>
  </si>
  <si>
    <t>ג. כאשר המטרה היא לחשב את שווי האג״ח מיד לאחר תשלום קופון מסוים יש 2 דרכים:</t>
  </si>
  <si>
    <t>דרך 1: לחשב את שווי האג״ח תוך התעלמות מוחלטת מהקופון הקרוב (להניח שהוא כבר שולם)</t>
  </si>
  <si>
    <t>ולאחר חישוב ה-PV להוסיף לערכו המוחלט את סכום הקופון.</t>
  </si>
  <si>
    <t xml:space="preserve">דרך 2: לחשב את שווי האג״ח תוך הכללת הקופון הנוסף (n גדול יותר ביחידה אחת) </t>
  </si>
  <si>
    <t xml:space="preserve">ואת ה-PV שמתקבל כתוצאה ״לדחוף״ קדימה ובכך לגלם עליו תקופת ריבית נוספת (מכפלה ב-1 ועוד הריבית). </t>
  </si>
  <si>
    <t>טיפים נוספים לתרגיל הגשה 3:</t>
  </si>
  <si>
    <t xml:space="preserve">שאלה 1 - חישוב תשואה שנתית במהלך תקופת החזקה / השקעה: דומה מאד לשתי השאלות הראשונות שפתרנו. </t>
  </si>
  <si>
    <t xml:space="preserve">ההבדל היחידי: במקום להשתמש במונח ״שיעור תשואה לפדיון״ משתמשים במונח ״הריבית במשק״. </t>
  </si>
  <si>
    <t>שאלה 2 - חישוב ״פשוט״ של מחיר אג״ח (לאחר תשלום ריבית). אין כלום.</t>
  </si>
  <si>
    <t>שאלה 3 - המחיר שבו כדאי לקנות אג״ח (PV) שנתיים לאחר ההנפקה, כאשר הריבית משולמת כל רבעון:</t>
  </si>
  <si>
    <t xml:space="preserve">ראו שאלה 2, תרגול 4. </t>
  </si>
  <si>
    <t xml:space="preserve">שאלה 4 - חישוב שווי אג״ח בשנים לא שלמות - ראו שאלה 3, תרגול 4. </t>
  </si>
  <si>
    <t>****</t>
  </si>
  <si>
    <t>גם כשפותרים בגישה מתמטית, עדיין התהליך הבסיסי בעינו עומד: מחשבים מחיר אג״ח היום, מחיר אג״ח</t>
  </si>
  <si>
    <t>במועד המכירה, ורק אז ניגשים לחילוץ.</t>
  </si>
  <si>
    <t>PMT = 8% * 800 = 64</t>
  </si>
  <si>
    <t>שווי אג״ח ברכישה:</t>
  </si>
  <si>
    <t>שווי אג״ח במכירה:</t>
  </si>
  <si>
    <t>חילוץ תשואה:</t>
  </si>
  <si>
    <t xml:space="preserve">ואז פותרים את המשוואה (או, אם מדובר בשאלה אמריקאית, אפשר להציב את אפשרויות המענה). </t>
  </si>
  <si>
    <r>
      <t xml:space="preserve">נספח </t>
    </r>
    <r>
      <rPr>
        <b/>
        <u/>
        <sz val="12"/>
        <color theme="1"/>
        <rFont val="David"/>
        <family val="2"/>
        <charset val="177"/>
      </rPr>
      <t>רשות</t>
    </r>
    <r>
      <rPr>
        <sz val="12"/>
        <color theme="1"/>
        <rFont val="David"/>
        <family val="2"/>
        <charset val="177"/>
      </rPr>
      <t xml:space="preserve"> - פתרון השאלה הראשונה בגישה מתמטית:</t>
    </r>
  </si>
  <si>
    <t xml:space="preserve">תרגול 5 - חישובי הצמדה - </t>
  </si>
  <si>
    <t>באופן כללי - אג״ח צמודה היא כזו שתזרימי המזומנים שהיא מניבה (קופונים וערך נקוב) ובהתאם גם שוויה</t>
  </si>
  <si>
    <t xml:space="preserve">משתנה בהתאם לאינפלציה. </t>
  </si>
  <si>
    <t xml:space="preserve">במועד ההנפקה, עדיין לא חלה עליית מדד / אינפלציה. חישוב מחיר האג״ח למעשה מתבסס על הגדלים המוגדרים באג״ח </t>
  </si>
  <si>
    <t xml:space="preserve">כלומר - קופון וערך נקוב, תוך התעלמות מוחלטת מאלמנט ההצמדה, שיקבל ביטוי בהמשך. </t>
  </si>
  <si>
    <t>הערך המחולץ - שווי האג״ח/מחירה במועד ההנפקה</t>
  </si>
  <si>
    <t>ריבית השוק העדכנית (הריאלית) למועד החישוב החדש-זהה</t>
  </si>
  <si>
    <t xml:space="preserve">7 * (1 + 54.44%) </t>
  </si>
  <si>
    <t>107 * (1 + 54.44%)</t>
  </si>
  <si>
    <t>100 * (1 + 54.44%)</t>
  </si>
  <si>
    <t>ערך נקוב עם אינפלציה כוללת</t>
  </si>
  <si>
    <t xml:space="preserve">שווי האג״ח לזמן 3, </t>
  </si>
  <si>
    <t>משום ש-PV לסדרה שמתחילה</t>
  </si>
  <si>
    <t>בזמן 4 תמיד מקפיץ ל-3</t>
  </si>
  <si>
    <t>מכפלה</t>
  </si>
  <si>
    <t>באחת</t>
  </si>
  <si>
    <t>ועוד ריבית</t>
  </si>
  <si>
    <t>לדחיפה</t>
  </si>
  <si>
    <t>מ-3 ל-4</t>
  </si>
  <si>
    <t xml:space="preserve">(1 + 7%)^3 * (1 + 8%) * (1 + 4%) - 1 = </t>
  </si>
  <si>
    <t xml:space="preserve">(1 + 2%)^56 - 1 = </t>
  </si>
  <si>
    <t>ג. מהו שיעור התשואה הריאלי/ריבית ריאלית בתקופה הרלוונטית?</t>
  </si>
  <si>
    <t>ד. מהו שיעור התשואה הריאלי / הריבית הריאלית במונחים שנתיים?</t>
  </si>
  <si>
    <t>אם בשאלה אין בכלל נתוני ריבית באחוזים אלא רק ערכים תזרימיים (כמה מקבלים וכמה משלמים):</t>
  </si>
  <si>
    <t>אינפלציה ל-4 שנים</t>
  </si>
  <si>
    <t>מטרתי לבטא אינפלציה לשנה 1 מתוך 4, לכן המעריך 1/4</t>
  </si>
  <si>
    <t xml:space="preserve">           שיעור אינפלציה כולל לכל 4 השנים</t>
  </si>
  <si>
    <t>האינפלציה השנתית</t>
  </si>
  <si>
    <t>לכל אחת מ-3 השנים הראשונות כנתון</t>
  </si>
  <si>
    <t>בחזקת 3 - כי 3 שנים</t>
  </si>
  <si>
    <t>לשנה</t>
  </si>
  <si>
    <t>ה-4</t>
  </si>
  <si>
    <t>שיש לחלץ</t>
  </si>
  <si>
    <t>מסקנה: האינפלציה בשנה ה-4</t>
  </si>
  <si>
    <t xml:space="preserve">היא 4.7621%. </t>
  </si>
  <si>
    <t>אופן החילוץ המתמטי, בהדרגה:</t>
  </si>
  <si>
    <t xml:space="preserve">. </t>
  </si>
  <si>
    <t>תרגול 7 - תרגילים לדוגמא ממבחנים בנושא אג״ח והצמדות</t>
  </si>
  <si>
    <t xml:space="preserve">מספר שאלות ממבחני דוגמא 1 ו-2 שהועלו / יועלו לאתר בהמשך. </t>
  </si>
  <si>
    <t>מספר תזרימי המזומנים שנותר לאג״ח לשלם בעתיד</t>
  </si>
  <si>
    <t>שיעור התשואה לפדיון (לעתים: ריבית השוק)</t>
  </si>
  <si>
    <t xml:space="preserve">באופן כללי - מחיר השוק של אגרת חוב לכל תאריך הוא ערך הנוכחי PV של תזרימי המזומנים שלה למועד החישוב. </t>
  </si>
  <si>
    <t>שווי האג״ח - הנדרש בסוף</t>
  </si>
  <si>
    <t>סכום הקופון התקופתי - המכפלה הפשוטה של הריבית הנקובה בערך הנקוב</t>
  </si>
  <si>
    <t xml:space="preserve">התשובה: 2. </t>
  </si>
  <si>
    <t xml:space="preserve">גם כאן - רוצים את שווי האג״ח - ערך נוכחי של תזרימי המזומנים העתידיים שנותרו לה. </t>
  </si>
  <si>
    <t>אלא שתזרימי המזומנים אינם שנתיים אלא רבעוניים.</t>
  </si>
  <si>
    <t xml:space="preserve">המשמעות: מספר תזרימי המזומנים n יהיה לפי מספר השנים כפול 4. </t>
  </si>
  <si>
    <t>הריבית ל-%I חייבת להיות שיעור תשואה לפדיון לרבעון. הוא נתון לשנה:</t>
  </si>
  <si>
    <t>המרה של שיעור תשואה לפדיון ממונחים שנתיים למונחים רבעוניים מבצעים תמיד עם מעריך חזקה:</t>
  </si>
  <si>
    <t xml:space="preserve">(1 + 10.381%)^(0.25) - 1 = </t>
  </si>
  <si>
    <t xml:space="preserve">גם הקופון או ה-PMT יישען על ריבית קופון רבעונית - הואיל וריבית הקופון שנתית, נדרש להמיר אותה. </t>
  </si>
  <si>
    <t>אלא שבשונה משיעור תשואה לפדיון - שמומר עם מעריך חזקה מתאים, המרת ריבית קופון היא ע״י חלוקה מתאימה</t>
  </si>
  <si>
    <t>בלבד - במקרה זה - חלוקה ב-4 כדי לעבור משנה לרבעון:</t>
  </si>
  <si>
    <t xml:space="preserve">10%/4 = </t>
  </si>
  <si>
    <t>בחישוב מחשבוני:</t>
  </si>
  <si>
    <r>
      <t xml:space="preserve">אם הריבית באג״ח זהה לשיעור התשואה לפדיון, הערך הנקוב זהה לשווי, ולכן שווי האג״ח כאן </t>
    </r>
    <r>
      <rPr>
        <b/>
        <sz val="12"/>
        <color theme="1"/>
        <rFont val="David"/>
        <family val="2"/>
        <charset val="177"/>
      </rPr>
      <t>100</t>
    </r>
    <r>
      <rPr>
        <sz val="12"/>
        <color theme="1"/>
        <rFont val="David"/>
        <family val="2"/>
        <charset val="177"/>
      </rPr>
      <t xml:space="preserve">. </t>
    </r>
  </si>
  <si>
    <t>לאג״ח נותרו עוד 15 שנות קיום, והתשלומים - 4 בשנה, כל רבעון</t>
  </si>
  <si>
    <t>תשואה רבעונית לפדיון (לתקופת תשלום) על בסיס הערך השנתי בחזקה</t>
  </si>
  <si>
    <t>לפי ריבית נקובה שנתית 12%, חלקי 4 (לרבעון) כפול ערך נקוב 100</t>
  </si>
  <si>
    <t>קיים קשר (משוואת פישר) בין 3 ערכים:</t>
  </si>
  <si>
    <t xml:space="preserve">ריבית נומינלית ״אפקטיבית״ / ״כוללת״ </t>
  </si>
  <si>
    <t>שיעור האינפלציה</t>
  </si>
  <si>
    <t>אם יודעים שניים</t>
  </si>
  <si>
    <t>מבין 3 הערכים</t>
  </si>
  <si>
    <t xml:space="preserve">את השלישי מחלצים בקלות </t>
  </si>
  <si>
    <t>נתחיל מהדיון בדבר הריבית הנומינלית ״האפקטיבית״. כאן יש מידע לכאורה בדבר ריבית נומינלית אבל היא נקובה,</t>
  </si>
  <si>
    <t xml:space="preserve">והיא מחושבת רבעונית. </t>
  </si>
  <si>
    <t>כאשר נתקלים בריבית נקובה המחושבת כל ____ זמן, הדרך להמיר ממונחים נקובים למונחים אפקטיביים עוברת</t>
  </si>
  <si>
    <t>דרך תהליך כפול של חלוקה וחזקה:</t>
  </si>
  <si>
    <t>בנוסחת ההמרה, המכנה הוא מספר תקופות חישוב הריבית בתקופה הנקובה.</t>
  </si>
  <si>
    <t xml:space="preserve">כאן: תקופת חישוב ריבית היא רבעון, ישנם 4 רבעונים בשנה (תקופה נקובה). </t>
  </si>
  <si>
    <t>לכן חילקתי ב-4.</t>
  </si>
  <si>
    <t>ואילו המעריך של החזקה הוא מספר תקופות חישוב הריבית בתקופה שאליה</t>
  </si>
  <si>
    <t xml:space="preserve">רוצים להגיע. </t>
  </si>
  <si>
    <t xml:space="preserve">כאן: רוצים לבטא ריבית לשנה, לכן גם במעריך זה 4. </t>
  </si>
  <si>
    <t>אבל חשוב לשים לב שאם היו רוצים להגיע לריבית אפקטיבית חצי שנתית,</t>
  </si>
  <si>
    <t xml:space="preserve">המעריך היה 2. </t>
  </si>
  <si>
    <t>ריבית נומינלית כוללת</t>
  </si>
  <si>
    <t>במונחים אפקטיביים:</t>
  </si>
  <si>
    <t xml:space="preserve">בנוסף, האינפלציה הצפויה היא: 15% (נתון). </t>
  </si>
  <si>
    <t>בהתאם למשוואת פישר מתקיים:</t>
  </si>
  <si>
    <t>שיעור תשואה ריאלי שנתי:</t>
  </si>
  <si>
    <t>התשובה: ד.</t>
  </si>
  <si>
    <t>חלצו את ה-PMT כיאה ללוח שפיצר.</t>
  </si>
  <si>
    <t xml:space="preserve">הצמידו אותו למדד על בסיס מכפלה ביחס שבין המדד הידוע העדכני (במועד התשלום ה-10) לבין המדד הידוע הבסיסי (במועד נטילת ההלוואה). </t>
  </si>
  <si>
    <t>ההלוואה ל-3 שנים, מסולקת בתשלומים חודשיים, לכן מס׳ התשלומים הכולל:</t>
  </si>
  <si>
    <t>הריבית השנתית הנתונה היא במונחים אפקטיביים, המרתה משנה לחודש עם חזקה</t>
  </si>
  <si>
    <t>סכום ההלוואה - נתון</t>
  </si>
  <si>
    <t>יתרה לסילוק בסיום ההלוואה</t>
  </si>
  <si>
    <t>סכום להחזר תקופתי קבוע (שפיצר) לפני הצמדה</t>
  </si>
  <si>
    <t>נצמיד את התוצאה לאינפלציה על בסיס מפכלה ביחס בין המדד העדכני למדד הבסיס ונקבל:</t>
  </si>
  <si>
    <t xml:space="preserve">624.15 * 118/112 = </t>
  </si>
  <si>
    <t xml:space="preserve">התשובה הסופית - תשובה א. </t>
  </si>
  <si>
    <t>בשאלה זו שתי נקודות מרכזיות: האחת היא שכאשר אומרים שהריבית משולמת בסוף כל רבעון - זה לא סותר את העובדה שהריבית מחושבת כל רבעון</t>
  </si>
  <si>
    <t xml:space="preserve">לכל דבר ועניין, והמרתה בהתאם. </t>
  </si>
  <si>
    <t>הנקודה השניה היא - האם ניתן לחשב ריבית שנתית בגין עסקה ל-9 חודשים? והתשובה: בהחלט כן! כשם שאפשר לחשב מחיר לליטר דלק גם אם קניתי חצי ליטר.</t>
  </si>
  <si>
    <t>התוצאה המתקבלת:</t>
  </si>
  <si>
    <t>r = 4.24%</t>
  </si>
  <si>
    <t>שווי</t>
  </si>
  <si>
    <t>כספי</t>
  </si>
  <si>
    <t>של פרויקט</t>
  </si>
  <si>
    <t>שיעור</t>
  </si>
  <si>
    <t>התשואה</t>
  </si>
  <si>
    <t>התקופתי</t>
  </si>
  <si>
    <t>הממוצע</t>
  </si>
  <si>
    <t>בפרויקט</t>
  </si>
  <si>
    <t>באחוזים</t>
  </si>
  <si>
    <t>פרויקטים המוציאים</t>
  </si>
  <si>
    <t>זה את זה =</t>
  </si>
  <si>
    <t>ניתן לבצע לכל היותר</t>
  </si>
  <si>
    <t>אחד מביניהם</t>
  </si>
  <si>
    <t>כברירת מחדל:</t>
  </si>
  <si>
    <t xml:space="preserve">ההשקעה מיידית </t>
  </si>
  <si>
    <t>בזמן 0</t>
  </si>
  <si>
    <t xml:space="preserve">א. חשבו את שיעור התשואה הפנימי (השת״פ) של כל פרויקט. (שת״פ = IRR).  </t>
  </si>
  <si>
    <t>התשואה הנדרשת ע״י משקיעים</t>
  </si>
  <si>
    <t>&gt;&gt;&gt;&gt;&gt;&gt;&gt;&gt;</t>
  </si>
  <si>
    <t>CSh. D. Editor &gt;&gt;&gt; EXE &gt;&gt;&gt;&gt;&gt;</t>
  </si>
  <si>
    <t>&lt;&lt;&lt;&lt;&lt;&lt;</t>
  </si>
  <si>
    <t>נקניק (N)</t>
  </si>
  <si>
    <t>מחשב (M)</t>
  </si>
  <si>
    <t>בשונה מחילוץ IRR שלא דורש ידיעת מחיר ההון / תשואה אלטרנטיבית,</t>
  </si>
  <si>
    <t xml:space="preserve">לשם חישוב שווי הפרויקט NPV חובה לקבל ולהזין נתון זה. </t>
  </si>
  <si>
    <t>בסעיף ב של השאלה נתון שמחיר ההון 6%</t>
  </si>
  <si>
    <t>&gt;&gt;&gt;&gt;</t>
  </si>
  <si>
    <t xml:space="preserve">CSh. D. Editor &gt;&gt;&gt;&gt; </t>
  </si>
  <si>
    <t xml:space="preserve">N = </t>
  </si>
  <si>
    <t xml:space="preserve">M = </t>
  </si>
  <si>
    <t>שלב 2: חשבו את ה-IRR:</t>
  </si>
  <si>
    <t xml:space="preserve">IRR(N) = </t>
  </si>
  <si>
    <t xml:space="preserve">IRR(M) = </t>
  </si>
  <si>
    <t>שלב 3: רשמו את סכום ההשקעה:</t>
  </si>
  <si>
    <t xml:space="preserve">I(N) = </t>
  </si>
  <si>
    <t xml:space="preserve">I(M) = </t>
  </si>
  <si>
    <t>ענ״נ</t>
  </si>
  <si>
    <t>מחיר ההון</t>
  </si>
  <si>
    <t>נק׳ חיתוך עם ציר אופקי</t>
  </si>
  <si>
    <r>
      <t xml:space="preserve">שלב 1: סכמו את תזרימי כל פרויקט בנפרד או: הזן 0 = %I וחשב NPV = </t>
    </r>
    <r>
      <rPr>
        <b/>
        <sz val="12"/>
        <color theme="1"/>
        <rFont val="David"/>
        <family val="2"/>
        <charset val="177"/>
      </rPr>
      <t>נק׳ חיתוך עם ציר אנכי</t>
    </r>
    <r>
      <rPr>
        <sz val="12"/>
        <color theme="1"/>
        <rFont val="David"/>
        <family val="2"/>
        <charset val="177"/>
      </rPr>
      <t xml:space="preserve"> </t>
    </r>
  </si>
  <si>
    <t xml:space="preserve">כל הטריק בשאלה הזו קשור לפרויקט </t>
  </si>
  <si>
    <t>הנקניק הקר. בתרגילים קודמים, הצגנו</t>
  </si>
  <si>
    <t>פרויקטים ״רגילים״ (קונבנציונליים)</t>
  </si>
  <si>
    <t>של השקעות: אלו היו פרויקטים שבהם</t>
  </si>
  <si>
    <t>ישנה השקעה ראשונית (בסימן שלילי)</t>
  </si>
  <si>
    <t>שאחריה תזרימים חיוביים בלבד. כלומר</t>
  </si>
  <si>
    <t xml:space="preserve">התזרים משנה את סימנו פעם אחת בלבד. </t>
  </si>
  <si>
    <t>כאן: בפרויקט הנקניק הקר, ישנם שני</t>
  </si>
  <si>
    <t xml:space="preserve">היפוכי סימן של תזרימים. </t>
  </si>
  <si>
    <t xml:space="preserve">&gt;&gt;&gt; Solve IRR = </t>
  </si>
  <si>
    <t>תזרימי המזומנים של פרויקט זה משנים את סימנם (ממינוס לפלוס או להפך) יותר מפעם אחת. במקרה כזה, לא ניתן</t>
  </si>
  <si>
    <t xml:space="preserve">להגיע לערכי השת״פים הרלוונטיים באמצעות המחשבון הפיננסי. יש לפתור באופן מתמטי. </t>
  </si>
  <si>
    <t xml:space="preserve">ההגדרה המתמטית של השת״פ (IRR) היא: מחיר ההון שמוביל לאיפוס ה-NPV. </t>
  </si>
  <si>
    <t xml:space="preserve">וזה אומר שצריך לבנות את משוואת ה-NPV המתמטית, להציב בגורם ההיוון (ריבית להיוון) את ה-IRR, </t>
  </si>
  <si>
    <t>ולהשוות לאפס:</t>
  </si>
  <si>
    <t>הנוסחה בדף הנוסחאות היא:</t>
  </si>
  <si>
    <t xml:space="preserve">במלים: ההשקעה בסימן שלילי, ואחריה - כל אחד מתזרימי המזומנים לאחר מכן, </t>
  </si>
  <si>
    <t xml:space="preserve">מחולק ב-1 ועוד IRR בחזקת עיתויו ואת כל זה משווים ל-0. </t>
  </si>
  <si>
    <t xml:space="preserve">אפשר לסמן </t>
  </si>
  <si>
    <t>את המשוואה הריבועית במחשבון המדעי</t>
  </si>
  <si>
    <t>ניתן לפתור על ידי:</t>
  </si>
  <si>
    <t>Mode, 5, 3</t>
  </si>
  <si>
    <t>ואז הוא מקפיץ a, b, c שבתוכם מזינים.</t>
  </si>
  <si>
    <t xml:space="preserve">Solve NPV (נקניק חם) = </t>
  </si>
  <si>
    <t xml:space="preserve">Solve NPV (נקניק קר) = </t>
  </si>
  <si>
    <t>קודם אכלנו לקרדה</t>
  </si>
  <si>
    <t>כי נדרשנו לחשב IRR</t>
  </si>
  <si>
    <t xml:space="preserve">לפרויקט לא קונבנציונלי - </t>
  </si>
  <si>
    <t>נקניק קר.</t>
  </si>
  <si>
    <t>למזלנו, כשמדובר בחישוב NPV</t>
  </si>
  <si>
    <t>אין שום בעיה להפעילו</t>
  </si>
  <si>
    <t>על כל סוג פרויקט</t>
  </si>
  <si>
    <t>כדאי</t>
  </si>
  <si>
    <t>לא כדאי</t>
  </si>
  <si>
    <t xml:space="preserve">ג. עלויות ניקוי שאריות פופיקים מהמכונה שמשולמות בתום כל שנה הן 15,000 ש״ח. </t>
  </si>
  <si>
    <t>תום שנה שנייה - אין תזרים למשקיע הרוכש</t>
  </si>
  <si>
    <t>תום שנה שלישית - המשקיע יקבל</t>
  </si>
  <si>
    <t>תום שנה רביעית - המשקיע יקבל</t>
  </si>
  <si>
    <t>ב. הפרויקט דורש השקעה בקרקע בסך 500,000 ש״ח. הניחו ששווי הקרקע קבוע.</t>
  </si>
  <si>
    <t>התאמה - השקעות - במכונה</t>
  </si>
  <si>
    <r>
      <t xml:space="preserve">התאמה - החזר פחת - מכונה </t>
    </r>
    <r>
      <rPr>
        <sz val="9"/>
        <rFont val="David"/>
        <family val="2"/>
        <charset val="177"/>
      </rPr>
      <t>(על קרקע אין פחת)</t>
    </r>
  </si>
  <si>
    <t>הוצאות פחת (לא תזרימי) - מכונה בלבד</t>
  </si>
  <si>
    <t>הואיל והענ״נ (NPV) שלילי, הפרויקט לא כדאי</t>
  </si>
  <si>
    <t xml:space="preserve">ה. מחיר ההון של החברה 11% לשנה. </t>
  </si>
  <si>
    <t>מחיר ההון - נתון (ה) מפורש בשאלה</t>
  </si>
  <si>
    <t>הסבר מפורט מורחב לגבי התמורה נטו ממכירת השקעה בתום הפרויקט לאחר מס</t>
  </si>
  <si>
    <t>כדי שיהיה לכם כיף ללמוד למבחן</t>
  </si>
  <si>
    <t>סידרתי לכם את התמונה של הקמע של הקורס: אלפרד</t>
  </si>
  <si>
    <t>שאלה</t>
  </si>
  <si>
    <t>בניית תזרימי מזומנים להשקעות (בטבלה)</t>
  </si>
  <si>
    <t>בחירה בין חלופות רכישה של פריט - חישוב PV של כל חלופה ובחירה בנמוך</t>
  </si>
  <si>
    <t>בחירה בין חלופות הלוואה - כשכל נתוני הריבית באחוזים / נקובה / מראש: חישוב ריבית אפקטיבית בכל חלופה ובחירה בנמוכה</t>
  </si>
  <si>
    <t>שווי מבצע - שמתיר לשלם באופן מסוים במקום באופן אחר - יש לחשב את הפרש ה-PV בין חלופות התשלום</t>
  </si>
  <si>
    <t>פרויקטים שתזרימיהם נתונים - חילוץ מחיר הון שמוביל לשוויון בין החלופות (הפרשי) פינה</t>
  </si>
  <si>
    <t>חישוב מחיר אג״ח (רגילה / לא צמודה)</t>
  </si>
  <si>
    <t>פרויקט עם אינסוף תזרימי מזומנים עם מדד רווחיות PI נתון, ורוצים לחלץ את מחיר ההון</t>
  </si>
  <si>
    <t>הלוואת שפיצר - חילוץ PMT תשלום תקופתי, והצמדתו ע״י מכפלה במדד העדכני חלקי המדד הבסיסי</t>
  </si>
  <si>
    <t>חילוץ שת״פ בפרויקט לאינסוף</t>
  </si>
  <si>
    <t>דני מפקיד ולאחר מכן מבצע סדרת משיכות - שאלה המשלבת בין FV ל-PV איזון אקטוארי</t>
  </si>
  <si>
    <t>שאלת פינה בנושא חישוב ענ״נ לאחר שינוי בתקופת ההפחתה</t>
  </si>
  <si>
    <t>חילוץ סכום ה-PMT כאשר סכום ההפקדה היום PV נתון</t>
  </si>
  <si>
    <t>פינה - הצמדה חלקית של סכומים</t>
  </si>
  <si>
    <t>חישוב תזרימי פרויקט בעולם עם מסים וחילוץ NPV ו-IRR</t>
  </si>
  <si>
    <t>פינה - הצמדה חלקית של תזרימי מזומנים בפרויקט</t>
  </si>
  <si>
    <t>בשונה משאלות סטנדרטיות של פרויקטים שבהם אנו בונים בטבלה את תזרימי המזומנים המלאים</t>
  </si>
  <si>
    <t>הווי אומר - הכנסות, הוצאות, רווח לפני מס, מסים, החזר פחת... כאן - הענ״נ נתון, אין נתונים</t>
  </si>
  <si>
    <t>מפורטים על הכנסות והוצאות, ואני צריך למצוא את השינוי בענ״נ כתוצאה משינוי בתקופת</t>
  </si>
  <si>
    <t>ההפחתה והון חוזר.</t>
  </si>
  <si>
    <t xml:space="preserve">בואו ניצור מיני טבלה שמה שייכלל בה אלו הן ההשפעות של השינויים הנתונים בה. </t>
  </si>
  <si>
    <t>הוצאות פחת - שנרשמו</t>
  </si>
  <si>
    <t>הוצאות הפחת - מעודכנות</t>
  </si>
  <si>
    <t>תיקוני הוצאות הפחת המתבקשים</t>
  </si>
  <si>
    <t>שיעור המס - נתון</t>
  </si>
  <si>
    <t xml:space="preserve">עלייה / ירידה בזיכוי המס </t>
  </si>
  <si>
    <t xml:space="preserve">הפרש - פחת: מעודכן פחות מה שנרשם </t>
  </si>
  <si>
    <t>תיקון הנובע מהשקעה בהון חוזר (*)</t>
  </si>
  <si>
    <t>מה זה אומר השקעה בהון חוזר?</t>
  </si>
  <si>
    <t>השקעה בהון חוזר היא השקעה במלאי, באשראי לקוחות ופריטים דומים שאמורה לחזור לחברה בשלב מסוים / בסיום הפרויקט.</t>
  </si>
  <si>
    <t>כברירת מחדל, אם ציינו בשאלה השקעה בהון חוזר בתחילת הפרויקט, וזה הכל - ההנחה היא שכל מה שנצטרך לעשות זה להתייחס להשקעה זו</t>
  </si>
  <si>
    <t xml:space="preserve">כתזרים שלילי בזמן 0 ולקבלתה חזרה כתזרים חיובי בתום הפרויקט (כאן - בתום 10). </t>
  </si>
  <si>
    <t xml:space="preserve">כאן - סכום ההשקעה בהון חוזר נתון. </t>
  </si>
  <si>
    <r>
      <t xml:space="preserve">לגבי השפעות המס: </t>
    </r>
    <r>
      <rPr>
        <b/>
        <sz val="12"/>
        <color theme="1"/>
        <rFont val="David"/>
        <family val="2"/>
        <charset val="177"/>
      </rPr>
      <t xml:space="preserve">אין השפעות מס על הון חוזר. </t>
    </r>
  </si>
  <si>
    <t>סך השינויים ביחס למצב המוצא (צהובים)</t>
  </si>
  <si>
    <t xml:space="preserve">לאחר שסך השינוי בתזרימים בידי (בירוק) פשוט אזין אותם ב-CASH, אדאג ל-%I שכולל את מחיר ההון העדכני - אחשב NPV שייצג את השינוי ב-NPV. </t>
  </si>
  <si>
    <t>השינוי ב-NPV בתוספת ה-NPV המקורי לפני השינוי (שנתון בשאלה) = התשובה (NPV עדכני):</t>
  </si>
  <si>
    <t>מחיר ההון בשאלה נתון - 6%</t>
  </si>
  <si>
    <t>Csh. D.Editor &gt;&gt;&gt;&gt;EXE&gt;&gt;&gt;&gt;&gt;&gt;</t>
  </si>
  <si>
    <t xml:space="preserve">&gt;&gt;&gt; Solve   </t>
  </si>
  <si>
    <t>ענ״נ מקורי נתון:</t>
  </si>
  <si>
    <t>השינוי בענ״נ:</t>
  </si>
  <si>
    <t>ענ״נ עדכני - לאחר שינוי:</t>
  </si>
  <si>
    <t xml:space="preserve">1,100 - 80.37 = </t>
  </si>
  <si>
    <t>בזמן 0: הפער בתזרימים נובע רק מההשקעה בהון החוזר</t>
  </si>
  <si>
    <t xml:space="preserve">בזמן 1 עד 4 כולל: הפער בתזרימים נובע רק מהפרשי הפחת
</t>
  </si>
  <si>
    <t xml:space="preserve">בזמן 5 עד 9: הפער נובע מכך שלא יוכר יותר פחת
בהשוואה למצב המקורי:
</t>
  </si>
  <si>
    <t>גם השפעה שלילית של 40- בגין הפרשי פחת, וגם השפעה חיובית של 300 = קבלה חזרה של ההון החוזר</t>
  </si>
  <si>
    <t>כששואלים אותי על בחירה בין כמה אפשרויות לתשלום / תשלומים בעד מוצר, הדרך הנוחה ביותר לבחור היא על בסיס</t>
  </si>
  <si>
    <t xml:space="preserve">חישוב הערך הנוכחי של התשלומים בכל חלופה. הערך הנוכחי הזה (PV) למעשה משקף את המחיר בכל מסלול במונחי מזומן מיידי. </t>
  </si>
  <si>
    <t>נעדיף את החלופה שממזערת את הPV של התשלומים.</t>
  </si>
  <si>
    <t xml:space="preserve">חלופה א = בכל חלופה שבה ״משלמים במזומן״ הכוונה היא - משלמים היום. לכן סכום התשלום בחלופה הוא ה-PV. </t>
  </si>
  <si>
    <t xml:space="preserve">חלופה ב = החלופה כוללת סדרת תזרימי מזומנים קבועים, שניתן לחשב את ערכה הנוכחי באמצעות CMPD. </t>
  </si>
  <si>
    <t xml:space="preserve">טיפ: ה-CMPD לא יודע לטפל ולגלם בתוך ה-PV תשלום חד פעמי בהווה ששונה מיתר התשלומים בסדרה. </t>
  </si>
  <si>
    <t>לכן, מחשבים PV של הסדרה בלבד, ומוסיפים לו (הליך ידני נועז) את הסכום הנוסף במזומן:</t>
  </si>
  <si>
    <t xml:space="preserve">+ 600 = </t>
  </si>
  <si>
    <t>סה״כ ערך נוכחי חלופה ב:</t>
  </si>
  <si>
    <t>חלופה ג = אותו דבר, רק עם שינוי של סכום התשלום התקופתי ושינוי של התשלום המיידי בזמן 0:</t>
  </si>
  <si>
    <t xml:space="preserve">+ 1,000 = </t>
  </si>
  <si>
    <t>סה״כ ערך נוכחי חלופה ג:</t>
  </si>
  <si>
    <t xml:space="preserve">הואיל ובכל החלופות הערך הנוכחי של התשלומים העתידיים זהה, קיימת שקילות מבחינה כלכלית בין החלופות. </t>
  </si>
  <si>
    <t xml:space="preserve">זיהוי השאלה: בחירה בין חלופות. </t>
  </si>
  <si>
    <t>שהיא לגבי הלוואה.</t>
  </si>
  <si>
    <t xml:space="preserve">אין נתונים תזרימיים (כספיים) כלל - אלא רק נתוני ריבית באחוזים. </t>
  </si>
  <si>
    <t>כלי הפתרון:</t>
  </si>
  <si>
    <t xml:space="preserve">חישוב ריבית אפקטיבית באחוזים, ובחירה בחלופה הדורשת את שיעור הריבית הנמוך ביותר (הלוואה). </t>
  </si>
  <si>
    <t>טיפ(*):</t>
  </si>
  <si>
    <t>אילו היה מדובר בהשקעה בפקדון, התהליך הבסיסי זהה, אך בסופו היינו בוחרים בחלופה שבה הריבית האפקטיבית היא המירבית.</t>
  </si>
  <si>
    <t>א. ריבית שנתית נקובה של 20% מחושבת כל רבעון</t>
  </si>
  <si>
    <t>כאשר הריבית הנתונה נקובה &gt;&gt;&gt; וגם ״מחושבת כל״ &gt;&gt;&gt;&gt; ריבית נקובה המחושבת כריבית דריבית:</t>
  </si>
  <si>
    <t>תקופה
נקובה</t>
  </si>
  <si>
    <t>תקופה
נדרשת</t>
  </si>
  <si>
    <t>תקופת
חישוב</t>
  </si>
  <si>
    <t>רבעון</t>
  </si>
  <si>
    <t>ג. ריבית שנתית נקובה של 19% מחושבת יומית</t>
  </si>
  <si>
    <t>ב. ריבית מראש בשיעור 18%</t>
  </si>
  <si>
    <t>כאשר הריבית היא מראש, היא למעשה מנוכה מהסכום שמקבלים כהלוואה, במקום להתווסף לסכום שמשלמים בסוף.</t>
  </si>
  <si>
    <t>על כל שקל הלוואה שנטלתי</t>
  </si>
  <si>
    <t>אני משלם מיד ריבית 18%</t>
  </si>
  <si>
    <t>קרן ״נטו״ שעומדת לרשותי</t>
  </si>
  <si>
    <t>בנוסחה ממודלת:</t>
  </si>
  <si>
    <t>ד. ריבית ריאלית שנתית 18% כאשר ציפיות האינפלציה השנתית 3%</t>
  </si>
  <si>
    <t>כל הריביות האפקטיביות שחושבו לעיל במצבים השונים - הן למעשה ריביות ״כוללות״ או ״נומינליות״.</t>
  </si>
  <si>
    <t xml:space="preserve">כאן, דנים בריבית ריאלית, כשהכוונה היא לריבית צמודה: ריבית שפרט אליה נקבל גם את האינפלציה (הצמדה למדד). </t>
  </si>
  <si>
    <t>כדי לחשב את הריבית הכוללת על בסיס הריבית הריאלית נשתמש במשוואת פישר:</t>
  </si>
  <si>
    <t>הריבית הנומינלית / הכוללת</t>
  </si>
  <si>
    <t>שתהווה את הבסיס להשוואה לחלופות האחרות</t>
  </si>
  <si>
    <t xml:space="preserve">Rn = </t>
  </si>
  <si>
    <t>סיכום הממצאים והכרעה:</t>
  </si>
  <si>
    <t>חלופה</t>
  </si>
  <si>
    <t>הזולה ביותר - הנבחרת</t>
  </si>
  <si>
    <t>כשמציעים לנו לשלם בהסדר תשלומים מסוים, ולפתע מציעים הסדר אחר - השווי הנובע מכך הוא למעשה ההוזלה</t>
  </si>
  <si>
    <t xml:space="preserve">שנוצרת בעקבות המעבר להסדר החדש. כשאנו אומרים ״הוזלה״ = ההפרש בין הערך הנוכחי של ההסדר הישן </t>
  </si>
  <si>
    <t xml:space="preserve">אל מול השווי (PV) של ההסדר החדש. </t>
  </si>
  <si>
    <t>הסדר ישן</t>
  </si>
  <si>
    <t>הסדר חדש</t>
  </si>
  <si>
    <t>על פי הנוסחה:</t>
  </si>
  <si>
    <t>שווי המבצע / ההטבה - החסכון הנובע מהמעבר להסדר החדש:</t>
  </si>
  <si>
    <t xml:space="preserve">7,876.05 - 7,247.23 = </t>
  </si>
  <si>
    <t>התשובה!</t>
  </si>
  <si>
    <t xml:space="preserve">אם בשאלה שבה מופיעים נתונים לגבי שני פרויקטים כל מה שצריך כדי לקבוע מהו מחיר ההון שבו הפרויקטים </t>
  </si>
  <si>
    <r>
      <t>שקולים זה לזה - הוא ״</t>
    </r>
    <r>
      <rPr>
        <b/>
        <sz val="12"/>
        <color theme="1"/>
        <rFont val="David"/>
        <family val="2"/>
        <charset val="177"/>
      </rPr>
      <t>גישת הפרויקט ההפרשי</t>
    </r>
    <r>
      <rPr>
        <sz val="12"/>
        <color theme="1"/>
        <rFont val="David"/>
        <family val="2"/>
        <charset val="177"/>
      </rPr>
      <t>״:</t>
    </r>
  </si>
  <si>
    <t>לוקחים את תזרימי שני הפרויקטים.</t>
  </si>
  <si>
    <t xml:space="preserve">מחשבים את התזרים ההפרשי - ההפרש הפשוט בין תזרימי הפרויקטים. </t>
  </si>
  <si>
    <t>מחלצים את ה-IRR של התזרים ההפרשי כאמור.</t>
  </si>
  <si>
    <t>התוצאה (ה-IRR של ההפרש) היא בהגדרה מחיר ההון שמוביל לזהות בין הפרויקטים.</t>
  </si>
  <si>
    <t>ההפרש</t>
  </si>
  <si>
    <t>הגדול פחות הקטן</t>
  </si>
  <si>
    <t>נלך ל-CASH ונחלץ IRR על התזרים ההפרשי בלבד:</t>
  </si>
  <si>
    <t>I% = מעניין ת׳תחת</t>
  </si>
  <si>
    <t>כאשר כל מטרתנו היא לחלץ IRR, אין כל צורך להזין %I</t>
  </si>
  <si>
    <t>Csh. D.Editor &gt;&gt;&gt;&gt;&gt;&gt;&gt;&gt;&gt;&gt;&gt;&gt;&gt;&gt;&gt;&gt;&gt;</t>
  </si>
  <si>
    <t xml:space="preserve">הדרך המהירה והקצרה לחלץ את מחיר ההון שמוביל לאדישות בין שני פרויקטים היא ה-IRR על התזרים ההפרשי. </t>
  </si>
  <si>
    <t>התשובה ג:</t>
  </si>
  <si>
    <t>שאלה 6 - אג״ח</t>
  </si>
  <si>
    <t>שאלה לגבי אגרת חוב, ברוך  השם - ללא נתוני הצמדה - שכל מה שרוצים זה לדעת את מחירה, היא חישוב CMPD פשוט</t>
  </si>
  <si>
    <t>והערכת ה-PV (שווי האג״ח היום) לפי ההגדרות המתאימות לתזרימי האג״ח:</t>
  </si>
  <si>
    <t>מספר תזרימי המזומנים (הקופונים) שנותרו לאג״ח לבצע - במשך 15 שנה, 4 פעמים בשנה</t>
  </si>
  <si>
    <t>שיעור התשואה לפדיון (לעתים נקרא ריבית השוק) מתואם באמצעות חזקה לפרק הזמן בין תשלומים</t>
  </si>
  <si>
    <r>
      <rPr>
        <sz val="12"/>
        <color theme="0"/>
        <rFont val="David"/>
        <family val="2"/>
        <charset val="177"/>
      </rPr>
      <t>,</t>
    </r>
    <r>
      <rPr>
        <sz val="12"/>
        <color theme="1"/>
        <rFont val="David"/>
        <family val="2"/>
        <charset val="177"/>
      </rPr>
      <t>=((1+15%)^(1/4)-1)*100</t>
    </r>
  </si>
  <si>
    <t>סכום הקופון הוא המכפלה הפשוטה של הריבית הנקובה היחסית בערך הנקוב</t>
  </si>
  <si>
    <r>
      <rPr>
        <sz val="12"/>
        <color theme="0"/>
        <rFont val="David"/>
        <family val="2"/>
        <charset val="177"/>
      </rPr>
      <t>,</t>
    </r>
    <r>
      <rPr>
        <sz val="12"/>
        <color theme="1"/>
        <rFont val="David"/>
        <family val="2"/>
        <charset val="177"/>
      </rPr>
      <t>=12%/4*100</t>
    </r>
  </si>
  <si>
    <t>הערך הנקוב של האג״ח - תזרים מזומנים חד פעמי בסיום האג״ח</t>
  </si>
  <si>
    <r>
      <t xml:space="preserve">התוצאה - הערך המוחלט שלה הוא שווי / מחיר האג״ח - </t>
    </r>
    <r>
      <rPr>
        <b/>
        <sz val="12"/>
        <color theme="1"/>
        <rFont val="David"/>
        <family val="2"/>
        <charset val="177"/>
      </rPr>
      <t>תשובה א</t>
    </r>
    <r>
      <rPr>
        <sz val="12"/>
        <color theme="1"/>
        <rFont val="David"/>
        <family val="2"/>
        <charset val="177"/>
      </rPr>
      <t xml:space="preserve">. </t>
    </r>
  </si>
  <si>
    <t>כאשר אני מזהה לוח סילוקין שפיצר - הדבר הראשון שאני עושה זה לחשב את ה-PMT שלו, תוך התעלמות מוחלטת</t>
  </si>
  <si>
    <t xml:space="preserve">מהצמדות. </t>
  </si>
  <si>
    <t xml:space="preserve">בדרך זו אוכל לחלץ את התשלום התקופתי שלו, וגם אוכל להשתמש ב-AMRT כדי לבודד ערכים ספציפיים בלוח. </t>
  </si>
  <si>
    <t>הערכים שעדיין לא מגלמים הצמדה נקראים ערכים ״ריאליים״ וכל מה שנצטרך לעשות כדי להגיע לתשלום הכולל</t>
  </si>
  <si>
    <t xml:space="preserve">המבוקש - זה להצמיד אותם (לכפול ביחס בין המדד העדכני למדד ההיסטורי / הבסיסי). </t>
  </si>
  <si>
    <t>שלב 1 - שימוש ב-CMPD לחילוץ ה-PMT ״כאילו אין הצמדות בעולם״</t>
  </si>
  <si>
    <t>בהלוואות שפיצר - מוגדר כמספר התשלומים בהלוואה</t>
  </si>
  <si>
    <t>תשלומים חודשיים במשך 3 שנים, 36 = 12 * 3</t>
  </si>
  <si>
    <t>התשלומים חודשיים - אני רוצה ריבית חודשית</t>
  </si>
  <si>
    <r>
      <rPr>
        <sz val="12"/>
        <color theme="0"/>
        <rFont val="David"/>
        <family val="2"/>
        <charset val="177"/>
      </rPr>
      <t>,</t>
    </r>
    <r>
      <rPr>
        <sz val="12"/>
        <color theme="1"/>
        <rFont val="David"/>
        <family val="2"/>
        <charset val="177"/>
      </rPr>
      <t>=((1+8%)^(1/12)-1)*100</t>
    </r>
  </si>
  <si>
    <t>סכום ההלוואה</t>
  </si>
  <si>
    <t>Solve:</t>
  </si>
  <si>
    <t>התשלום התקופתי הקבוע - לפני / בהתעלם מההצמדות (ריאלי):</t>
  </si>
  <si>
    <t>שלב 2 - מכפלת ה-PMT ביחס בין המדד העדכני למדד הבסיס - כדי לבטא את הסכום הצמוד</t>
  </si>
  <si>
    <t>PMT(Zamud) = PMT(Real) * (Madad Adkani)/(Madad Basis)</t>
  </si>
  <si>
    <t xml:space="preserve">PMT(Zamud) = 624.15 * 118/112 = </t>
  </si>
  <si>
    <t xml:space="preserve">התשובה: א. </t>
  </si>
  <si>
    <t xml:space="preserve">מדובר בשאלה כמעט זהה לשאלה 1 במבחן זה, אשר פתרנו בתרגול הקודם ופתרונה המלא לעיל. </t>
  </si>
  <si>
    <t xml:space="preserve">ההבדל היחידי הוא שבעוד שבשאלה 1 היתה גם התייחסות להון חוזר - כאן - אין כזו. </t>
  </si>
  <si>
    <t>Cash:</t>
  </si>
  <si>
    <t>סך השינוי בענ״נ על בסיס הפרשי פחת:</t>
  </si>
  <si>
    <t>ענ״נ מקורי:</t>
  </si>
  <si>
    <r>
      <t xml:space="preserve">ענ״נ חדש - סופי - </t>
    </r>
    <r>
      <rPr>
        <b/>
        <sz val="12"/>
        <color theme="1"/>
        <rFont val="David"/>
        <family val="2"/>
        <charset val="177"/>
      </rPr>
      <t>תשובה א.</t>
    </r>
    <r>
      <rPr>
        <sz val="12"/>
        <color theme="1"/>
        <rFont val="David"/>
        <family val="2"/>
        <charset val="177"/>
      </rPr>
      <t xml:space="preserve"> </t>
    </r>
  </si>
  <si>
    <t xml:space="preserve">שאלה 8 </t>
  </si>
  <si>
    <t xml:space="preserve">התאמה - החזר פחת </t>
  </si>
  <si>
    <t xml:space="preserve">במקום לתת לי הכנסות בנפרד והוצאות בנפרד, </t>
  </si>
  <si>
    <t>נתנו לי את הרווח התפעולי לפני פחת, שהוא ההפרש ביניהם.</t>
  </si>
  <si>
    <t>כאשר הפחת באחוזים שונים בכל שנה - נתבסס על עלות הפריט</t>
  </si>
  <si>
    <t>בניכוי ערך הגרט שלו אם יש (כאן - אין) כפול שיעור הפחת השנתי</t>
  </si>
  <si>
    <t>הספציפי.</t>
  </si>
  <si>
    <t>מסים על ההכנסה לפי 35%</t>
  </si>
  <si>
    <t>חישוב ה- NPV יתבסס על CASH כדלקמן:</t>
  </si>
  <si>
    <t>נתון</t>
  </si>
  <si>
    <t xml:space="preserve">NPV </t>
  </si>
  <si>
    <r>
      <t xml:space="preserve">התאמה תזרים השקעות </t>
    </r>
    <r>
      <rPr>
        <sz val="8"/>
        <rFont val="David"/>
        <family val="2"/>
        <charset val="177"/>
      </rPr>
      <t>- במכונה</t>
    </r>
  </si>
  <si>
    <t>טענה א נכונה</t>
  </si>
  <si>
    <t>כדי לבחון נכונות טענה ב, על אותם תזרימים נבצע</t>
  </si>
  <si>
    <t xml:space="preserve">IRR </t>
  </si>
  <si>
    <t>לכן רק טענה א נכונה.</t>
  </si>
  <si>
    <t xml:space="preserve">שאלה 9 </t>
  </si>
  <si>
    <t>לריבית אפקטיבית שנתית.</t>
  </si>
  <si>
    <t>המדובר במקרה קלאסי של המרת ריבית נקובה המחושבת מספר פעמים (ריבית דריבית, מחושבת כל רבעון)</t>
  </si>
  <si>
    <t>הנוסחה הזו למעשה מורכבת משני אתגרים:</t>
  </si>
  <si>
    <t>זיהוי המכנה: מספר תקופות חישוב הריבית בתקופה הנקובה.</t>
  </si>
  <si>
    <t xml:space="preserve">כאן - הריבית הנקובה שנתית. תקופת החישוב: רבעון. כמה תקופות חישוב (כמה רבעונים) יש בשנה? 4. לכן זה המכנה. </t>
  </si>
  <si>
    <t xml:space="preserve">זיהוי המעריך: מספר תקופות חישוב הריבית בתקופה הנדרשת (בתקופת הריבית האפקטיבית). </t>
  </si>
  <si>
    <t>כאן - הריבית האפקטיבית הנדרשת שנתית. כמה תקופות חישוב ריבית (רבעונים) יש בשנה? 4. לכן הפעם זה גם המעריך.</t>
  </si>
  <si>
    <t>עצם העובדה שההלוואה ל-9 חודשים בלבד איננה מונעת מאיתנו למלא את הדרישה המפורשת של חישוב ריבית אפקטיבית לשנה שלמה.</t>
  </si>
  <si>
    <t xml:space="preserve">תשובה ב. </t>
  </si>
  <si>
    <t>4.5 Months</t>
  </si>
  <si>
    <t>כאשר מחלצים ריבית משני תזרימים באמצעות מחשבון פיננסי,</t>
  </si>
  <si>
    <t>אחד מהם (לא משנה מי) חייב להיות מוזן בסימן שלילי והאחר</t>
  </si>
  <si>
    <t>בסימן חיובי, אחרת Solve I יעניק Error</t>
  </si>
  <si>
    <t>6.5 Months</t>
  </si>
  <si>
    <t>כעת, כדי לגלגל את הסכום ״עוד קדימה״ מזמן 5.5 לזמן 12, ניקח את הריבית החודשית הזו ונשתמש בה לצבירה 6.5 חודשים נוספים:</t>
  </si>
  <si>
    <t xml:space="preserve">התשובה הסופית - סך הצבירה לתום החודש ה-12. </t>
  </si>
  <si>
    <t>תשובה ב</t>
  </si>
  <si>
    <t xml:space="preserve">אנחנו מכירים שאת ה-IRR מחלצים בדרך כלל על ידי הזנת כלל התזרימים ב-CASH. </t>
  </si>
  <si>
    <t xml:space="preserve">אלא, שכאשר התזרימים אינסופיים - זה כמובן לא עובד. </t>
  </si>
  <si>
    <t>מה שכן אפשר לעשות זה חישוב מתמטי, או קירוב מספק במחשבון. אנחנו נעבוד על הקירוב המספק במחשבון.</t>
  </si>
  <si>
    <t>שאלה 12 - אם אני נתקל בצורך לחשב IRR בעסקה לאינסוף</t>
  </si>
  <si>
    <t>הכי קרוב לאינסוף שאני יודע בתור מטומטם</t>
  </si>
  <si>
    <t>חילוץ הכי קרוב ל-IRR</t>
  </si>
  <si>
    <t>סכום ההשקעה, בסימן שלילי</t>
  </si>
  <si>
    <t>התזרים התקופתי הנצחי הקבוע</t>
  </si>
  <si>
    <t>זהו ה-IRR לפרק הזמן בין תשלומים בעסקה.</t>
  </si>
  <si>
    <t xml:space="preserve">כאן: התשלומים הם כל 7 חודשים, </t>
  </si>
  <si>
    <t>ולכן קיבלתי IRR סרחה ל-7 חודשים</t>
  </si>
  <si>
    <t>אני רוצה IRR לשנה, ולכן עליי לבצע התאמה לגודל זה.</t>
  </si>
  <si>
    <t>ה-IRR הוא תמיד במונחים אפקטיביים. ולכן, גם המרתו תבוצע עם חזקה בלבד.</t>
  </si>
  <si>
    <t xml:space="preserve">(1 + 7.5%)^(12/7) - 1 = </t>
  </si>
  <si>
    <t>מה לעזאזל עשיתי פה? מה מעריך החזקה מייצג?</t>
  </si>
  <si>
    <t xml:space="preserve">בגסות רבה - מעריך החזקה הוא הרצוי חלקי המצוי - </t>
  </si>
  <si>
    <t>התקופה שאני רוצה (12 חודשים)</t>
  </si>
  <si>
    <t xml:space="preserve">חלקי התקופה שמצאתי (7 חודשים). </t>
  </si>
  <si>
    <t xml:space="preserve">שאלה 13 </t>
  </si>
  <si>
    <t xml:space="preserve">שיעור תשואה פנימי = IRR. </t>
  </si>
  <si>
    <t xml:space="preserve">כאשר לפרויקט יש כמה IRR-ים, אזי חדלה מלהתקיים משמעותם כ״תשואת הפרויקט״. </t>
  </si>
  <si>
    <t xml:space="preserve">בעצם, ריבוי IRR-ים לפרויקט מעיד על היות הפרויקט לא קונבנציונלי, באופן שלא מאפשר לשפוט פרויקטים לפי IRR. </t>
  </si>
  <si>
    <t>לצד זאת, תמיד ולעולם ניתן להעריך כדאיות פרויקטים לפי המלך שלנו - ה-NPV.</t>
  </si>
  <si>
    <t>לכן:</t>
  </si>
  <si>
    <t>טענה 3 - נכונה: כי יש מידע לגבי IRR, אבל הוא לא עוזר לי לקבוע כדאיות</t>
  </si>
  <si>
    <t>טענה 4 - נכונה: ההחלטה במקרים כאלו חייבת להשען על הערך הנוכחי הנקי - NPV.</t>
  </si>
  <si>
    <t xml:space="preserve">לכן, התשובה הנכונה: 5. </t>
  </si>
  <si>
    <t xml:space="preserve">שאלה 14 </t>
  </si>
  <si>
    <t>רוצים לדעת מה מחיר השוק כרגע, מה שמעניין - כמה תשלומים נותרו כרגע</t>
  </si>
  <si>
    <t xml:space="preserve">שאלה 15 </t>
  </si>
  <si>
    <t xml:space="preserve">באופן לא מקרי, קיים שוויון בין שווי האג״ח </t>
  </si>
  <si>
    <t>לערכה הנקוב, שכן הריבית הנקובה לתקופת</t>
  </si>
  <si>
    <t>תשלום: 7.5% = 2 / 15%</t>
  </si>
  <si>
    <t xml:space="preserve">זהה לריבית האפקטיבית לתקופת תשלום </t>
  </si>
  <si>
    <t>קרי שיעור תשואה חצי שנתי לפדיון:</t>
  </si>
  <si>
    <r>
      <rPr>
        <sz val="12"/>
        <color theme="0"/>
        <rFont val="David"/>
        <family val="2"/>
        <charset val="177"/>
      </rPr>
      <t>,</t>
    </r>
    <r>
      <rPr>
        <sz val="12"/>
        <color theme="1"/>
        <rFont val="David"/>
        <family val="2"/>
        <charset val="177"/>
      </rPr>
      <t>=((1+15.56%)^(1/2)-1)*100 = 7.5%</t>
    </r>
  </si>
  <si>
    <t>מה זה בכלל ריבית אפקטיבית?</t>
  </si>
  <si>
    <t>ריבית אפקטיבית = ריבית ״כוללת״ או ריבית ״אמיתית״ שמביאה בחשבון את כל ההשפעות (ריבית דריבית, עמלות,</t>
  </si>
  <si>
    <t xml:space="preserve">ניכויים מראש). </t>
  </si>
  <si>
    <t>חישוב ריבית אפקטיבית כאשר הריבית משולמת מראש ״פעם אחת״</t>
  </si>
  <si>
    <t xml:space="preserve">אם מדובר בעסקה ״פשוטה״ = שאיננה כוללת תזרימי מזומנים לאורכה - אלא: סכום בהתחלה וסכום בסוף. </t>
  </si>
  <si>
    <t>הלוואה שלוקחים היום ומחזירים כולל ריבית צבורה בעוד x שנים או פיקדון שמפקידים היום ומקבלים כולל ריבית</t>
  </si>
  <si>
    <t>צבורה בעוד x שנים; אז הדרך הקלה ביותר לחשב את הריבית האפקטיבית היא בעצם לפי היחס בין הסכום</t>
  </si>
  <si>
    <t xml:space="preserve">הסופי לסכום ההתחלתי (פחות אחת). </t>
  </si>
  <si>
    <t>מקרה 1:</t>
  </si>
  <si>
    <t xml:space="preserve">אם אני יודע את הסכום ההתחלתי והסכום הסופי - ואין סכומים נוספים באמצע - </t>
  </si>
  <si>
    <t>היחס ביניהם (פחות אחת) הוא הריבית האפקטיבית לכל תקופת העסקה.</t>
  </si>
  <si>
    <t>מקרה 2:</t>
  </si>
  <si>
    <t xml:space="preserve">זה המקרה פה. </t>
  </si>
  <si>
    <t>גם אם הסכום עצמו לא נתון אבל יש מידע בהיבט ריבית / עמלות על השיעורים</t>
  </si>
  <si>
    <t xml:space="preserve">ועיתוי תשלומים הספציפי, אפשר להשתמש בסכום כלשהו ולעבוד איתו. </t>
  </si>
  <si>
    <t>הנסח היה: נוטלים הלוואה ל-5 שנים,</t>
  </si>
  <si>
    <t>משלמים מיד ריבית מראש 30%</t>
  </si>
  <si>
    <t>קרן נפרעת בתום התקופה</t>
  </si>
  <si>
    <t>העסקה ל-5 שנים, ולכן הריבית</t>
  </si>
  <si>
    <t>האפקטיבית שחולצה היא ל-5</t>
  </si>
  <si>
    <t>שנים גם!</t>
  </si>
  <si>
    <r>
      <t xml:space="preserve">אם הצלחתי להגיע (או שנתונה) ריבית אפקטיבית לתקופה </t>
    </r>
    <r>
      <rPr>
        <b/>
        <sz val="12"/>
        <color theme="1"/>
        <rFont val="David"/>
        <family val="2"/>
        <charset val="177"/>
      </rPr>
      <t>כלשהי</t>
    </r>
    <r>
      <rPr>
        <sz val="12"/>
        <color theme="1"/>
        <rFont val="David"/>
        <family val="2"/>
        <charset val="177"/>
      </rPr>
      <t xml:space="preserve"> אזי היכולת להמירה</t>
    </r>
  </si>
  <si>
    <t>מתקופה אחת לאחרת תבוצע רק עם מעריך חזקה מתאים (אחת ועוד הריבית,</t>
  </si>
  <si>
    <t xml:space="preserve">בחזקה מתאימה, וכל זה - פחות אחת). </t>
  </si>
  <si>
    <t>גם בזה נשתמש.</t>
  </si>
  <si>
    <t>הואיל והריבית שחולצה היא אפקטיבית ל-5 שנים בהגדרה, ונדרשת ריבית אפקטיבית לשנה אחת בלבד:</t>
  </si>
  <si>
    <t>מעריך החזקה בהמרה מריבית אפקטיבית לתקופה לריבית</t>
  </si>
  <si>
    <t xml:space="preserve">אפקטיבית לתקופה אחרת הוא היחס בין התקופה הנדרשת / </t>
  </si>
  <si>
    <t xml:space="preserve">זו שעליה שואלים, לבין התקופה שקיימת / נתונה (בסוגריים). </t>
  </si>
  <si>
    <t xml:space="preserve">במקרה שלנו: הריבית בסוגריים היא ל-5 שנים (נתונה). </t>
  </si>
  <si>
    <t xml:space="preserve">נדרשת ריבית לשנה אחת. </t>
  </si>
  <si>
    <t>לכן מעריך החזקה שהוא היחס בין התקופה שאני רוצה (שנה)</t>
  </si>
  <si>
    <t>לבין התקופה שאני צריך (5 שנים)</t>
  </si>
  <si>
    <t xml:space="preserve">לכן החזקה 1/5. </t>
  </si>
  <si>
    <r>
      <t xml:space="preserve">המרה מריבית </t>
    </r>
    <r>
      <rPr>
        <b/>
        <sz val="12"/>
        <color theme="1"/>
        <rFont val="David"/>
        <family val="2"/>
        <charset val="177"/>
      </rPr>
      <t>אפקטיבית</t>
    </r>
    <r>
      <rPr>
        <sz val="12"/>
        <color theme="1"/>
        <rFont val="David"/>
        <family val="2"/>
        <charset val="177"/>
      </rPr>
      <t xml:space="preserve">  לריבית </t>
    </r>
    <r>
      <rPr>
        <b/>
        <sz val="12"/>
        <color theme="1"/>
        <rFont val="David"/>
        <family val="2"/>
        <charset val="177"/>
      </rPr>
      <t>אפקטיבית</t>
    </r>
    <r>
      <rPr>
        <sz val="12"/>
        <color theme="1"/>
        <rFont val="David"/>
        <family val="2"/>
        <charset val="177"/>
      </rPr>
      <t xml:space="preserve"> לתקופה אחרת היא עם חזקה בלבד!!!!!</t>
    </r>
  </si>
  <si>
    <t>ברמה הבסיסית - כששואלים מה ההלוואה הטובה ביותר - מתכוונים להלוואה שבה הריבית (האפקטיבית) היא הנמוכה ביותר.</t>
  </si>
  <si>
    <t>חלופה 4 - עונה להגדרה של:</t>
  </si>
  <si>
    <t>משלם מיד</t>
  </si>
  <si>
    <t>מחזיר</t>
  </si>
  <si>
    <t>העסקה לשנה; הריבית לשנה.</t>
  </si>
  <si>
    <t>מקרה 3:</t>
  </si>
  <si>
    <t>אם יש בשאלה נתון על ריבית מראש המחושבת מספר פעמים (נניח, כל רבעון, כל שנה,</t>
  </si>
  <si>
    <t>כל חציון, כל חודש)</t>
  </si>
  <si>
    <t>בתור התחלה - ניקח את הריבית מראש, ונחלק אותה במספר תקופות החישוב שלה:</t>
  </si>
  <si>
    <t xml:space="preserve">המהלך של d/m. </t>
  </si>
  <si>
    <t xml:space="preserve">אחר כך נשאל - כמה תקופות חישוב יש בתקופה הנדרשת, וזה יהיה בחזקה. </t>
  </si>
  <si>
    <t>״סתם ריבית מראש״</t>
  </si>
  <si>
    <t>חלופה 3: ״ריבית מראש המחושבת כל״</t>
  </si>
  <si>
    <t>״ריבית מראש״ וזהו</t>
  </si>
  <si>
    <t xml:space="preserve">שלב 1: </t>
  </si>
  <si>
    <t xml:space="preserve">ניקח את הריבית מראש d ונחשוב במה לחלק אותה, כדי לעבור ל״תקופת חישוב אחת״. </t>
  </si>
  <si>
    <t xml:space="preserve">במקרה זה: הריבית מראש d היא לשנה, מחושבת כל רבעון, לכן נחלק ב-4. </t>
  </si>
  <si>
    <t xml:space="preserve">שלב 2: שלב החזקה: מספר תקופות חישוב הריבית בתקופה שרוצים לחשב. </t>
  </si>
  <si>
    <t xml:space="preserve">כאן - תקופת חישוב היא רבעון, ורוצים ריבית אפקטיבית לשנה. החזקה 4. </t>
  </si>
  <si>
    <t>לרבעון</t>
  </si>
  <si>
    <t>מקרה 4:</t>
  </si>
  <si>
    <t>המקרה שבו קיימת ריבית (לא מראש) ״המחושבת כל״</t>
  </si>
  <si>
    <t>בתור התחלה - ניקח את הריבית הנתונה rs ונחלק אותה במספר תקופות החישוב</t>
  </si>
  <si>
    <t xml:space="preserve">שלה. המהלך של rs/m. </t>
  </si>
  <si>
    <t>המהלך השני - חזקה של n שהיא התשובה לשאלה: כמה תקופות חישוב נכנסות בתקופת העסקה / הנדרשת.</t>
  </si>
  <si>
    <t>חלופה 1:</t>
  </si>
  <si>
    <t>ריבית המחושבת כל רבעון (ללא אזכור של ״מראש״.</t>
  </si>
  <si>
    <t>שלב 1: אקח את הריבית הנתונה לשנה 20%, ואחלק אותה</t>
  </si>
  <si>
    <t>כדי להגיע לתקופת חישוב אחת (לרבעון). זה אומר: 5% = 4 / 20%</t>
  </si>
  <si>
    <t>שלב 2: מה בחזקה? החזקה היא התשובה לשאלה - כמה תקופות</t>
  </si>
  <si>
    <t xml:space="preserve">חישוב (רבעונים) קיימים בתקופה הנשאלת (שנה). התשובה: 4. </t>
  </si>
  <si>
    <t>חלופה 2:</t>
  </si>
  <si>
    <t>שלב 1: אקח את הריבית הנתונה לשנה 24%, ואחשוב בכמה</t>
  </si>
  <si>
    <t xml:space="preserve">לחלק אותה כדי להגיע לתקופת חישוב אחת (שנה גם) התשובה 1. </t>
  </si>
  <si>
    <t>חישוב (שנים) קיימים בתקופה הנשאלת (שנה). התשובה 1.</t>
  </si>
  <si>
    <t>24%/1 = 24%</t>
  </si>
  <si>
    <t>ריבית המחושבת כל רבעון (ללא אזכור של ״מראש״).</t>
  </si>
  <si>
    <t xml:space="preserve">תשובה סופית: הריבית האפקטיבית הנמוכה ביותר היא בחלופה 3, ולכן תועדף. </t>
  </si>
  <si>
    <r>
      <t xml:space="preserve">כמו כן, הואיל ומדובר בחישוב ערך נוכחי של </t>
    </r>
    <r>
      <rPr>
        <b/>
        <sz val="12"/>
        <color theme="1"/>
        <rFont val="David"/>
        <family val="2"/>
        <charset val="177"/>
      </rPr>
      <t>סדרה</t>
    </r>
    <r>
      <rPr>
        <sz val="12"/>
        <color theme="1"/>
        <rFont val="David"/>
        <family val="2"/>
        <charset val="177"/>
      </rPr>
      <t>, אני מחויב למצוא את הריבית האפקטיבית לפרק הזמן</t>
    </r>
  </si>
  <si>
    <r>
      <t xml:space="preserve">בין תשלומים - כלומר כאן, עליי למצוא </t>
    </r>
    <r>
      <rPr>
        <b/>
        <sz val="12"/>
        <color theme="1"/>
        <rFont val="David"/>
        <family val="2"/>
        <charset val="177"/>
      </rPr>
      <t>ריבית אפקטיבית חודשית</t>
    </r>
    <r>
      <rPr>
        <sz val="12"/>
        <color theme="1"/>
        <rFont val="David"/>
        <family val="2"/>
        <charset val="177"/>
      </rPr>
      <t xml:space="preserve"> (זכרו: פרק הזמן בין תשלומים הוא הקובע</t>
    </r>
  </si>
  <si>
    <t>מקרה 5:</t>
  </si>
  <si>
    <t>אם מדובר בשאלה שאין תכליתה המרכזית לחשב ריבית אפקטיבית (כלומר ההיגדים / מסיחי התשובה אינם</t>
  </si>
  <si>
    <t xml:space="preserve">באחוזי ריבית כתוצאה נדרשת) אלא בכלל עוסקים בערך נוכחי של סדרה, ערך עתידי של סדרה וכן הלאה, </t>
  </si>
  <si>
    <t>חשוב מאד מאד לזכור שללא תלות באורכה של הסדרה והעסקה, אני זקוק לריבית אפקטיבית לתקופת</t>
  </si>
  <si>
    <t>תשלום. למשל: כדי לחשב ערך נוכחי של סדרה הכוללת תשלומים חודשיים במשך 10 שנים, אני זקוק לריבית</t>
  </si>
  <si>
    <t>אפקטיבית לחודש אחד.</t>
  </si>
  <si>
    <t>אם הטעות היחידה היתה אי הכללת ההון החוזר, השפעתו על הענ״נ היתה פשוטה</t>
  </si>
  <si>
    <t>מאין כמותה:</t>
  </si>
  <si>
    <t>השינוי ב-NPV הנובע מההון החוזר</t>
  </si>
  <si>
    <t>אם הטעות היחידה היתה הפחתת הנכס על פני 4 שנים במקום 10 שנים:</t>
  </si>
  <si>
    <t>זיכוי המס על פחת הנכס</t>
  </si>
  <si>
    <t xml:space="preserve">1600/4 * 25% = </t>
  </si>
  <si>
    <t>במצב החדש - בתום כל אחת מהשנים 1-4:</t>
  </si>
  <si>
    <t>במצב הקודם, בתום כל אחת מהשנים 1-10:</t>
  </si>
  <si>
    <t xml:space="preserve">1600/10*25% = </t>
  </si>
  <si>
    <t>השינוי ב- NPV הנובע מהפרשי ההפחתה</t>
  </si>
  <si>
    <t>סך שינוי ב- NPV</t>
  </si>
  <si>
    <t>ה-NPV לפני תיקון</t>
  </si>
  <si>
    <t>ה-NPV לאחר תיקון</t>
  </si>
  <si>
    <t>שיטה תוספתית (לא חייב) - מחשבים אך ורק את ההשפעות התזרימיות הנובעות מכל תיקון, עושים לכל אחת מהן בנפרד NPV, ומחברים:</t>
  </si>
  <si>
    <t>השיטה שהוצגה בכיתה - מבוססת על הטבלה הסטנדרטית הנלמדת:</t>
  </si>
  <si>
    <t xml:space="preserve">השאלות הראשונות נפתרו באופן מלא ע״י המרצה. </t>
  </si>
  <si>
    <t>פתרון מלא בשני השיעורים האחרונים שלנו (לא כולל שיעור חזרה)</t>
  </si>
  <si>
    <t>מושג</t>
  </si>
  <si>
    <t>בלעז</t>
  </si>
  <si>
    <t>משקף</t>
  </si>
  <si>
    <t>שווי הפרויקט, נטו, בערך נוכחי (אחרי עלויות מימון)</t>
  </si>
  <si>
    <t>כלל ההכרעה</t>
  </si>
  <si>
    <t>כדאי - NPV&gt;0</t>
  </si>
  <si>
    <t>לא כדאי NPV&lt;0</t>
  </si>
  <si>
    <t>שת״פ</t>
  </si>
  <si>
    <t>שיעור תשואה פנימי - הרווח באחוזים על ההשקעה בפרויקט (לתקופה)</t>
  </si>
  <si>
    <t xml:space="preserve">התשואה הזו היא לפני התייחסות לעלויות מימון (מחיר ההון / </t>
  </si>
  <si>
    <t>עלות גיוס ההון ב-%)</t>
  </si>
  <si>
    <t>כדאי IRR&gt;מחיר ההון (הריבית שדורשים המשקיעים / עלות גיוס ההון)</t>
  </si>
  <si>
    <t>לא כדאי IRR &lt; מחיר ההון</t>
  </si>
  <si>
    <t xml:space="preserve">כל האמור לעיל נכון ותקף כשמדובר בפרויקט ״רגיל״ - מהסוג ה״נפוץ ביותר״ - כזה שמשקיעים בו (תזרים שלילי) ולאחר מכן מקבלים (תזרים חיובי). </t>
  </si>
  <si>
    <t>אם הפרויקטים:</t>
  </si>
  <si>
    <t xml:space="preserve">הם לא קונבנציונליים - אז בעיקרון ל-IRR ״אין משמעות״ (ייתכן שלא נקבל שת״פים, או שנקבל כמה שתפ״ים). </t>
  </si>
  <si>
    <t xml:space="preserve">הם פרויקטים של הלוואות - כלומר מקבלים כסף ורק אז משלמים / מחזירים - נרצה IRR נמוך (כשנוטלים הלוואה ה-IRR הוא הריבית שאני משלם). </t>
  </si>
  <si>
    <t xml:space="preserve">הרחבה (שלא רלוונטית בשאלה ספציפית זו אבל כדאי לדעת למקרה הכללי). </t>
  </si>
  <si>
    <t>NPV &lt; 0</t>
  </si>
  <si>
    <t>הואיל ומדובר בפרויקט רגיל קונבנציונלי של השקעה, ניתן להסיק מכך ישירות:</t>
  </si>
  <si>
    <t>IRR &gt; מחיר ההון</t>
  </si>
  <si>
    <t>IRR &lt; מחיר ההון</t>
  </si>
  <si>
    <t>טענה 2: שגויה. בפרויקט סטנדרטי של השקעה, NPV&lt;0 משמעו IRR&lt;מחיר ההון. למשל, אם מחיר ההון 8%, וה-IRR 5%, למרות שהוא חיובי הפרויקט לא כדאי.</t>
  </si>
  <si>
    <t xml:space="preserve">ואם הוא לא כדאי במצב המוצא, כמובן שלא ייוצר ענ״נ חיובי במצב החדש. </t>
  </si>
  <si>
    <t>טענה 3: שגויה. עלייה בריבית ---&gt; עלייה במחיר ההון. כבר במצב המוצא מחיר ההון ״גבוה מדי״ ----&gt; העלאת הריבית ומחיר ההון תהפוך את הפרויקט לפחות משתלם,</t>
  </si>
  <si>
    <r>
      <t xml:space="preserve">בדיוק בשל הנמקה זו, </t>
    </r>
    <r>
      <rPr>
        <b/>
        <sz val="12"/>
        <color theme="1"/>
        <rFont val="David"/>
        <family val="2"/>
        <charset val="177"/>
      </rPr>
      <t>טענה 4 נכונה</t>
    </r>
    <r>
      <rPr>
        <sz val="12"/>
        <color theme="1"/>
        <rFont val="David"/>
        <family val="2"/>
        <charset val="177"/>
      </rPr>
      <t xml:space="preserve">. </t>
    </r>
  </si>
  <si>
    <t xml:space="preserve">כדי לדון בטענה 1, עליי להסביר (להדגים) מה המשמעות של ״הכנסות לא מהוונות״. </t>
  </si>
  <si>
    <t>נניח הפרויקט הבא:</t>
  </si>
  <si>
    <t>סך ההכנסות הלא מהוונות - במקום לעשות עליהן PV כמקובל,</t>
  </si>
  <si>
    <t>פשוט סוכמים אותן: 105</t>
  </si>
  <si>
    <t>סך ההוצאות וההשקעות: 100-</t>
  </si>
  <si>
    <t>זו הדגמה למקרה שבו סך ההכנסות הלא מהוונות גבוהות יותר</t>
  </si>
  <si>
    <t>מאשר סך ההשקעות וההוצאות.</t>
  </si>
  <si>
    <t>נניח כעת שמחיר ההון של החברה 10% לשנה.</t>
  </si>
  <si>
    <t xml:space="preserve">הטענה שגויה, שכן גם אם הסכום שמתקבל (במונחים לא מהוונים, בהתעלם מהשפעות זמן ועלויות מימון) גבוה יותר מהסכום שמשלמים - </t>
  </si>
  <si>
    <t xml:space="preserve">הרי שבהתחשב בהשפעות זמן ועלויות מימון - הענ״נ בכל זאת עלול להיות שלילי. </t>
  </si>
  <si>
    <t>כאשר דנים בפרויקט ספציפי, ולא משנה איזה, ערך תזרימי היסטורי (סכום שהתקבל או הושקע בעבר) יהא אשר יהא הוא בגדר עלות שקועה.</t>
  </si>
  <si>
    <t>כשאנו מקבלים החלטה (מחשבים NPV, IRR וכו׳) אנו תמיד מביטים על מה שצפוי לנבוע כתוצאה מההחלטה, בעתיד, ובמובן זה - ערכים היסטוריים</t>
  </si>
  <si>
    <t xml:space="preserve">הם לא רלוונטיים. </t>
  </si>
  <si>
    <t>הנתונים התזרימיים של הפרויקט הם:</t>
  </si>
  <si>
    <t>מזמן 1 עד אינסוף</t>
  </si>
  <si>
    <t xml:space="preserve">כדי לחשב PV של סדרה אינסופית, אפשר לבצע חישוב מתמטי או חישוב מחשבוני CMPD. </t>
  </si>
  <si>
    <t>בחישוב המחשבוני:</t>
  </si>
  <si>
    <t>למרות שקיבלתי ערך שלילי לכאורה, כמובן שמדובר בתוצאה חיובית, השווי של תקבולים נצחיים הוא ערך חיובי, והמחשבון פולט אותו כשלילי</t>
  </si>
  <si>
    <t xml:space="preserve">כי זו דרכו לומר ״אתה מוכן לשלם על זה״. </t>
  </si>
  <si>
    <t>שווי להיום של התקבולים העתידיים לנצח</t>
  </si>
  <si>
    <t>בניכוי עלות ההשקעה המיידית בזמן 0</t>
  </si>
  <si>
    <t>סה״כ ערך נוכחי כוללני - ענ״נ</t>
  </si>
  <si>
    <t xml:space="preserve">11,000 - 10,000 = </t>
  </si>
  <si>
    <t>דרך מתמטית - חישוב ערך נוכחי של סדרת תקבולים אינסופית על בסיסה:</t>
  </si>
  <si>
    <t>מחשבונית</t>
  </si>
  <si>
    <t>PV(אינסופית) = PMT/r</t>
  </si>
  <si>
    <t xml:space="preserve">PV(אינסופית) </t>
  </si>
  <si>
    <t xml:space="preserve">= 1100/10% = </t>
  </si>
  <si>
    <t xml:space="preserve">ענ״נ = ערך נוכחי נקי = ערך נוכחי נטו של כל תזרימי הפרויקט (NPV) = אם הוא חיובי, הפרויקט כדאי, זה המצב פה. </t>
  </si>
  <si>
    <t>תשובה 1.</t>
  </si>
  <si>
    <t xml:space="preserve">טענה 2: שגויה. </t>
  </si>
  <si>
    <t>בפרויקט קונבנציונלי של השקעות (כדוגמת זה שבו עוסקים, שמשקיעים ואז מקבלים) אם הענ״נ חיובי NPV&gt;0</t>
  </si>
  <si>
    <t>הדבר מהווה סיגנל לכדאיות, שמובילה למסקנה שתתקיים כדאיות גם לפי שת״פ / IRR: קרי לפי IRR&gt;מחיר ההון.</t>
  </si>
  <si>
    <t xml:space="preserve">הטענה עצמה אמרה, שבגלל ש-IRR במצב כזה גבוה ממחיר ההון, הפרויקט דווקא לא כדאי. וההפך הוא הנכון. </t>
  </si>
  <si>
    <t xml:space="preserve">טענה 3: שגויה. הענ״נ איננו 1,000- (במינוס) אלא 1,000+ מה שמעיד על כדאיות הפרויקט. </t>
  </si>
  <si>
    <t>טענה 4 שגויה: הן הסקר ההיסטורי והן כל השלכת מס שלו שכבר נוצרה, הן בגדר ערך היסטורי / עלויות שקועות</t>
  </si>
  <si>
    <t xml:space="preserve">שאינן רלוונטיות לקבלת החלטה. </t>
  </si>
  <si>
    <t>טענה 5 פשוט לא רלוונטית.</t>
  </si>
  <si>
    <t xml:space="preserve">יש כאן פרויקט שיש לו שני שיעורי תשואה פנימיים / שני שת״פים / שני ערכי IRR. </t>
  </si>
  <si>
    <t>איך זה יכול להיות?</t>
  </si>
  <si>
    <t xml:space="preserve">התשובה: אם הפרויקט לא קונבנציונלי (לתזרימיו יש מספר היפוכי סימן  + - + -) ייתכן מתמטית שיהיה לו יותר משת״פ אחד. </t>
  </si>
  <si>
    <t>במצב כזה, השת״פ מאבד את משמעותו הכלכלית.</t>
  </si>
  <si>
    <t>בפרויקטים קונבנציונליים - המשמעות הכלכלית של השת״פ היא שיעור התשואה התקופתי על ההשקעה (או בהלוואות - שיעור הריבית על ההלוואה).</t>
  </si>
  <si>
    <t>אם הפרויקטים לא קונבנציונליים ומרובי שתפי״ם - מדובר בתוצאות מתמטיות של שת״פ שבפני עצמן לא אומרות שום דבר.</t>
  </si>
  <si>
    <t>אם זיהיתי פרויקט לא קונבנציונלי</t>
  </si>
  <si>
    <t>שאחד מסממניו הוא יותר משת״פ אחד (או מצב בלי שת״פ בכלל)</t>
  </si>
  <si>
    <t>אזי נתוני השת״פ אינם מספקים לקבלת החלטה בדבר כדאיות הפרויקט</t>
  </si>
  <si>
    <t>וההחלטה לגביו צריכה להתקיים על בסיס הענ״נ NPV בלבד.</t>
  </si>
  <si>
    <t xml:space="preserve">לכן - התשובה א. </t>
  </si>
  <si>
    <t xml:space="preserve">מחיר השוק של אג״ח הוא לעולם הערך הנוכחי של תזרימי הקופון (ריבית) והערך הנקוב אשר ישולמו למשקיע. </t>
  </si>
  <si>
    <t xml:space="preserve">את הערך הנוכחי הנ״ל אפשר לחשב באמצעות CMPD בהתאם, או באמצעות הזנת תזרימי האג״ח ושימוש ב-NPV שבתוך CASH. </t>
  </si>
  <si>
    <t>״שי אבל NPV זה לא רק לפרויקטים״?</t>
  </si>
  <si>
    <t xml:space="preserve">לא. </t>
  </si>
  <si>
    <t>כשאנו דנים בכלי ה-NPV במחשבון הפיננסי, הכלי הזה אומר:</t>
  </si>
  <si>
    <t>כשאנו דנים ב-CMPD ו-PV במחשבון הפיננסי, הכלי הזה אומר:</t>
  </si>
  <si>
    <t>״הגדר לי כמה תזרימים קבועים יש לך ומה סכומם, ואתן לך את הערך הנוכחי שלהם״</t>
  </si>
  <si>
    <r>
      <t xml:space="preserve">״תן לי </t>
    </r>
    <r>
      <rPr>
        <b/>
        <sz val="12"/>
        <color theme="1"/>
        <rFont val="David"/>
        <family val="2"/>
        <charset val="177"/>
      </rPr>
      <t>רשימה (טור) מפורט</t>
    </r>
    <r>
      <rPr>
        <sz val="12"/>
        <color theme="1"/>
        <rFont val="David"/>
        <family val="2"/>
        <charset val="177"/>
      </rPr>
      <t xml:space="preserve"> של תזרימים ואתן לך את הערך הנוכחי שלהם״</t>
    </r>
  </si>
  <si>
    <t>שיעור התשואה לפדיון/ריבית השוק / על אג״ח דומות</t>
  </si>
  <si>
    <t>אין תזרים מיידי</t>
  </si>
  <si>
    <t>קופון שנתי: מכפלת ריבית נקובה בערך נקוב</t>
  </si>
  <si>
    <t xml:space="preserve">4%* 100 = </t>
  </si>
  <si>
    <t xml:space="preserve">התזרים האחרון כולל גם קופון וגם </t>
  </si>
  <si>
    <t>את הערך הנקוב: 4 + 100</t>
  </si>
  <si>
    <t>מספר תזרימי המזומנים שנותרו לאג״ח</t>
  </si>
  <si>
    <t>שיעור תשואה לפדיון לתקופת תשלום - כאן לשנה</t>
  </si>
  <si>
    <t>הקופון הקבוע - מכפלת ריבית נקובה בערך נקוב</t>
  </si>
  <si>
    <t>הערך הנקוב של האג״ח</t>
  </si>
  <si>
    <t>בין אם אהבתם לעבוד על תזרים מפורט ולחשב לו -NPV ב-CASH</t>
  </si>
  <si>
    <t>בין אם אהבתן רק לייצר חישוב עקרוני של PV לפי הגדרות תזרימי</t>
  </si>
  <si>
    <t>הקופון הקבועים ב-CMPD,</t>
  </si>
  <si>
    <t xml:space="preserve">הערך המוחלט של התשובה המבטא את שווי האג״ח </t>
  </si>
  <si>
    <t>הוא 82.03.</t>
  </si>
  <si>
    <t>מדובר בשאלה עתירת נתונים (הכנסות, הוצאות, פחת) שכוללת גם נתוני מסים. בעיקרון זו שאלת פרויקטים ״מורכבת״</t>
  </si>
  <si>
    <t xml:space="preserve">שבה אנו בונים באמצעות טבלה את תזרימי המזומנים של תכנית ההשקעה, מזינים אותם ל-CASH ומחשבים NPV. </t>
  </si>
  <si>
    <t>בדף הנוסחאות, המבנה המופיע הוא זה:</t>
  </si>
  <si>
    <t>הוצאות</t>
  </si>
  <si>
    <t>פחת תקופתי</t>
  </si>
  <si>
    <t>הוספת פחת</t>
  </si>
  <si>
    <t>תזרים השקעה</t>
  </si>
  <si>
    <t>שינוי בהון חוזר</t>
  </si>
  <si>
    <t>תזרים מזומנים</t>
  </si>
  <si>
    <t>שנים 6-9</t>
  </si>
  <si>
    <t>תמיד בנפרד</t>
  </si>
  <si>
    <t>תום הפרויקט</t>
  </si>
  <si>
    <t>תקופת</t>
  </si>
  <si>
    <t>הפחת</t>
  </si>
  <si>
    <t>כל</t>
  </si>
  <si>
    <t>היתר</t>
  </si>
  <si>
    <t>מס (20% מהרווח לפני מס)</t>
  </si>
  <si>
    <t>רווח אחרי מס (רווח לפני מס בניכוי מס)</t>
  </si>
  <si>
    <t>כאשר מוכרים השקעה, עלינו לחשב את ההפרש בין התמורה לבין ״העלות המופחתת״ ערב המכירה ואותה למסות.</t>
  </si>
  <si>
    <t xml:space="preserve">750,000 - 150,000 * 5 = </t>
  </si>
  <si>
    <t>מס - 20%</t>
  </si>
  <si>
    <t>התמורה 100,000 בניכוי המס המשולם על הרווח 20,000 היא התמורה נטו 80,000 שאותה כללנו בטבלה.</t>
  </si>
  <si>
    <t>הפרש חיובי בין תמורת המכירה לעלות המופחתת (עלות בניכוי פחת נצבר ערב המכירה) = רווח הון</t>
  </si>
  <si>
    <t xml:space="preserve">מחיר ההון - נתון </t>
  </si>
  <si>
    <t>מחזיר בסוף</t>
  </si>
  <si>
    <t>המלצה חמה:</t>
  </si>
  <si>
    <t>אם בשאלה הדורשת חישוב ריבית אומרים לי באופן מלא, מדויק, מפורט - בדיוק מה הסכום הכספי שאני מקבל ובדיוק מה הסכום</t>
  </si>
  <si>
    <t xml:space="preserve">הכספי שאני משלם, והעסקה היא ״פשוטה״ (לא עסקת תשלומים / שפיצר / תשלומים במהלך התקופה - התחלה וסוף), </t>
  </si>
  <si>
    <t>אזי הדרך הקלה ביותר לחשב את הריבית האפקטיבית לתקופת העסקה כולה היא על ידי היחס בין התשלום בסוף</t>
  </si>
  <si>
    <t xml:space="preserve">לבין התקבול ההתחלתי - וכל זה, פחות 1. </t>
  </si>
  <si>
    <t xml:space="preserve">re(2.5 years) = 112000/100000 - 1 = </t>
  </si>
  <si>
    <t>הואיל והעסקה היא לשנתיים וחצי, בדרך זו קיבלנו ריבית אפקטיבית לשנתיים וחצי. על מנת להתאימה לריבית אפקטיבית לשנה,</t>
  </si>
  <si>
    <t>כל שעלינו לעשות הוא להתשמש במעריך חזקה מתאים, כדי להמיר את הריבית האפקטיבית מתקופה לתקופה:</t>
  </si>
  <si>
    <t>דיברו בתור התחלה על ריבית לא צמודה של 20% לשנה בחישוב רבעוני.</t>
  </si>
  <si>
    <t>ברגע שאני מזהה את המילים: ״ריבית ___ בחישוב רבעוני / חצי שנתי / חודשי״ או ״ריבית המחושבת כל חודש, כל חודשיים, כל חצי שנה...״</t>
  </si>
  <si>
    <t>אוטומטית אני מסיק שהריבית הזו נקובה.</t>
  </si>
  <si>
    <t>בתור התחלה, למרות שהנדרש מדבר על ריבית ריאלית, אני רוצה לגלות את הריבית ה״אמיתית״ הנומינלית, כלומר ריבית אפקטיבית נומינלית.</t>
  </si>
  <si>
    <t>איך הופכים ריבית שנתית נקובה לריבית אפקטיבית שנתית?</t>
  </si>
  <si>
    <t>שלב 1: באמצעות כפל או חילוק פשוט (בדרך כלל חילוק) ממירים את הריבית הנקובה לתקופת חישוב אחת.</t>
  </si>
  <si>
    <t>כאן, הריבית הנקובה השנתית 20%, מחושבת כל רבעון, לכן מחלקים ב-4:</t>
  </si>
  <si>
    <t xml:space="preserve">20%/4 = </t>
  </si>
  <si>
    <t>שלב 2: באמצעות חזקה מתאימה, המר את הריבית לתקופת חישוב לתקופה הכוללת הנדרשת (כאן - שנה):</t>
  </si>
  <si>
    <t xml:space="preserve">(1 + 5%)^4 - 1 = </t>
  </si>
  <si>
    <t>ברגע שהריבית הכוללת (האפקטיבית הנומינלית) ידועה לי, כדי לתרגם אותה למונחים ריאליים איעזר בנוסחה הבאה:</t>
  </si>
  <si>
    <t xml:space="preserve">טענה 1 - נשללת מיד. כלל השת״פ (IRR) מתחרבש לגמרי בפרויקטים לא קונבנציונליים. </t>
  </si>
  <si>
    <t xml:space="preserve">טענה 2: </t>
  </si>
  <si>
    <t>לפי ההגדרה בדף הנוסחאות - מדד הרווחיות / אינדקס הרווחיות הוא היחס בין הערך הנוכחי של התקבולים (מונה)</t>
  </si>
  <si>
    <t xml:space="preserve">לבין הערך המוחלט של סכום ההשקעה בפרויקט (מכנה). </t>
  </si>
  <si>
    <t>אם מדד הרווחיות גבוה מ-1, זה אומר שהערך הנוכחי של מה שמקבלים (מונה) בהכרח גדול מהערך הנוכחי של מה שמשלמים (מכנה),</t>
  </si>
  <si>
    <t xml:space="preserve">וכמובן שהדבר מעיד על כך שהענ״נ חיובי. </t>
  </si>
  <si>
    <t>לכן הטענה נכונה.</t>
  </si>
  <si>
    <t>תרגול מסכם והיבטים נוספים 4.2.2025</t>
  </si>
  <si>
    <t>שאלה מס׳ 5 ממקור לא ידוע - גלעד</t>
  </si>
  <si>
    <t xml:space="preserve">נטלתם משכנתא בסכום של 100,000 בריבית פשוטה של 12% למשך 20 שנה. </t>
  </si>
  <si>
    <t xml:space="preserve">המשכנתא נושאת בתשלומים חודשיים. </t>
  </si>
  <si>
    <t>מהי הריבית האפקטיבית המגולמת במשכנתא (שנתית)?</t>
  </si>
  <si>
    <t xml:space="preserve">הבנק לקח על הנפקת המשכנתא עמלה בסך 2% מערך המשכנתא. </t>
  </si>
  <si>
    <t>יש כאן הלוואה שנפרעת בתשלומים חודשיים (״שווים - כברירת מחדל״ - שפיצר).</t>
  </si>
  <si>
    <t>נתונה הריבית הפשוטה בהלוואה ובנוסף יש גם עמלה.</t>
  </si>
  <si>
    <t>רוצים שנחלץ את הריבית האפקטיבית = ״הריבית האמיתית, המתחשבת במכלול עלויות העסקה, כולל עמלות״.</t>
  </si>
  <si>
    <t>בקצרה: הלוואת שפיצר עם מלא עמלות ובלגן = עם רצון לחשב ריבית אפקטיבית:</t>
  </si>
  <si>
    <t xml:space="preserve">שלב 1: חילוץ התשלום התקופתי הקבוע בהלוואה בהתעלם מעמלות. </t>
  </si>
  <si>
    <t>מספר התשלומים בהלוואה</t>
  </si>
  <si>
    <t xml:space="preserve">הריבית לתקופת תשלום: </t>
  </si>
  <si>
    <t>התאמת הריבית ע״י חילוק (כשהריבית נקובה / פשוטה) או ע״י חזקה (בכל מקרה אחר)</t>
  </si>
  <si>
    <t>התשלום התקופתי הקבוע - הערך המחולץ - SOLVE</t>
  </si>
  <si>
    <t>שלב 2: שיקלול העמלות וחילוץ הריבית האפקטיבית לתקופת תשלום:</t>
  </si>
  <si>
    <t>זהה</t>
  </si>
  <si>
    <t>סכום ההלוואה בניכוי כל עמלה מיידית / בזמן 0</t>
  </si>
  <si>
    <t>סכום ההלוואה ״נטו״</t>
  </si>
  <si>
    <t>ה-PMT שחולץ (שלב 1) יחד עם כל עמלה תקופתית</t>
  </si>
  <si>
    <t>הערך המחולץ - ריבית אפקטיבית לתקופת תשלום</t>
  </si>
  <si>
    <t>שלב 3: הריבית שחילצנו I% היא לתקופת תשלום. אם דרשו ריבית לתקופה אחרת (מאד נפוץ - שנה)</t>
  </si>
  <si>
    <t>יש לבצע התאמה שלה עם מעריך חזקה מתאים.</t>
  </si>
  <si>
    <t xml:space="preserve">100,000 * (1 - 2%) =  </t>
  </si>
  <si>
    <t>הואיל והתשלומים חודשיים, הערך 1.0268% הוא בגדר ריבית אפקטיבית חודשית.</t>
  </si>
  <si>
    <t>כדי לתרגם אותה למונחים שנתיים (מאפקטיבית חודשית לאפקטיבית שנתית) נדרש מעריך חזקה מתאים:</t>
  </si>
  <si>
    <t xml:space="preserve">(1 + 1.0268%)^(12) - 1 = </t>
  </si>
  <si>
    <t>אני כאן</t>
  </si>
  <si>
    <r>
      <rPr>
        <sz val="12"/>
        <color theme="0"/>
        <rFont val="David"/>
        <family val="2"/>
        <charset val="177"/>
      </rPr>
      <t>,</t>
    </r>
    <r>
      <rPr>
        <sz val="12"/>
        <color theme="1"/>
        <rFont val="David"/>
        <family val="2"/>
        <charset val="177"/>
      </rPr>
      <t>2 + 1/12</t>
    </r>
  </si>
  <si>
    <t>שווי של אג״ח הוא הערך הנוכחי של תזרימי המזומנים העתידיים שנותר לה לשלם למשקיע.</t>
  </si>
  <si>
    <t>כאן, האג״ח ל-8 שנים, ותדירות התשלומים בה רבעונית.</t>
  </si>
  <si>
    <t>בסך הכל - האג״ח משלמת 32 תשלומים רבעוניים לאורך חייה 32 = 4 * 8.</t>
  </si>
  <si>
    <t>בחלוף שנתיים, בוצעו 8 תשלומים (4 * 2) ונותרו לאג״ח עוד 24 תשלומים = 24 = 8 - 32</t>
  </si>
  <si>
    <t xml:space="preserve">בחודש הנוסף שחלף, לא בוצע כל תשלום נוסף (התשלומים רבעוניים). כלומר עדיין מבחינתנו יש 24 תשלומים עתידיים. </t>
  </si>
  <si>
    <t>תשלום קרוב</t>
  </si>
  <si>
    <r>
      <rPr>
        <sz val="12"/>
        <color theme="0"/>
        <rFont val="David"/>
        <family val="2"/>
        <charset val="177"/>
      </rPr>
      <t>,</t>
    </r>
    <r>
      <rPr>
        <sz val="12"/>
        <color theme="1"/>
        <rFont val="David"/>
        <family val="2"/>
        <charset val="177"/>
      </rPr>
      <t>2 + 3/12</t>
    </r>
  </si>
  <si>
    <t>הריבית במשק = אפקטיבית, המרה לרבעון</t>
  </si>
  <si>
    <t>גם אם היה כתוב ״שיעור תשואה לפדיון״ / ״שיעור תשואה על אג״ח דומות״ = במונחים אפקטיביים</t>
  </si>
  <si>
    <t>מכפלת ריבית הקופון היחסית בערך הנקוב</t>
  </si>
  <si>
    <t xml:space="preserve">10%/4 * 100 = </t>
  </si>
  <si>
    <t>Solve PV</t>
  </si>
  <si>
    <t xml:space="preserve">שלב </t>
  </si>
  <si>
    <t>מטרתו לבטא את העובדה שכאשר ביצעתי Solve PV על סדרת הקופונים, הגעתי בהגדרה לנקודת הזמן</t>
  </si>
  <si>
    <t>שהיא מוקדמת בתקופת תשלום אחת ממועד התזרים הראשון בסדרה. והואיל ומועד התזרים הראשון הוא שנתיים ורבעון;</t>
  </si>
  <si>
    <t xml:space="preserve">ופרק הזמן בין תשלומים הוא רבעון; הקפיצה רבעון אחד אחורה מובילה בדיוק לסוף השנה ה-2. </t>
  </si>
  <si>
    <t>מכיוון ששאלו אותי על הערך לתום שנתיים וחודש, עכשיו אני רוצה לגלם ריבית שתקפיץ אותי מ-2 ל-2 וחודש.</t>
  </si>
  <si>
    <t>הדרך הקלה ביותר לבצע את ההתאמה היא:</t>
  </si>
  <si>
    <t xml:space="preserve">מכפלה ב-1 ועוד הריבית בחזקה מתאימה. בשאלה נתון שהריבית השנתית היא 12.6825%. </t>
  </si>
  <si>
    <t>אני רוצה לדחוף את התוצאה 1/12 קדימה (חודש אחד):</t>
  </si>
  <si>
    <t xml:space="preserve">PV(סופי) = </t>
  </si>
  <si>
    <t xml:space="preserve">91.05 * (1 + 12.6825%)^(1/12) = </t>
  </si>
  <si>
    <t>פריט ללא גרט:</t>
  </si>
  <si>
    <t>הוצאות פחת = עלות חלקי תקופת הפחתה</t>
  </si>
  <si>
    <t>פריט עם גרט:</t>
  </si>
  <si>
    <t>הוצאות פחת = (עלות בניכוי גרט) וכל זה חלקי תקופת הפחתה</t>
  </si>
  <si>
    <t>אופן חישוב הוצאות הפחת:</t>
  </si>
  <si>
    <t>יש גרט - עלות בניכוי גרט חלקי תקופת הפחתה:</t>
  </si>
  <si>
    <t>(700,000 - 100,000)/4 = 150,000</t>
  </si>
  <si>
    <t xml:space="preserve">כאשר פריט רכוש קבוע (ציוד וכיו״ב) בתום הפרויקט, יש לחשב רווח הון. </t>
  </si>
  <si>
    <t>רווח ההון הוא ההפרש החיובי (אם הוא שלילי - זה הפסד הון)</t>
  </si>
  <si>
    <t>בין:</t>
  </si>
  <si>
    <t>א. תמורת המכירה (הנתונה)</t>
  </si>
  <si>
    <t>ב. העלות המופחתת (עלות בניכוי פחת נצבר) ערב המכירה</t>
  </si>
  <si>
    <t xml:space="preserve">700,000 - 150,000 * 4 = </t>
  </si>
  <si>
    <t>רווח הון - הפרש חיובי בין תמורה לעלות מופחתת</t>
  </si>
  <si>
    <t>הסבר מורחב לעלות מופחתת:</t>
  </si>
  <si>
    <t>בסך הכל לוקחים את העלות - 700,000</t>
  </si>
  <si>
    <t>ומנכים ממנה את המכפלה של הוצאות הפחת השנתיות 150,000</t>
  </si>
  <si>
    <t xml:space="preserve">בפרק הזמן שחלף בשנים עד המכירה - שכאן זה 4 שנים. </t>
  </si>
  <si>
    <t>אם</t>
  </si>
  <si>
    <t>מכרתי</t>
  </si>
  <si>
    <t>פריט</t>
  </si>
  <si>
    <t>ברווח,</t>
  </si>
  <si>
    <t>על החלק</t>
  </si>
  <si>
    <t>שעד</t>
  </si>
  <si>
    <t>העלות</t>
  </si>
  <si>
    <t>המופחתת</t>
  </si>
  <si>
    <t>אין מס</t>
  </si>
  <si>
    <t>ולכן</t>
  </si>
  <si>
    <t>יופיע</t>
  </si>
  <si>
    <t>למטה,</t>
  </si>
  <si>
    <t>על הרווח</t>
  </si>
  <si>
    <t>יהיה מס</t>
  </si>
  <si>
    <t>ויופיע למעלה</t>
  </si>
  <si>
    <t>סוגריים זה מינוס!!!</t>
  </si>
  <si>
    <r>
      <t xml:space="preserve">שואלים מהו </t>
    </r>
    <r>
      <rPr>
        <b/>
        <sz val="12"/>
        <color theme="1"/>
        <rFont val="David"/>
        <family val="2"/>
        <charset val="177"/>
      </rPr>
      <t>השווי היום (ערך נוכחי)</t>
    </r>
    <r>
      <rPr>
        <sz val="12"/>
        <color theme="1"/>
        <rFont val="David"/>
        <family val="2"/>
        <charset val="177"/>
      </rPr>
      <t xml:space="preserve"> אם הריבית השנתית 12%.</t>
    </r>
  </si>
  <si>
    <t>שווי ההמצאה היום</t>
  </si>
  <si>
    <t>הכולל של כלל תזרימיה</t>
  </si>
  <si>
    <t>התאמת הערך הנוכחי</t>
  </si>
  <si>
    <t>של הסדרה האינסופית מ-3 ל-0</t>
  </si>
  <si>
    <r>
      <t xml:space="preserve">for t = </t>
    </r>
    <r>
      <rPr>
        <b/>
        <sz val="12"/>
        <color theme="1"/>
        <rFont val="David"/>
        <family val="2"/>
        <charset val="177"/>
      </rPr>
      <t>3</t>
    </r>
  </si>
  <si>
    <t>באלפי ש״ח מתקיים:</t>
  </si>
  <si>
    <t xml:space="preserve">המשמעות היא שבמקרה זה, הערך הנוכחי של אינסוף תקבולים בסך 75 אלף אחד לאינסוף תקופות הוא 900. </t>
  </si>
  <si>
    <t>מפה, אפשר לחלץ ריבית / מחיר הון ששימש בחישוב ה-PV:</t>
  </si>
  <si>
    <t>התשובה א:</t>
  </si>
  <si>
    <t>הואיל והשאלה כללה</t>
  </si>
  <si>
    <t>מידע בדבר מדד הרווחיות,</t>
  </si>
  <si>
    <t>שמתי מול העיניים את הנוסחה</t>
  </si>
  <si>
    <t>של מדד הרווחיות והצבתי</t>
  </si>
  <si>
    <t>מה שאני יודע.</t>
  </si>
  <si>
    <t>התוצאה שהתקבלה היא ה-PV,</t>
  </si>
  <si>
    <t>ובהינתנה - יחד עם יתר המידע</t>
  </si>
  <si>
    <t>בדבר מספר התשלומים וגובה</t>
  </si>
  <si>
    <t>התשלום, יכולתי לחלץ את הריבית</t>
  </si>
  <si>
    <t>התקופתית.</t>
  </si>
  <si>
    <t>הסבר מוארך / שונה למעוניינים:</t>
  </si>
  <si>
    <t>כאשר שואלים ״כמה אתה מוכן לקבל (היום) במקום תשלומים עתידיים״</t>
  </si>
  <si>
    <t xml:space="preserve">תמיד עלינו לפרש זאת בתור: ״מהו הערך הנוכחי - PV השווי״ של תשלומים עתידיים אלו. </t>
  </si>
  <si>
    <t>ברגע שאני נתקל בשאלה עם הרבה מאד היגדים לא מובנים / לא מוכרים, ברמת שאלת התאוריה, אשתדל מאד</t>
  </si>
  <si>
    <t>לזהות את ההיגד המוכר ביותר, זה שמכיל מונחים הגיוניים :)</t>
  </si>
  <si>
    <t>בהקשר זה - קיים קשר ברור וחזק בין קריטריון השת״פ (IRR) לקריטריון הענ״נ (NPV) בפרויקטים של השקעות.</t>
  </si>
  <si>
    <t>כאשר פרויקט קונבנציונלי של השקעה ---&gt;</t>
  </si>
  <si>
    <t>NPV&gt;0</t>
  </si>
  <si>
    <t>אומר בהכרח ש:</t>
  </si>
  <si>
    <t>NPV&lt;0</t>
  </si>
  <si>
    <t>אנחנו נמצאים פה:</t>
  </si>
  <si>
    <t>לאו דווקא שלילי!</t>
  </si>
  <si>
    <t>תמורה נתון:</t>
  </si>
  <si>
    <t>דרך נוספת להתייחס לתזרים בשנה האחרונה, בהדגש מכירת המכונה:</t>
  </si>
  <si>
    <t>מדובר למעשה בשאלת ערך נוכחי מורכבת, שאותה אחשב ״מהסוף להתחלה״ כלומר, הטיפול יהיה</t>
  </si>
  <si>
    <t>בסדרה האינסופית תחילה, נחשב לה PV, שיעבור ל-FV של השלב הקודם בסימן הפוך, ונמשיך...</t>
  </si>
  <si>
    <t xml:space="preserve">סדרה </t>
  </si>
  <si>
    <t>סופית</t>
  </si>
  <si>
    <t>לזמן 15</t>
  </si>
  <si>
    <t>לזמן 0</t>
  </si>
  <si>
    <t>למרות שהתוצאה לכאורה שלילית</t>
  </si>
  <si>
    <t>חישבנו פה ערך נוכחי של הכנסות</t>
  </si>
  <si>
    <t xml:space="preserve">חיוביות בלבד. </t>
  </si>
  <si>
    <t xml:space="preserve">לכן מדובר ב-PV של הכנסות בלבד </t>
  </si>
  <si>
    <t xml:space="preserve">שהוא חיובי. </t>
  </si>
  <si>
    <t xml:space="preserve">כדי לחשב את ה-NPV, משקף את הערך הנוכחי הכולל המצרפי של כלל התזרימים, כולל </t>
  </si>
  <si>
    <t>ההשקעה בזמן אפס:</t>
  </si>
  <si>
    <t>כן שלילי! כסף שאני מוציא!</t>
  </si>
  <si>
    <t>שלילי</t>
  </si>
  <si>
    <t xml:space="preserve">ריבית נומינלית / כוללת </t>
  </si>
  <si>
    <t>שיעור האינפלציה הכולל</t>
  </si>
  <si>
    <t>חילוץ ריבית ריאלית</t>
  </si>
  <si>
    <t>ע״ב ריבית נומינלית ואינפלציה</t>
  </si>
  <si>
    <t>הואיל והתבססתי על נתוני ריבית נומינלית ל-3 שנים ואינפלציה ל-3 שנים,</t>
  </si>
  <si>
    <t xml:space="preserve">גם הריבית הריאלית שחולצה היא ל-3 שנים. </t>
  </si>
  <si>
    <t>כדי לתאם את שיעור הריבית ריאלית לשנה, ניעזר במעריך חזקה מתאים:</t>
  </si>
  <si>
    <t>ת. סופית</t>
  </si>
  <si>
    <t>מפגשון חזרה לקראת מועד ב - 3/3/2025</t>
  </si>
  <si>
    <t>תזכורת: במחברת הקורס יש פתרון מלא לכל 4 המבחנים לדוגמא, וכן הקלטות שלנו פותרים את רוב ככל המבחנים</t>
  </si>
  <si>
    <t>הללו - או לפחות את השאלות המהותיות.</t>
  </si>
  <si>
    <t>לכן המפגש הזה יתמקד יותר בבקשות קהל ו/או בחידודים רלוונטיים הקשורים לשאלות ״בסטייל מבחן״ כדי</t>
  </si>
  <si>
    <t>למנוע כפילויות.</t>
  </si>
  <si>
    <t>נושא 1 - אגרות חוב</t>
  </si>
  <si>
    <t>בשאלות העוסקות באגרות חוב (אג״ח) הסוגיות העיקריות הן:</t>
  </si>
  <si>
    <t>יישום מחשבון עיקרי: CMPD</t>
  </si>
  <si>
    <t>מחיר</t>
  </si>
  <si>
    <t xml:space="preserve">אג״ח </t>
  </si>
  <si>
    <t xml:space="preserve">חילוץ </t>
  </si>
  <si>
    <t>תשואה</t>
  </si>
  <si>
    <t xml:space="preserve">מגולמת </t>
  </si>
  <si>
    <t>חילוץ תשואה לתקופת השקעה</t>
  </si>
  <si>
    <t>שלב 3</t>
  </si>
  <si>
    <t>תזרימים שנותרו</t>
  </si>
  <si>
    <t>במועד ההשקעה</t>
  </si>
  <si>
    <t>במועד המכירה</t>
  </si>
  <si>
    <t>תקופת ההחזקה</t>
  </si>
  <si>
    <t>לפי הנתון</t>
  </si>
  <si>
    <t>המחושב</t>
  </si>
  <si>
    <t>ריבית אג״ח * ע״נ</t>
  </si>
  <si>
    <t>ערך נקוב (ע״נ)</t>
  </si>
  <si>
    <t>PV(שלב 2)</t>
  </si>
  <si>
    <t>PV(שלב 1)</t>
  </si>
  <si>
    <t>הדגמה:</t>
  </si>
  <si>
    <t xml:space="preserve">חברת ״אזדרכת״ הנפיקה אג״ח שערכה הנקוב 100 ש״ח, ומשלמת קופונים שנתיים בשיעור 10% בתדירות רבעונית. </t>
  </si>
  <si>
    <t xml:space="preserve">האג״ח נפדית בעוד 10 שנים. </t>
  </si>
  <si>
    <t>א. מהו מחיר האגרת במועד הנפקתה?</t>
  </si>
  <si>
    <t>ב. מהו מחיר האגרת בחלוף 3 שנים (רגע לאחר הקופון ששולם במועד זה), אם שיעור התשואה השנתי לפדיון 12%</t>
  </si>
  <si>
    <t>באותו תאריך?</t>
  </si>
  <si>
    <t>ג. מהו מחיר האג״ח בחלוף 4 שנים (רגע לפני הקופון ששולם במועד זה), אם שיעור התשואה השנתי לפדיון 14%</t>
  </si>
  <si>
    <t xml:space="preserve">ד. הניחו כעת כי המשקיע רכש את האג״ח במועד הנפקתה בעלות של 95 ש״ח. הוא החזיק בה עד לפדיונה. מהו </t>
  </si>
  <si>
    <t>ה. משקיע רכש האג״ח בחלוף שנה מהנפקתה (רגע לאחר הקופון ששולם במועד זה). שיעור התשואה השנתי לפדיון</t>
  </si>
  <si>
    <t xml:space="preserve">באותו תאריך 12%, והוא מכר אותה בחלוף 5 שנים ביחס למועד הרכישה כאשר שיעור התשואה השנתי לפדיון </t>
  </si>
  <si>
    <t xml:space="preserve">באותו תאריך 9%. מהו שיעור התשואה השנתי שהניב המשקיע בגין השקעתו באג״ח זו? </t>
  </si>
  <si>
    <t>בסך הכל 10 שנים, ובכל שנה 4 תשלומים רבעוניים</t>
  </si>
  <si>
    <t xml:space="preserve">שיעור התשואה השנתי לפדיון (=״ריבית השוק״ / ״ריבית על אג״ח דומות״) באג״ח הוא 13%. </t>
  </si>
  <si>
    <r>
      <t xml:space="preserve">שיעור תשואה שנתי לפדיון (13%) מתורגם לרבעון </t>
    </r>
    <r>
      <rPr>
        <b/>
        <sz val="12"/>
        <color theme="1"/>
        <rFont val="David"/>
        <family val="2"/>
        <charset val="177"/>
      </rPr>
      <t>עם חזקה</t>
    </r>
  </si>
  <si>
    <t>סכום הקופון: ריבית אג״ח * ע״נ = 4 / 10% * 100 = 2.5</t>
  </si>
  <si>
    <t>תשובה סופית: מחיר האג״ח: 86.30 ש״ח.</t>
  </si>
  <si>
    <t>האג״ח ל-10 שנים, אך הפעם למועד החישוב נותרו 7 שנים, שבכל אחת מהן 4 תשלומים רבעוניים</t>
  </si>
  <si>
    <r>
      <t xml:space="preserve">שיעור תשואה שנתי לפדיון (12%) מתורגם לרבעון </t>
    </r>
    <r>
      <rPr>
        <b/>
        <sz val="12"/>
        <color theme="1"/>
        <rFont val="David"/>
        <family val="2"/>
        <charset val="177"/>
      </rPr>
      <t>עם חזקה</t>
    </r>
  </si>
  <si>
    <t>תשובה סופית: מחיר האג״ח 92.87777 ש״ח.</t>
  </si>
  <si>
    <t>כאשר מבקשים חישוב מחיר אג״ח רגע לפני תשלום הקופון, כנראה הדרך הקלה ביותר היא להתעלם מהקופון המיידי,</t>
  </si>
  <si>
    <t xml:space="preserve">לחשב את מחיר האג״ח ורק אז להוסיף לו את שווי הקופון. </t>
  </si>
  <si>
    <t>האג״ח ל-10 שנים, אך הפעם למועד החישוב נותרו 6 שנים שבכל אחת מהן 4 רבעונים</t>
  </si>
  <si>
    <r>
      <t xml:space="preserve">שיעור תשואה שנתי לפדיון (14%) מתורגם לרבעון </t>
    </r>
    <r>
      <rPr>
        <b/>
        <sz val="12"/>
        <color theme="1"/>
        <rFont val="David"/>
        <family val="2"/>
        <charset val="177"/>
      </rPr>
      <t>עם חזקה</t>
    </r>
  </si>
  <si>
    <t>בחישוב ה- PV ש״מתעלם״ מהמשפט ״רגע לפני תשלום הקופון״:</t>
  </si>
  <si>
    <t>הואיל ויש כאן מקרה מיוחד של תשלום קופון מיידי, נוסיף אותו:</t>
  </si>
  <si>
    <t>סך שווי האג״ח - התשובה הסופית</t>
  </si>
  <si>
    <t>ידוע מה הסכום ששולם בהתחלה PV בעד האג״ח בסימן שלילי</t>
  </si>
  <si>
    <t>הקופון הרבעוני ללא שינוי</t>
  </si>
  <si>
    <t>הערך הנקוב שהוא סכום נוסף שהמשקיע יקבל בפדיון</t>
  </si>
  <si>
    <t>הרכישה בוצעה מיד בהנפקה, וההחזקה היא למשך כל 10 השנים</t>
  </si>
  <si>
    <t>הפעם הנעלם הוא שיעור התשואה למשקיע</t>
  </si>
  <si>
    <t>התשובה שקיבלנו עת שחילצנו %I היתה:</t>
  </si>
  <si>
    <t>כלומר, זו הריבית באחוזים.</t>
  </si>
  <si>
    <t>אבל האם זו ריבית שנתית באחוזים?</t>
  </si>
  <si>
    <t>התשובה שלילית. מדוע? כי תמיד כאשר נחלץ ריבית ע״י Solve %I התוצאה שנקבל תהיה ליחידת זמן המאפיינת</t>
  </si>
  <si>
    <t xml:space="preserve">את פרק הזמן בין תשלומים. </t>
  </si>
  <si>
    <r>
      <t xml:space="preserve">בפשטות: אם האג״ח משלמת כל רבעון, בביצוע Solve %I קיבלתי ריבית </t>
    </r>
    <r>
      <rPr>
        <b/>
        <sz val="12"/>
        <color theme="1"/>
        <rFont val="David"/>
        <family val="2"/>
        <charset val="177"/>
      </rPr>
      <t>רבעונית</t>
    </r>
    <r>
      <rPr>
        <sz val="12"/>
        <color theme="1"/>
        <rFont val="David"/>
        <family val="2"/>
        <charset val="177"/>
      </rPr>
      <t xml:space="preserve">. </t>
    </r>
  </si>
  <si>
    <r>
      <rPr>
        <b/>
        <u/>
        <sz val="12"/>
        <color theme="1"/>
        <rFont val="David"/>
        <family val="2"/>
        <charset val="177"/>
      </rPr>
      <t>שיעור התשואה השנתי</t>
    </r>
    <r>
      <rPr>
        <sz val="12"/>
        <color theme="1"/>
        <rFont val="David"/>
        <family val="2"/>
        <charset val="177"/>
      </rPr>
      <t xml:space="preserve"> שהניב המשקיע בגין השקעתו באג״ח זו?</t>
    </r>
  </si>
  <si>
    <t>הואיל והנדרש דרש שיעור תשואה שנתי, עליי לבצע פעולה אחת נוספת - להמרת התשואה הרבעונית לשנתית - עם מעריך חזקה מתאים:</t>
  </si>
  <si>
    <t>התשובה הסופית: שיעור התשואה השנתי למשקיע הוא:</t>
  </si>
  <si>
    <t>סעיף ד</t>
  </si>
  <si>
    <t xml:space="preserve">הואיל ובשאלה אינני יודע בכמה קניתי; בכמה מכרתי; ועליי לדעת מהי </t>
  </si>
  <si>
    <t xml:space="preserve">התשואה, עליי להתחיל בשלבי חישוב עלות הרכישה (שלב 1) </t>
  </si>
  <si>
    <t>ומחיר המכירה (שלב 2)</t>
  </si>
  <si>
    <t>ורק לאחר שהם בידי - אחלץ את התשואה במהלך ההחזקה.</t>
  </si>
  <si>
    <t>Solve (1,2)</t>
  </si>
  <si>
    <t>Solve (3)</t>
  </si>
  <si>
    <t>קיבלנו ששיעור התשואה הרבעוני באחוזים:</t>
  </si>
  <si>
    <t>כדי להמירו למונחים שנתיים:</t>
  </si>
  <si>
    <t>התשובה הסופית: שיעור התשואה השנתי למשקיע לאורך תקופת החזקתו הנו:</t>
  </si>
  <si>
    <t>נושא 2 - ערך נוכחי של מספר סדרות</t>
  </si>
  <si>
    <t>חישובי ערך נוכחי יכולים להדרש בין היתר במקרים הבאים:</t>
  </si>
  <si>
    <t xml:space="preserve">א. שאלה שממש שואלת ״מהו הערך הנוכחי״. </t>
  </si>
  <si>
    <t>ב. שאלה ששואלת ״מה המחיר היום״ / ״מה השווי היום״ / ״מה המשקיע יסכים לשלם היום״ / ״מה המחיר המינימלי</t>
  </si>
  <si>
    <t>שידרש בעד הנכס״ / ״מה המחיר המקסימלי שישולם בעד הנכס״.</t>
  </si>
  <si>
    <t xml:space="preserve">ג. כחלק מעסקה מתוחכמת יותר / שאלות שמשלבות בין ערך נוכחי ועתידי. </t>
  </si>
  <si>
    <t xml:space="preserve">אנחנו רוצים להתמקד ספציפית במנגנון של ערך נוכחי במקרה טכני מורכב; מקרה שבו אני יודע שחישוב הערך </t>
  </si>
  <si>
    <t>הנוכחי מצריך התאמות וביצוע ב״שלבים״ כדי להגיע לתוצאה רלוונטית.</t>
  </si>
  <si>
    <t>הדגמה קצת קשה אבל להמחשת העקרון והאימון:</t>
  </si>
  <si>
    <t>קוקי זכאי להשקיע בנכס שצפוי להניב לו בתום כל רבעון במשך 5 השנים הקרובות סכום של 20,000 ש״ח.</t>
  </si>
  <si>
    <t>בתום כל שנה לאחר מכן, עד וכולל תום השנה ה-14, יקבל קוקי סכום שנתי של 25,000 ש״ח.</t>
  </si>
  <si>
    <t xml:space="preserve">בתום כל חודש במהלך השנה ה-15, יקבל סכום קבוע על בסיס חודשי של 4,000 ש״ח. </t>
  </si>
  <si>
    <t xml:space="preserve">להלן נתוני ריבית. עליכם לחשב את הערך הנוכחי. </t>
  </si>
  <si>
    <t>ריבית שנתית אפקטיבית</t>
  </si>
  <si>
    <r>
      <t xml:space="preserve">מתודה: ערך נוכחי מורכב (כמה סדרות, שינויי סכומים, שינויי ריבית) = </t>
    </r>
    <r>
      <rPr>
        <b/>
        <sz val="12"/>
        <color theme="1"/>
        <rFont val="David"/>
        <family val="2"/>
        <charset val="177"/>
      </rPr>
      <t>עובד מהסוף להתחלה</t>
    </r>
    <r>
      <rPr>
        <sz val="12"/>
        <color theme="1"/>
        <rFont val="David"/>
        <family val="2"/>
        <charset val="177"/>
      </rPr>
      <t xml:space="preserve">. </t>
    </r>
  </si>
  <si>
    <t>בשנה ה-15</t>
  </si>
  <si>
    <t>כל חודש</t>
  </si>
  <si>
    <t>שנים 11-14</t>
  </si>
  <si>
    <t>כל שנה</t>
  </si>
  <si>
    <r>
      <t xml:space="preserve">בתום השנה ה-14, יקבל בנוסף לסכום השנתי </t>
    </r>
    <r>
      <rPr>
        <b/>
        <sz val="12"/>
        <color theme="1"/>
        <rFont val="David"/>
        <family val="2"/>
        <charset val="177"/>
      </rPr>
      <t>מענק חד פעמי בסכום של 60,000 ש״ח.</t>
    </r>
    <r>
      <rPr>
        <sz val="12"/>
        <color theme="1"/>
        <rFont val="David"/>
        <family val="2"/>
        <charset val="177"/>
      </rPr>
      <t xml:space="preserve"> </t>
    </r>
  </si>
  <si>
    <t>שנים 6-10</t>
  </si>
  <si>
    <t>שנים 3-5</t>
  </si>
  <si>
    <t>כל רבעון</t>
  </si>
  <si>
    <t>שנים 1-2</t>
  </si>
  <si>
    <t>הערך הנוכחי של ההסדר כולו הוא:</t>
  </si>
  <si>
    <t>סוגיה 3 - יתרת הלוואה בהינתן הצמדה למדד</t>
  </si>
  <si>
    <t xml:space="preserve">מר טלקר נטל הלוואה בסך 500,000 ש״ח שצמודה למדד המחירים לצרכן. </t>
  </si>
  <si>
    <t xml:space="preserve">ההלוואה נושאת ריבית שנתית (שגם היא צמודה) בשיעור של 10% לשנה. </t>
  </si>
  <si>
    <t xml:space="preserve">ההלוואה נפרעת בתשלומים חודשיים שווים (לוח סילוקין שפיצר) במשך 12 שנים. </t>
  </si>
  <si>
    <t>מהי יתרת ההלוואה (כולל רכיב ההצמדה) בחלוף 4 שנים ו-3 חודשים (רגע לאחר התשלום), אם ידוע שהמדד</t>
  </si>
  <si>
    <t xml:space="preserve">במועד נטילת ההלוואה הוא 107, והמדד בחלוף 4 שנים ו-3 חודשים הוא 111.3. </t>
  </si>
  <si>
    <t>הגדרה כללית - הלוואות שפיצר:</t>
  </si>
  <si>
    <t>בכל התקלות בלוח שפיצר, ישנן 2 סוגיות מרכזיות לדיון:</t>
  </si>
  <si>
    <t>סוגיה א:</t>
  </si>
  <si>
    <t xml:space="preserve">חילוץ התשלום התקופתי הקבוע - שימוש ב-CMPD לשם חילוץ ה-PMT. </t>
  </si>
  <si>
    <t>סוגיה ב:</t>
  </si>
  <si>
    <t>חילוץ ערך ספציפי מלוח הסילוקין - באמצעות AMRT:</t>
  </si>
  <si>
    <t>INT</t>
  </si>
  <si>
    <t>סכום ריבית שנכלל בתשלום ספציפי.</t>
  </si>
  <si>
    <t>PRN</t>
  </si>
  <si>
    <t>התשלום על חשבון הקרן שנכלל בתשלום ספציפי.</t>
  </si>
  <si>
    <t xml:space="preserve">יתרת ההלוואה (יתרת הקרן) לאחר תשלום ספציפי. </t>
  </si>
  <si>
    <t xml:space="preserve">טיפ: לא משנה על מה שואלים - הטיפול בסוגיה א (חילוץ ה-PMT) בלוח שפיצר - הוא מתחייב. </t>
  </si>
  <si>
    <t>סכום ההלוואה במועד נטילתה בסימן חיובי</t>
  </si>
  <si>
    <t>בהלוואת שפיצר, ללא תשלום / תקבול חד פעמי בסיום העסקה</t>
  </si>
  <si>
    <t>ריבית לתקופת תשלום - הריבית לא נקובה, לא נאמר משפט כגון ״מחושבת כל חודש״</t>
  </si>
  <si>
    <t>מספר התשלומים - מדובר ב-12 שנים שבכל אחת מהן 12 תשלומים חודשיים 144 = 12 * 12</t>
  </si>
  <si>
    <t>תשלום ע״ח הקרן - ספציפי</t>
  </si>
  <si>
    <t>תשלום ע״ח ריבית - ספציפי</t>
  </si>
  <si>
    <t>יתרת קרן</t>
  </si>
  <si>
    <t>מספר התשלום</t>
  </si>
  <si>
    <t xml:space="preserve">זוהי יתרת ההלוואה הריאלית לאחר 4 שנים ו-3 חודשים. במונח ״ריאלי״ אנו מתכוונים לכך שלא שיקפנו עדיין את השפעת ההצמדה (העלייה במדד) </t>
  </si>
  <si>
    <t>על הערך.</t>
  </si>
  <si>
    <t>כדי לקבל תשובה סופית של יתרת ההלוואה בהתחשב בהצמדה (נקראת גם ״יתרה נומינלית״) עלינו לכפול את היתרה הזו ביחס בין המדד העדכני למדד</t>
  </si>
  <si>
    <t>הבסיסי במועד נטילת ההלוואה.</t>
  </si>
  <si>
    <t>BAL(Zamud) = 383,230.87 * 111.3/107 =</t>
  </si>
  <si>
    <t>התשובה - יתרת ההלוואה בחלוף 4 שנים ו-3 חודשים</t>
  </si>
  <si>
    <t>ערך נוכחי PV, כולל בהקשר להלוואות</t>
  </si>
  <si>
    <t>כולל בהקשר לחישוב מחיר</t>
  </si>
  <si>
    <t xml:space="preserve">כולל בהקשר לחישוב אג״ח </t>
  </si>
  <si>
    <t>זה כשליש מבחן.</t>
  </si>
  <si>
    <t>וכולל המרות ריבית!</t>
  </si>
  <si>
    <t>תרגול 1 / מחברת הקורס ״עקרונות המימון״ - ד״ר שי צבאן, סמסטר 2025ג</t>
  </si>
  <si>
    <r>
      <t xml:space="preserve">היום </t>
    </r>
    <r>
      <rPr>
        <b/>
        <sz val="12"/>
        <color theme="1"/>
        <rFont val="David"/>
        <family val="2"/>
        <charset val="177"/>
      </rPr>
      <t>1/4/2024</t>
    </r>
  </si>
  <si>
    <t>ריבית חודשית נתונה 1%</t>
  </si>
  <si>
    <r>
      <t xml:space="preserve">של סכומים קבועים (סדרה) או </t>
    </r>
    <r>
      <rPr>
        <b/>
        <sz val="12"/>
        <color theme="1"/>
        <rFont val="David"/>
        <family val="2"/>
        <charset val="177"/>
      </rPr>
      <t>סכום בודד</t>
    </r>
    <r>
      <rPr>
        <sz val="12"/>
        <color theme="1"/>
        <rFont val="David"/>
        <family val="2"/>
        <charset val="177"/>
      </rPr>
      <t>:</t>
    </r>
  </si>
  <si>
    <t>שיק 123 - בסך 10,000, נפרע עוד חודש</t>
  </si>
  <si>
    <t>Csh. D. Editor &gt;&gt;&gt;&gt;</t>
  </si>
  <si>
    <t>כדי לצאת מהטבלה</t>
  </si>
  <si>
    <t>שווים נכון ליום 1.4.2024</t>
  </si>
  <si>
    <t>לצד קלות היישום של שימוש ב-CASHלעיל, כשקיימים תזרימים רבים היא עלולה להיות ארוכה. לכן, נרצה גם קיצור דרך</t>
  </si>
  <si>
    <t xml:space="preserve">כאן: פרויקט זק״ש כלל תזרים ראשון בזמן 1, ולכן הקפיצה ״אחת אחורה״ הובילה לזמן 0 </t>
  </si>
  <si>
    <t>כל שינוי</t>
  </si>
  <si>
    <t>בפרמטרים</t>
  </si>
  <si>
    <t>המצריך חישוב</t>
  </si>
  <si>
    <t>מחדש</t>
  </si>
  <si>
    <t>מצדיק לחיצה</t>
  </si>
  <si>
    <t xml:space="preserve">נוספת על </t>
  </si>
  <si>
    <t>EXE &gt;&gt;&gt;</t>
  </si>
  <si>
    <t>&lt;&lt;&lt;&lt;ESC&lt;&lt;&lt;</t>
  </si>
  <si>
    <r>
      <t xml:space="preserve">בהנחה שההפקדות הן בתום כל שנה, </t>
    </r>
    <r>
      <rPr>
        <b/>
        <u/>
        <sz val="12"/>
        <color theme="1"/>
        <rFont val="David"/>
        <family val="2"/>
        <charset val="177"/>
      </rPr>
      <t>מהו הסכום הכולל שיצטבר בכל אחת מהתוכניות בתום התקופה</t>
    </r>
    <r>
      <rPr>
        <sz val="12"/>
        <color theme="1"/>
        <rFont val="David"/>
        <family val="2"/>
        <charset val="177"/>
      </rPr>
      <t xml:space="preserve"> בכל אחת מהן</t>
    </r>
  </si>
  <si>
    <t>כשם שערך נוכחי PV של סדרה מבטא את ערכה לנקודת הזמן ״אחת אחורה״</t>
  </si>
  <si>
    <t>קיים גם כלל בחישוב FV של סדרה:</t>
  </si>
  <si>
    <t>ערך עתידי FV של סדרה מבטא את ערכה למועד ההפקדה האחרונה</t>
  </si>
  <si>
    <t>איפוס</t>
  </si>
  <si>
    <t>shift 9 , down arrow * 2, EXE * 2, AC</t>
  </si>
  <si>
    <r>
      <t xml:space="preserve">בהנחה שההפקדות הן </t>
    </r>
    <r>
      <rPr>
        <b/>
        <u/>
        <sz val="12"/>
        <color theme="1"/>
        <rFont val="David"/>
        <family val="2"/>
        <charset val="177"/>
      </rPr>
      <t>בתחילת</t>
    </r>
    <r>
      <rPr>
        <sz val="12"/>
        <color theme="1"/>
        <rFont val="David"/>
        <family val="2"/>
        <charset val="177"/>
      </rPr>
      <t xml:space="preserve"> כל שנה, מהו הסכום הכולל שיצטבר בכל אחת מהתוכניות בתום כל תוכנית,</t>
    </r>
  </si>
  <si>
    <t>בלוח שפיצר</t>
  </si>
  <si>
    <t>הוא ה-PV</t>
  </si>
  <si>
    <t>של סדרת ההחזרים</t>
  </si>
  <si>
    <r>
      <t xml:space="preserve">בריבית </t>
    </r>
    <r>
      <rPr>
        <b/>
        <u/>
        <sz val="12"/>
        <color theme="1"/>
        <rFont val="David"/>
        <family val="2"/>
        <charset val="177"/>
      </rPr>
      <t>נקובה</t>
    </r>
    <r>
      <rPr>
        <sz val="12"/>
        <color theme="1"/>
        <rFont val="David"/>
        <family val="2"/>
        <charset val="177"/>
      </rPr>
      <t xml:space="preserve"> שנתית של 12% הנפרעת בתשלומים חודשיים שווים של קרן וריבית (שפיצר) במשך 10 שנים.</t>
    </r>
  </si>
  <si>
    <t>רמז - תחילה חלצו את ה-PMT.... רק אז להמשיך...</t>
  </si>
  <si>
    <t>לחמש שנים, עם החזר כל חודש 5*12</t>
  </si>
  <si>
    <t>PMT=77.33</t>
  </si>
  <si>
    <r>
      <t xml:space="preserve">ולאחר מכן מחשבים את היתרה על בסיס הערך הנוכחי של התשלומים </t>
    </r>
    <r>
      <rPr>
        <b/>
        <u/>
        <sz val="12"/>
        <color theme="1"/>
        <rFont val="David"/>
        <family val="2"/>
        <charset val="177"/>
      </rPr>
      <t>שנותרו</t>
    </r>
    <r>
      <rPr>
        <sz val="12"/>
        <color theme="1"/>
        <rFont val="David"/>
        <family val="2"/>
        <charset val="177"/>
      </rPr>
      <t>, שמתחשב במספר התשלומים</t>
    </r>
  </si>
  <si>
    <t>מירב רכשה מכונה לחימום נקניק לעובדי המשרד בעלות של 500,000 ש״ח. ההלוואה נושאת ריבית נקובה שנתית בשיעור 12%</t>
  </si>
  <si>
    <t>בלוח סילוקין רגיל, בשונה משפיצר - אין קיצורי דרך מחשבוניים (CMPD/AMRT). צריך להתבסס על ההיגיון שלפיו יתרת ההלוואה</t>
  </si>
  <si>
    <t>נתון: סכום הלוואה 500,000 = LOAN</t>
  </si>
  <si>
    <t>נתון: החזרים כל חודש, 8 שנים n=96</t>
  </si>
  <si>
    <t>נתון: נדרשת היתרה לזמן 54</t>
  </si>
  <si>
    <t>ומה לגבי הריבית? לא רלוונטי! כשנדרשת</t>
  </si>
  <si>
    <t>יתרת הקרן.</t>
  </si>
  <si>
    <t>חישוב סך התשלום התקופתי בהלוואת לוח רגיל</t>
  </si>
  <si>
    <t>כתומי נטלה הלוואה בסך 100,000 ש״ח למימון מכונת נקניק לעובדים.</t>
  </si>
  <si>
    <t xml:space="preserve">הריבית השנתית הנקובה 12% וההחזרים הם בתשלומים חודשיים במשך 10 שנים, בשיטת לוח סילוקין רגיל. </t>
  </si>
  <si>
    <t>מהו התשלום הכולל שיבוצע (קרן + ריבית) בתשלום ה-48?</t>
  </si>
  <si>
    <t>תשלום קבוע (בלוח רגיל) על חשבון קרן:</t>
  </si>
  <si>
    <t xml:space="preserve">LOAN/n = 100,000 / 120 = </t>
  </si>
  <si>
    <t>תשלום על חשבון הריבית:</t>
  </si>
  <si>
    <t>בכל מועד תשלום רכיב הריבית מחושב:</t>
  </si>
  <si>
    <t>יתרת קרן (BAL) לתקופה הקודמת * r</t>
  </si>
  <si>
    <t>כאן שאלו על הריבית בזמן 48. עבורה, אני זקוק ליתרת ההלוואה לזמן 47.</t>
  </si>
  <si>
    <t>BAL(47) = LOAN/n * (n - t)</t>
  </si>
  <si>
    <t xml:space="preserve">BAL(47) = 100,000/120 * (120 - 47) = </t>
  </si>
  <si>
    <t xml:space="preserve">60,833.33 * 1% = </t>
  </si>
  <si>
    <t>סך התשלום בזמן 48 - קרן + ריבית:</t>
  </si>
  <si>
    <t>הריבית בזמן 48 היא מכפלת יתרה זו (47) באחוז הריבית:</t>
  </si>
  <si>
    <t xml:space="preserve">833.33 + 608.333 = </t>
  </si>
  <si>
    <t>14/8+21/8</t>
  </si>
  <si>
    <t>על מסמך זה נשען תרגול 2 (חלק 2)</t>
  </si>
  <si>
    <t>בהקשר ללוחות סילוקין</t>
  </si>
  <si>
    <t>החל מהנקודה הדנה בחישובי ריבית</t>
  </si>
  <si>
    <t>דנו בתרגול 3 - 21/8</t>
  </si>
  <si>
    <t>כאן התחיל תרגול 3 - 21/8</t>
  </si>
  <si>
    <r>
      <t xml:space="preserve">רקע קצר - חישובי ריבית - </t>
    </r>
    <r>
      <rPr>
        <b/>
        <u/>
        <sz val="18"/>
        <color theme="1"/>
        <rFont val="David"/>
        <family val="2"/>
        <charset val="177"/>
      </rPr>
      <t>חישוב ריבית אפקטיבית</t>
    </r>
  </si>
  <si>
    <r>
      <t xml:space="preserve">ההגדרה הפשטנית ביותר של ריבית אפקטיבית - היא הריבית </t>
    </r>
    <r>
      <rPr>
        <b/>
        <u/>
        <sz val="12"/>
        <color theme="1"/>
        <rFont val="David"/>
        <family val="2"/>
        <charset val="177"/>
      </rPr>
      <t>האמיתית בעסקה - בהתחשב במכלול היבטיה</t>
    </r>
    <r>
      <rPr>
        <sz val="12"/>
        <color theme="1"/>
        <rFont val="David"/>
        <family val="2"/>
        <charset val="177"/>
      </rPr>
      <t>.</t>
    </r>
  </si>
  <si>
    <r>
      <t xml:space="preserve">הפרופורציה (באחוזים, יחסי) בין </t>
    </r>
    <r>
      <rPr>
        <b/>
        <sz val="12"/>
        <color rgb="FF00B050"/>
        <rFont val="David"/>
        <family val="2"/>
        <charset val="177"/>
      </rPr>
      <t>הרווח</t>
    </r>
    <r>
      <rPr>
        <b/>
        <sz val="12"/>
        <color theme="1"/>
        <rFont val="David"/>
        <family val="2"/>
        <charset val="177"/>
      </rPr>
      <t xml:space="preserve"> / </t>
    </r>
    <r>
      <rPr>
        <b/>
        <sz val="12"/>
        <color rgb="FFFF0000"/>
        <rFont val="David"/>
        <family val="2"/>
        <charset val="177"/>
      </rPr>
      <t>הוצאות מימון</t>
    </r>
    <r>
      <rPr>
        <b/>
        <sz val="12"/>
        <color theme="1"/>
        <rFont val="David"/>
        <family val="2"/>
        <charset val="177"/>
      </rPr>
      <t xml:space="preserve"> (</t>
    </r>
    <r>
      <rPr>
        <b/>
        <sz val="12"/>
        <color rgb="FF00B050"/>
        <rFont val="David"/>
        <family val="2"/>
        <charset val="177"/>
      </rPr>
      <t>בהשקעה</t>
    </r>
    <r>
      <rPr>
        <b/>
        <sz val="12"/>
        <color theme="1"/>
        <rFont val="David"/>
        <family val="2"/>
        <charset val="177"/>
      </rPr>
      <t xml:space="preserve"> / </t>
    </r>
    <r>
      <rPr>
        <b/>
        <sz val="12"/>
        <color rgb="FFFF0000"/>
        <rFont val="David"/>
        <family val="2"/>
        <charset val="177"/>
      </rPr>
      <t>בהלוואה</t>
    </r>
    <r>
      <rPr>
        <b/>
        <sz val="12"/>
        <color theme="1"/>
        <rFont val="David"/>
        <family val="2"/>
        <charset val="177"/>
      </rPr>
      <t>) בין סכום הריבית בש״ח לבין קרן ההשקעה</t>
    </r>
  </si>
  <si>
    <t>במלים אחרות, אם אני נוטל היום הלוואה בסך 100 ש״ח ומחזיר בעוד שנה 110 ש״ח, הריבית האפקטיבית תהיה 10% לשנה.</t>
  </si>
  <si>
    <t>המטרה שלנו היא לגלות את הריבית האפקטיבית במצבים שבהם רכיבי עלויות המימון בעסקה הם כדלקמן:</t>
  </si>
  <si>
    <t>א. ריבית נקובה / חוזית = הריבית ש״כתובה״ בהסדר. ״ההלוואה נושאת ריבית נקובה (חוזית) בשיעור 10% לשנה״.</t>
  </si>
  <si>
    <t>ב. ריבית דריבית = כאשר ההלוואה נושאת ריבית המחושבת ״כל חודש״ / ״כל חצי שנה״ ... מתקיים מנגנון ריבית דריבית, שמשפיע על עלות המימון הכוללת - על הריבית האפקטיבית.</t>
  </si>
  <si>
    <t>ג. ריבית מראש / עמלות מראש / ניכויים = אם מדובר במצב שבו הריבית משולמת מראש ; או עמלה מראש (עמלת עריכת מסמכים וכו׳); הרי שמדובר בחלק מעלויות המימון בעסקה</t>
  </si>
  <si>
    <t xml:space="preserve">ויש להביא בחשבון את סכומן ואת עיתויין. </t>
  </si>
  <si>
    <t>תרגיל הגשה 2 שאלה 5</t>
  </si>
  <si>
    <t>שאלה 6 - חישוב ריבית אפקטיבית והתאמת תקופתה כשנתונים שני תזרימים בלבד בעסקה</t>
  </si>
  <si>
    <t>במקרה זה, דנים בריבית (תוספת התשלום) שתנבע מדחיית התשלום ב-3 חודשים:</t>
  </si>
  <si>
    <t>דרך קצת יותר אלגנטית:</t>
  </si>
  <si>
    <t>אפשר פשוט לחשב את הפרופורציה בין התשלום בתום התקופה</t>
  </si>
  <si>
    <t>לבין הקרן / סכום האשראי, פחות 1:</t>
  </si>
  <si>
    <t>תחילה, אתייחס לנתוני העסקה, לתקופת העסקה, ואחשב ריבית אפקטיבית עבורם:</t>
  </si>
  <si>
    <t>כאשר ברשותי הריבית האפקטיבית לתקופה כלשהי (גם אם היא 3 חודשים),</t>
  </si>
  <si>
    <t xml:space="preserve">אזי ככל שנדרש להמירה לתקופה אחרת (וכאן נדרש להמיר לשנה - כי זה </t>
  </si>
  <si>
    <t>מה שביקשו בשאלה) ההמרה תבוצע עם מעריך חזקה מתאים:</t>
  </si>
  <si>
    <t>ההמרה מריבית אפקטיבית לתקופה מסוימת לריבית אפקטיבית לתקופה</t>
  </si>
  <si>
    <t>אחרת מבוצע באמצעות מעריך חזקה שהוא היחס בין התקופה הנדרשת</t>
  </si>
  <si>
    <t xml:space="preserve">לתקופה הקיימת. כלומר: כאן צריך ריבית לשנה, בשלב קודם היתה לי </t>
  </si>
  <si>
    <t xml:space="preserve">ריבית לרבעון, בשנה יש 4 רבעונים, המעריך 4. </t>
  </si>
  <si>
    <t>התהליך להלן יתייחס רק למצב שבו העסקה כוללת שני תזרימים בלבד שהנם נתונים / ניתנים לחילוץ:</t>
  </si>
  <si>
    <t>מקביל לשאלה 3 בתרגיל בית 2</t>
  </si>
  <si>
    <t xml:space="preserve">שאלה 7 - ריבית אפקטיבית - במצבים שונים (נקובה, מחושבת כל, מראש) - כלל ערכי הריבית אחוזיים </t>
  </si>
  <si>
    <t>מהי הריבית האפקטיבית השנתית בכל אחד מ-6 המקרים הבאים:</t>
  </si>
  <si>
    <r>
      <t xml:space="preserve">א. הריבית (הנקובה) היא 10% לשנה </t>
    </r>
    <r>
      <rPr>
        <b/>
        <u/>
        <sz val="12"/>
        <color theme="1"/>
        <rFont val="David"/>
        <family val="2"/>
        <charset val="177"/>
      </rPr>
      <t>בחישוב חצי שנתי</t>
    </r>
  </si>
  <si>
    <r>
      <t xml:space="preserve">ב. הריבית (הנקובה) היא 6% לשנה </t>
    </r>
    <r>
      <rPr>
        <b/>
        <u/>
        <sz val="12"/>
        <color theme="1"/>
        <rFont val="David"/>
        <family val="2"/>
        <charset val="177"/>
      </rPr>
      <t>בחישוב חודשי</t>
    </r>
  </si>
  <si>
    <r>
      <t xml:space="preserve">ג. הריבית (הנקובה) היא 12% לשנה </t>
    </r>
    <r>
      <rPr>
        <b/>
        <u/>
        <sz val="12"/>
        <color theme="1"/>
        <rFont val="David"/>
        <family val="2"/>
        <charset val="177"/>
      </rPr>
      <t>בחישוב רבעוני</t>
    </r>
  </si>
  <si>
    <t>מה זה אומר ריבית נקובה שנתית 10% מחושבת כל חצי שנה?</t>
  </si>
  <si>
    <t>נתייחס לקרן כאל ערך סמלי של 1</t>
  </si>
  <si>
    <t>או 100% מהסכום הראשוני</t>
  </si>
  <si>
    <t xml:space="preserve"> ש״ח 1</t>
  </si>
  <si>
    <t xml:space="preserve">מחושבת חצי שנתית = </t>
  </si>
  <si>
    <t>אחרי חצי שנה הבנק עוצר ומוסיף את הריבית לחוב</t>
  </si>
  <si>
    <t>יתרה:</t>
  </si>
  <si>
    <t>טיפוס: ריבית נקובה המחושבת כריבית דריבית</t>
  </si>
  <si>
    <t>כאשר הריבית נתונה ללא תיאור ״נקובה״ וללא אזכור של אורך תקופת החישוב, זו כבר ריבית בסיס, לכן לא תבוצע חלוקה
וכל ההתאמה לתקופה אחרת תבוצע באמצעות מעריך החזקה בלבד.</t>
  </si>
  <si>
    <t>ואת הריבית בגינה בשיעור 10%</t>
  </si>
  <si>
    <t>יש לשלם מראש, מיד בתחילת העסקה.</t>
  </si>
  <si>
    <t xml:space="preserve">המחשה - נניח שנטלתי הלוואה בסך 100 ש״ח </t>
  </si>
  <si>
    <t>הרחבה: אותם נתונים
אך נדרשת ריבית אפקטיבית
ל-9 חודשים (3 רבעונים)</t>
  </si>
  <si>
    <t>ריבית נקובה המחושבת כל...</t>
  </si>
  <si>
    <t>ריבית נקובה נתונה: 6%</t>
  </si>
  <si>
    <t>המכנה: מספר תקופות חישוב הריבית [כאן: מס׳ החודשים] בתקופת הריבית הנקובה הנתונה [כאן: בחצי שנה] לכן 6</t>
  </si>
  <si>
    <t>המעריך: מספר תקופות חישוב הריבית [כאן: מס׳ החודשים] בתקופה הנדרשת (כאן רצו לחשב ריבית אפקטיבית לשנה). לכן 12</t>
  </si>
  <si>
    <t>תרגיל בית 2, שאלה 4</t>
  </si>
  <si>
    <t>עולה השאלה - מה פשר הנתון של ״הלוואה ל-8 חודשים״ אך נדרש המבקש ״ריבית אפקטיבית לשנה״?</t>
  </si>
  <si>
    <t xml:space="preserve">זה לגמרי נכון לומר שסכום הריבית שישולם בפועל קשור בקשר ישיר לתקופת העסקה. עסקאות ארוכות יותר צוברות ריבית גבוהה יותר ולהפך (בש״ח). </t>
  </si>
  <si>
    <t>יחד עם זאת, מאד מקובל בשוק ההון והאשראי לייצג ערכי ריבית במונחים שנתיים. כך, אם אני מבצע דחיית תשלום אשראי בחודש בכרטיס אשראי,</t>
  </si>
  <si>
    <r>
      <t>בגילוי הנאות יתנו מידע לגבי ריבית אפקטיבית לשנה</t>
    </r>
    <r>
      <rPr>
        <u/>
        <sz val="12"/>
        <rFont val="David"/>
        <family val="2"/>
        <charset val="177"/>
      </rPr>
      <t xml:space="preserve"> גם אם העסקה היא לחודש אחד</t>
    </r>
    <r>
      <rPr>
        <sz val="12"/>
        <rFont val="David"/>
        <family val="2"/>
        <charset val="177"/>
      </rPr>
      <t>. ובמשכנתאות לעשרות שנים - יציידו אותי בריבית אפקטיבית</t>
    </r>
  </si>
  <si>
    <t xml:space="preserve">לשנה אחת, גם אם העסקה עצמה ל-20 שנה. </t>
  </si>
  <si>
    <t>במלים אחרות - בשאלה שכוללת נתוני ריבית באחוזים הדורשים המרה וחישוב ריבית שנתית, תהליך העבודה שלנו לחישוב ריבית שנתית זו</t>
  </si>
  <si>
    <t xml:space="preserve">לא מושפע כלל מתקופת העסקה. </t>
  </si>
  <si>
    <t>ריבית נקובה המחושבת כל.... תן לי ריבית אפקטיבית לשנה =====</t>
  </si>
  <si>
    <t>====</t>
  </si>
  <si>
    <t>נחשב לשנה, ללא תלות בתקופת העסקה</t>
  </si>
  <si>
    <r>
      <t xml:space="preserve">קיבלתם הלוואה בריבית נקובה של 20% לשנה המחושבת כל חודש. ההלוואה ל-8 חודשים. </t>
    </r>
    <r>
      <rPr>
        <b/>
        <sz val="12"/>
        <color rgb="FFFF0000"/>
        <rFont val="David"/>
        <family val="2"/>
        <charset val="177"/>
      </rPr>
      <t>מהי הריבית האפקטיבית</t>
    </r>
  </si>
  <si>
    <t>הנוסחה העקרונית לחישוב ריבית אפקטיבית על בסיס נתוני ריבית מראש היא הנוסחה להלן:</t>
  </si>
  <si>
    <t>כאשר</t>
  </si>
  <si>
    <t>re</t>
  </si>
  <si>
    <t>d = 30%</t>
  </si>
  <si>
    <t>מייצג את שיעור הריבית / שיעור הניכוי מראש לתקופה מסוימת (כאן - ל-5 שנים)</t>
  </si>
  <si>
    <t>מייצג את הריבית האפקטיבית לתקופת d (כאן - מקבלים ריבית אפקטיבית ל-5 שנים)</t>
  </si>
  <si>
    <t>כך קיבלתי ריבית אפקטיבית לתקופת d, ל-5 שנים:</t>
  </si>
  <si>
    <t>אופן ההמרה של ריבית אפקטיבית מתקופה לתקופה תמיד יבוצע על ידי מעריך חזקה מתאים בלבד, כאשר המעריך</t>
  </si>
  <si>
    <t xml:space="preserve">יהיה היחס בין התקופה הנדרשת (שנה אחת) לבין התקופה שגילינו (5 שנים). </t>
  </si>
  <si>
    <t>בקצרה:</t>
  </si>
  <si>
    <t xml:space="preserve">בשאלות שבהן שיעור הניכוי מראש הוא לתקופה שונה משנה, ואני צריך ריבית אפקטיבית לשנה, </t>
  </si>
  <si>
    <t>אחשב על בסיס הניכוי מראש את הריבית לתקופת d ואז אמיר בחזקה מתאימה לשנה.</t>
  </si>
  <si>
    <r>
      <t xml:space="preserve">כאן מתחיל בפועל תרגול 4 - 28/8/2025 - </t>
    </r>
    <r>
      <rPr>
        <b/>
        <sz val="18"/>
        <color theme="1"/>
        <rFont val="David"/>
        <family val="2"/>
        <charset val="177"/>
      </rPr>
      <t>אג״ח</t>
    </r>
    <r>
      <rPr>
        <b/>
        <sz val="12"/>
        <color theme="1"/>
        <rFont val="David"/>
        <family val="2"/>
        <charset val="177"/>
      </rPr>
      <t xml:space="preserve"> - (את ההרחבות לתרגילים אחרים השארתי לנוחותכם במידת הצורך)</t>
    </r>
  </si>
  <si>
    <t>הכי קצר בעולם:</t>
  </si>
  <si>
    <t>כדי להבין אג״ח</t>
  </si>
  <si>
    <t>המשולמים למשקיע בגינם</t>
  </si>
  <si>
    <t>**</t>
  </si>
  <si>
    <t xml:space="preserve">שעל בסיסה יחושב שווי האג״ח - </t>
  </si>
  <si>
    <t>בתור הערך הנוכחי PV של תזרימיה</t>
  </si>
  <si>
    <r>
      <t xml:space="preserve">אני רוצה לדעת מהם </t>
    </r>
    <r>
      <rPr>
        <b/>
        <sz val="12"/>
        <color theme="1"/>
        <rFont val="David"/>
        <family val="2"/>
        <charset val="177"/>
      </rPr>
      <t>תזרימי המזומנים</t>
    </r>
  </si>
  <si>
    <r>
      <t xml:space="preserve">האחת והבסיסית ביותר - היא לקבוע את </t>
    </r>
    <r>
      <rPr>
        <u/>
        <sz val="12"/>
        <color rgb="FFFF0000"/>
        <rFont val="David"/>
        <family val="2"/>
        <charset val="177"/>
      </rPr>
      <t>התשלום הבסיסי המגיע</t>
    </r>
    <r>
      <rPr>
        <sz val="12"/>
        <color theme="1"/>
        <rFont val="David"/>
        <family val="2"/>
        <charset val="177"/>
      </rPr>
      <t xml:space="preserve"> למחזיק באג״ח (לא כולל ריבית).</t>
    </r>
  </si>
  <si>
    <t>סוג תזרים ראשון - ערך נקוב, חד פעמי, בסוף</t>
  </si>
  <si>
    <r>
      <t xml:space="preserve">המטרה הנוספת - הערך הנקוב הוא בסיס </t>
    </r>
    <r>
      <rPr>
        <b/>
        <u/>
        <sz val="12"/>
        <color rgb="FFFF0000"/>
        <rFont val="David"/>
        <family val="2"/>
        <charset val="177"/>
      </rPr>
      <t>לתשלום התקופתי הסדרתי</t>
    </r>
    <r>
      <rPr>
        <sz val="12"/>
        <color theme="1"/>
        <rFont val="David"/>
        <family val="2"/>
        <charset val="177"/>
      </rPr>
      <t xml:space="preserve"> שהאג״ח משלמת למחזיק בה.</t>
    </r>
  </si>
  <si>
    <r>
      <t xml:space="preserve">זאת, משום שהתשלום התקופתי (שנקרא קופון) מחושב בתור מכפלת </t>
    </r>
    <r>
      <rPr>
        <u/>
        <sz val="12"/>
        <color theme="1"/>
        <rFont val="David"/>
        <family val="2"/>
        <charset val="177"/>
      </rPr>
      <t>הריבית הנקובה</t>
    </r>
    <r>
      <rPr>
        <sz val="12"/>
        <color theme="1"/>
        <rFont val="David"/>
        <family val="2"/>
        <charset val="177"/>
      </rPr>
      <t xml:space="preserve"> (ראו להלן)</t>
    </r>
  </si>
  <si>
    <r>
      <rPr>
        <u/>
        <sz val="12"/>
        <color theme="1"/>
        <rFont val="David"/>
        <family val="2"/>
        <charset val="177"/>
      </rPr>
      <t>בערך הנקוב</t>
    </r>
    <r>
      <rPr>
        <sz val="12"/>
        <color theme="1"/>
        <rFont val="David"/>
        <family val="2"/>
        <charset val="177"/>
      </rPr>
      <t>.</t>
    </r>
  </si>
  <si>
    <t>הריבית הנקובה - לשם חישוב התזרים הסדרתי / הקופון / PMT</t>
  </si>
  <si>
    <r>
      <t xml:space="preserve">בנוסף ארצה לדעת גם את </t>
    </r>
    <r>
      <rPr>
        <b/>
        <sz val="12"/>
        <color rgb="FFFF0000"/>
        <rFont val="David"/>
        <family val="2"/>
        <charset val="177"/>
      </rPr>
      <t>הריבית (השוק/תשואה לפדיון)</t>
    </r>
  </si>
  <si>
    <t>ריבית השוק / התשואה לפדיון:</t>
  </si>
  <si>
    <t>שאותה דורשים המשקיעים</t>
  </si>
  <si>
    <t>האלטרנטיבית</t>
  </si>
  <si>
    <r>
      <t xml:space="preserve">שתי אגרות החוב נסחרות בשיעור </t>
    </r>
    <r>
      <rPr>
        <sz val="12"/>
        <color rgb="FFFF0000"/>
        <rFont val="David"/>
        <family val="2"/>
        <charset val="177"/>
      </rPr>
      <t>תשואה לפדיון של 12%,</t>
    </r>
    <r>
      <rPr>
        <sz val="12"/>
        <color theme="1"/>
        <rFont val="David"/>
        <family val="2"/>
        <charset val="177"/>
      </rPr>
      <t xml:space="preserve"> ונושאות </t>
    </r>
    <r>
      <rPr>
        <sz val="12"/>
        <color rgb="FF00B050"/>
        <rFont val="David"/>
        <family val="2"/>
        <charset val="177"/>
      </rPr>
      <t>ריבית קופון שנתית זהה בשיעור 8%.</t>
    </r>
    <r>
      <rPr>
        <sz val="12"/>
        <color theme="1"/>
        <rFont val="David"/>
        <family val="2"/>
        <charset val="177"/>
      </rPr>
      <t xml:space="preserve"> </t>
    </r>
  </si>
  <si>
    <t>במחשבון הפיננסי - %I</t>
  </si>
  <si>
    <t>בנוסחאות מתמטיות - r</t>
  </si>
  <si>
    <r>
      <rPr>
        <sz val="12"/>
        <color rgb="FFFF0000"/>
        <rFont val="David"/>
        <family val="2"/>
        <charset val="177"/>
      </rPr>
      <t>תשואה לפדיון</t>
    </r>
    <r>
      <rPr>
        <sz val="12"/>
        <color theme="1"/>
        <rFont val="David"/>
        <family val="2"/>
        <charset val="177"/>
      </rPr>
      <t xml:space="preserve"> = התשואה הנדרשת ע״י משקיעים (אלטרנטיבית)</t>
    </r>
  </si>
  <si>
    <r>
      <rPr>
        <sz val="12"/>
        <color rgb="FF00B050"/>
        <rFont val="David"/>
        <family val="2"/>
        <charset val="177"/>
      </rPr>
      <t>ריבית קופון</t>
    </r>
    <r>
      <rPr>
        <sz val="12"/>
        <color theme="1"/>
        <rFont val="David"/>
        <family val="2"/>
        <charset val="177"/>
      </rPr>
      <t xml:space="preserve"> = ריבית נקובה = ה-PMT (קופון) מחושב ע״י מכפלתה</t>
    </r>
  </si>
  <si>
    <t>של ריבית זו בערך הנקוב (שנתון כ-100).</t>
  </si>
  <si>
    <r>
      <rPr>
        <sz val="12"/>
        <color rgb="FF00B050"/>
        <rFont val="David"/>
        <family val="2"/>
        <charset val="177"/>
      </rPr>
      <t>8%</t>
    </r>
    <r>
      <rPr>
        <sz val="12"/>
        <color theme="1"/>
        <rFont val="David"/>
        <family val="2"/>
        <charset val="177"/>
      </rPr>
      <t xml:space="preserve"> * 100 = 8</t>
    </r>
  </si>
  <si>
    <t>ש״ח לשנה</t>
  </si>
  <si>
    <r>
      <rPr>
        <b/>
        <sz val="12"/>
        <color theme="1"/>
        <rFont val="David"/>
        <family val="2"/>
        <charset val="177"/>
      </rPr>
      <t>הערך הנקוב</t>
    </r>
    <r>
      <rPr>
        <sz val="12"/>
        <color theme="1"/>
        <rFont val="David"/>
        <family val="2"/>
        <charset val="177"/>
      </rPr>
      <t xml:space="preserve"> של כל אגרת חוב הוא </t>
    </r>
    <r>
      <rPr>
        <b/>
        <sz val="12"/>
        <color theme="1"/>
        <rFont val="David"/>
        <family val="2"/>
        <charset val="177"/>
      </rPr>
      <t>100</t>
    </r>
    <r>
      <rPr>
        <sz val="12"/>
        <color theme="1"/>
        <rFont val="David"/>
        <family val="2"/>
        <charset val="177"/>
      </rPr>
      <t xml:space="preserve"> ש״ח ערך נקוב.</t>
    </r>
  </si>
  <si>
    <t>תזרים קופון שנתי</t>
  </si>
  <si>
    <t>תשלום הערך הנקוב</t>
  </si>
  <si>
    <t>PMT=rB*FV</t>
  </si>
  <si>
    <t>הערך הנקוב - תשלום חד פעמי בתום התקופה</t>
  </si>
  <si>
    <t>מתמטית - המבנה התזרימי בשאלה מצדיק יישום משולב של ערך נוכחי של סדרת הקופונים בתוספת הערך הנוכחי של התשלום הבודד של הערך הנקוב.</t>
  </si>
  <si>
    <t>ערך נוכחי רכיב סדרתי - סדרת קופונים</t>
  </si>
  <si>
    <t>ערך נוכחי של סכום חד פעמי - הערך הנקוב</t>
  </si>
  <si>
    <t>כאשר: PMT הוא הקופון - 8</t>
  </si>
  <si>
    <t>הריבית להיוון r היא שיעור התשואה לפדיון נתונה כ-12%</t>
  </si>
  <si>
    <t>ה-n הוא מספר תזרימי הקופון 4</t>
  </si>
  <si>
    <t xml:space="preserve">ב. מהו השינוי במחירי האג״ח כתוצאה מעלייה בשיעור התשואה לפדיון ל-14%? </t>
  </si>
  <si>
    <t>פתרון סעיף א:</t>
  </si>
  <si>
    <t>פתרון סעיף ב - לחשב מחדש לאחר שינוי %I</t>
  </si>
  <si>
    <t>זה למעשה סוג השאלה הכי בסיסי בעולם:</t>
  </si>
  <si>
    <t>כל הנתונים קיימים;</t>
  </si>
  <si>
    <t>הערכים שנתיים בלבד;</t>
  </si>
  <si>
    <t>כל התשלומים הם בסוף כל שנה...</t>
  </si>
  <si>
    <t>הנפקה</t>
  </si>
  <si>
    <t>אתה נמצא כאן</t>
  </si>
  <si>
    <t>ריבית אג״ח = ריבית נקובה = 15%</t>
  </si>
  <si>
    <t>משולמת כל חצי שנה = 7.5% = 2 / 15%</t>
  </si>
  <si>
    <t>קופון = תשלום חצי שנתי:</t>
  </si>
  <si>
    <t>7.5% * 500 = 37.5</t>
  </si>
  <si>
    <r>
      <rPr>
        <sz val="12"/>
        <color rgb="FF0070C0"/>
        <rFont val="David"/>
        <family val="2"/>
        <charset val="177"/>
      </rPr>
      <t>הריבית השנתית על האג״ח היא 15%</t>
    </r>
    <r>
      <rPr>
        <sz val="12"/>
        <color theme="1"/>
        <rFont val="David"/>
        <family val="2"/>
        <charset val="177"/>
      </rPr>
      <t xml:space="preserve"> והיא משולמת כל חצי שנה.</t>
    </r>
  </si>
  <si>
    <t>ריבית נקובה לתקופת תשלום * ערך נקוב</t>
  </si>
  <si>
    <t>המרות ריבית נקובה באג״ח = חישוב יחסי חלוקה תמיד (לא חזקה)</t>
  </si>
  <si>
    <t>המרת ריבית משק / לפדיון</t>
  </si>
  <si>
    <t>באג״ח = חישוב אפקטיבי</t>
  </si>
  <si>
    <t>בחזקה</t>
  </si>
  <si>
    <t>הקופון התקופתי (ערך חצי שנתי קבוע). - מכפלת ריבית נקובה יחסית בערך הנקוב:</t>
  </si>
  <si>
    <r>
      <rPr>
        <sz val="12"/>
        <color theme="0"/>
        <rFont val="David"/>
        <family val="2"/>
        <charset val="177"/>
      </rPr>
      <t>,</t>
    </r>
    <r>
      <rPr>
        <sz val="12"/>
        <color theme="1"/>
        <rFont val="David"/>
        <family val="2"/>
        <charset val="177"/>
      </rPr>
      <t>15%/2 * 500 = 37.5</t>
    </r>
  </si>
  <si>
    <t>מספר תזרימי הקופון שנותרו למועד החישוב - ברירת מחדל - בוצעו כל התשלומים עד כה (שנתיים = 4)</t>
  </si>
  <si>
    <t xml:space="preserve">הקופונים הם סדרה, לכן ה-I% המשרת בהיוונם </t>
  </si>
  <si>
    <t>צריך להיות מתואם לתקופת תשלום (חצי שנה)</t>
  </si>
  <si>
    <t>ריבית שוק נתונה, אך היא לחודש; 3%</t>
  </si>
  <si>
    <t>תשלומים חצי שנתיים &gt;&gt;&gt; ריבית נקובה חצי שנתית</t>
  </si>
  <si>
    <t>הערך הנקוב - נתון</t>
  </si>
  <si>
    <t xml:space="preserve">PV = </t>
  </si>
  <si>
    <t xml:space="preserve">PMT = </t>
  </si>
  <si>
    <t>ריבית נקובה יחסית לרבעון * ערך נקוב</t>
  </si>
  <si>
    <t xml:space="preserve">FV = </t>
  </si>
  <si>
    <t>בכל מצב שבו הקופון הקרוב איננו</t>
  </si>
  <si>
    <t xml:space="preserve">בעוד תקופת תשלום אחת בדיוק, </t>
  </si>
  <si>
    <t>חישוב ה-PV לא יספק, ועלינו לבצע</t>
  </si>
  <si>
    <t>גם התאמה.</t>
  </si>
  <si>
    <t>במקרה זה: אני נמצא בחלוף שנתיים וחודש</t>
  </si>
  <si>
    <t>התשלום הקרוב הוא בסוף הרבעון, כלומר</t>
  </si>
  <si>
    <t>בחלוף שנתיים ו-3 חודשים.</t>
  </si>
  <si>
    <t>ה-PV מקפיץ אוטומטית תקופת תשלום</t>
  </si>
  <si>
    <t xml:space="preserve">אחת אחורה = רבעון אחורה ממועד </t>
  </si>
  <si>
    <t>התשלום הקרוב:</t>
  </si>
  <si>
    <t>לרבעון שלם לפני שנתיים ו-3 חודשים ונדרשת התאמה</t>
  </si>
  <si>
    <t>וחודש</t>
  </si>
  <si>
    <t>ו-3 חודשים</t>
  </si>
  <si>
    <t>המיקום שלי</t>
  </si>
  <si>
    <t>של סדרה זו</t>
  </si>
  <si>
    <t>מקפיץ</t>
  </si>
  <si>
    <t xml:space="preserve">אחת </t>
  </si>
  <si>
    <t>רבעון אחד אחורה = תקופת תשלום אחת אחורה</t>
  </si>
  <si>
    <t>נוסחת ה-PV</t>
  </si>
  <si>
    <t>מקפיצה לפה</t>
  </si>
  <si>
    <t>תום השנתיים</t>
  </si>
  <si>
    <t xml:space="preserve">לתום </t>
  </si>
  <si>
    <t>השנתיים</t>
  </si>
  <si>
    <t>PV = 91.05</t>
  </si>
  <si>
    <t xml:space="preserve">יש לתאם חודש </t>
  </si>
  <si>
    <t>אחד קדימה</t>
  </si>
  <si>
    <t>לנקודת הזמן</t>
  </si>
  <si>
    <t>המבוקשת</t>
  </si>
  <si>
    <t>שלב 2- התאמה ב-CMPD:</t>
  </si>
  <si>
    <t>ה-n מתאים לחודש אחד מתוך 12 אם הריבית שנתית</t>
  </si>
  <si>
    <t>התאמה חודש קדימה</t>
  </si>
  <si>
    <t>שאלה נוספת באותו סגנון</t>
  </si>
  <si>
    <t xml:space="preserve">הערך הנקוב הוא 200 ש״ח, משולם בתשלום אחד בתום 10 השנים. </t>
  </si>
  <si>
    <t>מהו שווי האג״ח בחלוף 4 שנים ו-10 חודשים מהנפקתה, אם שיעור התשואה לפדיון (ריבית המשק) הוא 9% לשנה.</t>
  </si>
  <si>
    <t>מספר התשלומים שנותרו = מספר התשלומים הכולל בניכוי תשלומים שבוצעו</t>
  </si>
  <si>
    <t>שיעור תשואה לפדיון לתקופת תשלום = בהמרה עם חזקה מתאימה</t>
  </si>
  <si>
    <t>התוצאה שתתקבל היא ״תקופת תשלום שלמה אחורה״</t>
  </si>
  <si>
    <t>ריבית נקובה לתקופת תשלום (בהמרה יחסית / חלוקה) * ערך נקוב</t>
  </si>
  <si>
    <t>תשואה לפדיון לשנה</t>
  </si>
  <si>
    <t>החלק היחסי מהשנה להתאמה</t>
  </si>
  <si>
    <t>במקום צעד 2 במחשבון אפשר פשוט לכפול את ה-PV של השלב הראשון ב-1 ועוד תשואה לפדיון בחזקה מתאימה</t>
  </si>
  <si>
    <t>ה-PV של הסדרה למעשה מחשב ערך נוכחי של כל התשלומים מתום שנה 5 ואילך (אני נמצא ב-4 שנים ו-10 חודשים)</t>
  </si>
  <si>
    <t>החישוב מוביל לנקודת הזמן שהיא תקופה שלמה לפני התשלום הקרוב: כלומר, אם הקרוב ב-5, והתקופה חצי שנה - התוצאה היא ל-4.5</t>
  </si>
  <si>
    <t>המטרה: לדחוף את התוצאה מ-4 + 6/12 (4.5 שנים)</t>
  </si>
  <si>
    <t>ל - 4 + 10/12 (הנדרש) כלומר לדחוף 4 חודשים קדימה.</t>
  </si>
  <si>
    <t xml:space="preserve">175.94 * (1+9%)^(4/12) = </t>
  </si>
  <si>
    <t>בלי מינוס אחת כי זו נוסחת ערך עתידי ולא חישוב ריבית</t>
  </si>
  <si>
    <r>
      <t xml:space="preserve">מאיה בע״מ הנפיקה אג״ח ל-10 שנים המשלמת ריבית קופון </t>
    </r>
    <r>
      <rPr>
        <b/>
        <u/>
        <sz val="12"/>
        <color theme="1"/>
        <rFont val="David"/>
        <family val="2"/>
        <charset val="177"/>
      </rPr>
      <t>שנתית</t>
    </r>
    <r>
      <rPr>
        <sz val="12"/>
        <color theme="1"/>
        <rFont val="David"/>
        <family val="2"/>
        <charset val="177"/>
      </rPr>
      <t xml:space="preserve"> בשיעור 6% כל חצי שנה.</t>
    </r>
  </si>
  <si>
    <t>הסבר ארוך מהתרגול בכיתה לשאלה 3 (הקודמת לא האחרונה) לחובבי הז׳אנר:</t>
  </si>
  <si>
    <t>חייבת להיות חפיפה בין סוג התזרים והחשיפה הנובעת</t>
  </si>
  <si>
    <t>לשיעור ההיוון (%I).</t>
  </si>
  <si>
    <t>יהוון ב-%I המייצג ריבית ריאלית &gt;&gt;&gt; לפני גילום השפעות אינפלציה</t>
  </si>
  <si>
    <t>תזרימים ריאליים            &gt;&gt;&gt;           לפני גילום השפעות אינפלציה</t>
  </si>
  <si>
    <r>
      <t xml:space="preserve">דגש: שווי אג״ח צמודה במועד הנפקתה נשען על תזרימי אג״ח המבוססים על </t>
    </r>
    <r>
      <rPr>
        <b/>
        <u/>
        <sz val="12"/>
        <color theme="1"/>
        <rFont val="David"/>
        <family val="2"/>
        <charset val="177"/>
      </rPr>
      <t>ריבית הקופון</t>
    </r>
    <r>
      <rPr>
        <b/>
        <sz val="12"/>
        <color theme="1"/>
        <rFont val="David"/>
        <family val="2"/>
        <charset val="177"/>
      </rPr>
      <t xml:space="preserve"> (לפני שיקלול הצמדה) , </t>
    </r>
    <r>
      <rPr>
        <b/>
        <u/>
        <sz val="12"/>
        <color theme="1"/>
        <rFont val="David"/>
        <family val="2"/>
        <charset val="177"/>
      </rPr>
      <t>הערך הנקוב</t>
    </r>
    <r>
      <rPr>
        <b/>
        <sz val="12"/>
        <color theme="1"/>
        <rFont val="David"/>
        <family val="2"/>
        <charset val="177"/>
      </rPr>
      <t xml:space="preserve"> (ללא הצמדה)</t>
    </r>
  </si>
  <si>
    <r>
      <t xml:space="preserve">ועל </t>
    </r>
    <r>
      <rPr>
        <b/>
        <u/>
        <sz val="12"/>
        <color theme="1"/>
        <rFont val="David"/>
        <family val="2"/>
        <charset val="177"/>
      </rPr>
      <t>הריבית הריאלית</t>
    </r>
    <r>
      <rPr>
        <b/>
        <sz val="12"/>
        <color theme="1"/>
        <rFont val="David"/>
        <family val="2"/>
        <charset val="177"/>
      </rPr>
      <t xml:space="preserve"> בשוק (שהיא למעשה ריבית לפני השפעות הצמדה). </t>
    </r>
  </si>
  <si>
    <t>התזרימים הם ריאליים - שיעור ההיון ריבית ריאלית</t>
  </si>
  <si>
    <r>
      <t>ריבית ריאלית בשוק / שיעור תשואה לפדיון ״ריאלי״-</t>
    </r>
    <r>
      <rPr>
        <b/>
        <u/>
        <sz val="12"/>
        <color theme="1"/>
        <rFont val="David"/>
        <family val="2"/>
        <charset val="177"/>
      </rPr>
      <t>נתון</t>
    </r>
  </si>
  <si>
    <t>האג״ח ל-8 שנים, ומשלמת כל שנה</t>
  </si>
  <si>
    <t>קופון ריאלי: ריבית קופון ריאלית נתונה 5% * ערך נקוב ריאלי 100</t>
  </si>
  <si>
    <t>ערך נקוב ריאלי (לפני השפעות הצמדה)</t>
  </si>
  <si>
    <t xml:space="preserve">הנוסחה הכללית לחישוב שווי אג״ח </t>
  </si>
  <si>
    <t>על בסיס היוון סדרת קופונים וערך נקוב חד פעמי בסוף:</t>
  </si>
  <si>
    <t>הכל במונחי תזרימים ריאליים</t>
  </si>
  <si>
    <t>וריבית ריאלית:</t>
  </si>
  <si>
    <t xml:space="preserve">כאשר דנים במחיר האג״ח במועד הנפקתה - האינפלציה (שינוי במדד) טרם התרחשה. </t>
  </si>
  <si>
    <t>ולכן, הערך הריאלי של האג״ח = לפני הצמדה = ערך סופי (כספי) בהנפקה כי אין השפעות הצמדה עדיין.</t>
  </si>
  <si>
    <t xml:space="preserve">ולכן הנדרש הקודם (א) שדן בשווי במועד ההנפקה בוצע כמעט כמו במצב הרגיל של אג״ח לא צמודה. </t>
  </si>
  <si>
    <t xml:space="preserve">לעומת זאת, כאשר דנים במחיר האג״ח לאחר הנפקתה, בנקודת זמן מאוחרת יותר, סביר מאד ששינויים במדד התרחשו. </t>
  </si>
  <si>
    <t>לכן, בנקודה זו הערך הריאלי (לפני הצמדה) לא יהיה הערך הסופי - יש להוסיף לו את השפעות האינפלציה.</t>
  </si>
  <si>
    <t>בהתאם, לשם תמחור בנקודת זמן לאחר מועד ההנפקה, נפעל בשני שלבים:</t>
  </si>
  <si>
    <t xml:space="preserve">א. חישוב השווי הריאלי (בהתעלם מהאינפלציה). </t>
  </si>
  <si>
    <t>ב. השווי הריאלי יוכפל ב-1 ועוד שיעור האינפלציה - כדי להגיע לערך הכספי הסופי.</t>
  </si>
  <si>
    <t>ריבית ריאלית להיוון 3%, האינפלציה בשנה שחלפה 2%.</t>
  </si>
  <si>
    <r>
      <t xml:space="preserve">שלב 1: חישוב ערך ריאלי - אג״ח במקור ל-8 שנים, כעת חלפה שנה, </t>
    </r>
    <r>
      <rPr>
        <b/>
        <sz val="12"/>
        <color rgb="FFFF0000"/>
        <rFont val="David"/>
        <family val="2"/>
        <charset val="177"/>
      </rPr>
      <t>נותרו 7 שנים</t>
    </r>
    <r>
      <rPr>
        <b/>
        <sz val="12"/>
        <color theme="1"/>
        <rFont val="David"/>
        <family val="2"/>
        <charset val="177"/>
      </rPr>
      <t xml:space="preserve">, תשלומי ריבית קופון 5% על ערך נקוב של 100, </t>
    </r>
  </si>
  <si>
    <r>
      <t xml:space="preserve">באופן כללי (ללא קשר לסוגיית הצמדה או היעדרה) - </t>
    </r>
    <r>
      <rPr>
        <b/>
        <u/>
        <sz val="12"/>
        <color rgb="FFFF0000"/>
        <rFont val="David"/>
        <family val="2"/>
        <charset val="177"/>
      </rPr>
      <t>מחיר של אג״ח באשר היא, הוא הערך הנוכחי (PV) של תזרימי המזומנים שנותרו</t>
    </r>
    <r>
      <rPr>
        <sz val="12"/>
        <color theme="1"/>
        <rFont val="David"/>
        <family val="2"/>
        <charset val="177"/>
      </rPr>
      <t xml:space="preserve"> לאג״ח נכון</t>
    </r>
  </si>
  <si>
    <t xml:space="preserve">למועד החישוב. אם מחשבים שווי אחרי שנה מתוך 8, השווי יישען על ערך נוכחי של 7 התזרימים שנותרו. </t>
  </si>
  <si>
    <t>סיכום ביניים: במועד הנפקה - שווי אג״ח ריאלי (תזרימים ריאליים מהוונים בריבית ריאלית) = שוויה הסופי.</t>
  </si>
  <si>
    <t>במועדים לאחר הנפקה = שווי אג״ח ריאלי כפול אחת ועוד השינוי בבסיס הצמדה = שוויה הסופי.</t>
  </si>
  <si>
    <t>נדרש א - תזרים מזומנים ריאלי - לכל אורך חיי האג״ח (הכוונה היא ל-10 השנים)</t>
  </si>
  <si>
    <t>נתון: ערך נקוב 100</t>
  </si>
  <si>
    <t>ריבית נקובה 7%</t>
  </si>
  <si>
    <t>למשך 10 שנים, תדירות תשלום שנתית</t>
  </si>
  <si>
    <t>מדוע 107?</t>
  </si>
  <si>
    <t>ערך נקוב 100</t>
  </si>
  <si>
    <t>בתוספת קופון 7</t>
  </si>
  <si>
    <t>נדרש ב - שיעור אינפלציה כולל ל-3 השנים שחלפו - כאשר נתון שהאינפלציה בשנה הראשונה 14% ובכל אחת מהשנתיים העוקבות 12% לשנה</t>
  </si>
  <si>
    <t>אם מעניקים לי נתונים על אינפלציה בכל שנה ושנה בנפרד, מהי הדרך לחישוב האינפלציה הכוללת בכל השנים יחד?</t>
  </si>
  <si>
    <t>אם דרשו את שיעור האינפלציה ל-3 השנים יחד, כיצד נפעל?</t>
  </si>
  <si>
    <t>מנגנון החישוב לאינפלציה לתקופה ממושכת על בסיס ערכיה לתקופות הקצרות, מתבסס על כפל / חזקה בדומה להמרת ריבית אפקטיבית.</t>
  </si>
  <si>
    <r>
      <rPr>
        <b/>
        <sz val="12"/>
        <color theme="1"/>
        <rFont val="David"/>
        <family val="2"/>
        <charset val="177"/>
      </rPr>
      <t>לא ניתן</t>
    </r>
    <r>
      <rPr>
        <sz val="12"/>
        <color theme="1"/>
        <rFont val="David"/>
        <family val="2"/>
        <charset val="177"/>
      </rPr>
      <t xml:space="preserve"> לבצע חישוב פשוט של </t>
    </r>
    <r>
      <rPr>
        <b/>
        <sz val="12"/>
        <color theme="1"/>
        <rFont val="David"/>
        <family val="2"/>
        <charset val="177"/>
      </rPr>
      <t>חיבור</t>
    </r>
    <r>
      <rPr>
        <sz val="12"/>
        <color theme="1"/>
        <rFont val="David"/>
        <family val="2"/>
        <charset val="177"/>
      </rPr>
      <t xml:space="preserve"> ערכי האינפלציה לתקופות הקצרות.</t>
    </r>
  </si>
  <si>
    <t>התהליך הוא:</t>
  </si>
  <si>
    <t>אינפלציה לתקופה ממושכת, 3 שנים</t>
  </si>
  <si>
    <t>אינפלציה לתקופה הראשונה</t>
  </si>
  <si>
    <t>לשנה ה-1</t>
  </si>
  <si>
    <t>אינפלציה לתקופה השניה</t>
  </si>
  <si>
    <t>לשנה ה-2</t>
  </si>
  <si>
    <t>וכן הלאה</t>
  </si>
  <si>
    <t>נתון - שיעור האינפלציה בשנה הראשונה 𝜋_1 היה 14% ובשנה השניה והשלישית 12% לשנה 𝜋_3=𝜋_2  = 12%</t>
  </si>
  <si>
    <t>הביטוי של 12% + 1 הועלה בריבוע, משום שהאינפלציה התקופתית של 12% תקפה 2 תקופות.</t>
  </si>
  <si>
    <t>הביטוי של 14% + 1 לא הועלה בחזקה (או: ניתן לומר שהועלה בחזקת 1) כי תקף תקופה אחת.</t>
  </si>
  <si>
    <t>שיעור אינפלציה מצרפי</t>
  </si>
  <si>
    <t>ל-3 שנים.</t>
  </si>
  <si>
    <t xml:space="preserve">נדרש ג - מחיר אג״ח בחלוף 3 שנים - אם אורך חיי האג״ח הוא בסך הכל 10 שנים, והריבית הריאלית השנתית 4%, </t>
  </si>
  <si>
    <t>הערך הנקוב 100, ריבית נקובה 7%</t>
  </si>
  <si>
    <t>כאשר אג״ח היא צמודה, ורוצים לחשב את מחירה במועד מאוחר יותר, הדרך הקלאסית היא לחשב PV ריאלי לערכים התזרימיים שנותרו;</t>
  </si>
  <si>
    <t xml:space="preserve">ואת התוצאה המהווה שווי ריאלי, לכפול ב-1 ועוד האינפלציה לתקופה שחלפה. </t>
  </si>
  <si>
    <t xml:space="preserve">א. ניתן להמיר את התזרימים הריאליים שנותרו למונחים נומינליים = למונחי תזרים כולל וסופי. </t>
  </si>
  <si>
    <t>איך עושים את זה? פשוט כופלים כל אחד מהם ב-1 ועוד שיעור האינפלציה הכולל לתקופה שחלפה.</t>
  </si>
  <si>
    <t>ב. נהוון את התזרימים הכוללים / הנומינליים בריבית ריאלית, ונקבל את שווי האג״ח הנומינלי (הכולל) מיידית.</t>
  </si>
  <si>
    <t>מסלול 1</t>
  </si>
  <si>
    <t>ריאלית</t>
  </si>
  <si>
    <t>התאמה ״בסוף התהליך״</t>
  </si>
  <si>
    <t>מסלול 2 - בשאלה זו</t>
  </si>
  <si>
    <r>
      <t xml:space="preserve">תזרים </t>
    </r>
    <r>
      <rPr>
        <b/>
        <u/>
        <sz val="12"/>
        <color theme="1"/>
        <rFont val="David"/>
        <family val="2"/>
        <charset val="177"/>
      </rPr>
      <t>נומינלי</t>
    </r>
    <r>
      <rPr>
        <sz val="12"/>
        <color theme="1"/>
        <rFont val="David"/>
        <family val="2"/>
        <charset val="177"/>
      </rPr>
      <t xml:space="preserve"> </t>
    </r>
  </si>
  <si>
    <t>לאחר הצמדה</t>
  </si>
  <si>
    <t>ואז ה-PV הוא השווי</t>
  </si>
  <si>
    <t>הנומינלי, אין צורך בהתאמה</t>
  </si>
  <si>
    <t>אלא שדרך נוספת אפשרית, המוצגת להלן היא כזו שתטען - מסלול 2:</t>
  </si>
  <si>
    <t>תזרים נומינלי</t>
  </si>
  <si>
    <t>ב-1 ועוד שיעור האינפלציה הכולל עד ערב החישוב (43%) אשר חושב בסעיף קודם:</t>
  </si>
  <si>
    <t>חישוב בדרך יעלית / מתמטית - בדיוק אותו דבר, שינוי בתזרימים</t>
  </si>
  <si>
    <t>באופן שבו הם מגלמים אינפלציה (תזרימים נומינליים)</t>
  </si>
  <si>
    <t xml:space="preserve">ולכן השווי המתקבל גם בגישה זו הוא ערך סופי. </t>
  </si>
  <si>
    <t>שיעור אינפלציה מצרפי מצטבר לכל</t>
  </si>
  <si>
    <t>התקופה - 4 השנים, ערב התמחור.</t>
  </si>
  <si>
    <t xml:space="preserve">אני נמצא בחלוף 4 שנים - ״רגע לפני״ התשלום ה-4. </t>
  </si>
  <si>
    <t>זה אומר שמנקודת ראותי כרגע: אני זכאי לקבל 7 תזרימים - את התזרים של זמן 4, שטרם בוצע (יבוצע מיד) ואת 6 התזרימים העתידיים העוקבים.</t>
  </si>
  <si>
    <t>מה עשינו כאן? אנו פועלים במסלול החישוב ה-2 של אג״ח צמודות:</t>
  </si>
  <si>
    <t xml:space="preserve">מסלול זה לוקח את התזרימים של האג״ח, ומצמיד כל אחד מהם ע״י מכפלה ב-1 ועוד אינפלציה מצטברת לתקופה שחלפה. </t>
  </si>
  <si>
    <t xml:space="preserve">התזרימים המתקבלים נקראים תזרימים נומינליים. </t>
  </si>
  <si>
    <t>מה עושים עם זה? היכן נכנסת לה הריבית? הריבית הריאלית הנתונה 3% לשנה תשרת אותי בחישוב הערך הנוכחי PV:</t>
  </si>
  <si>
    <t xml:space="preserve">10 * (1+54.44%) = </t>
  </si>
  <si>
    <t xml:space="preserve">100 * (1 + 54.44%) = </t>
  </si>
  <si>
    <t>אני נמצא בזמן:</t>
  </si>
  <si>
    <t xml:space="preserve">התזרים הקרוב בזמן: </t>
  </si>
  <si>
    <t xml:space="preserve">ערך נוכחי PV סדרתי מוביל לזמן: </t>
  </si>
  <si>
    <t>ה-PV מבטא את התוצאה ״אחת אחורה (תקופת תשלום אחת אחורה)״ לפני התזרים הקרוב.</t>
  </si>
  <si>
    <t>לכן, השווי שהתקבל:</t>
  </si>
  <si>
    <t>זה שווי האג״ח לזמן 3</t>
  </si>
  <si>
    <t>כדי לדחוף את התוצאה תקופה אחת קדימה - כופלים ב-1 ועוד הריבית התקופתית 3%:</t>
  </si>
  <si>
    <t>התוצאה הסופית - שווי אג״ח לזמן 4</t>
  </si>
  <si>
    <t xml:space="preserve">בקצרה: חישבנו בתחילה את האינפלציה הכוללת ל-3 התקופות הראשונות (כי שאלו על התמחור לזמן 3). </t>
  </si>
  <si>
    <t>חישבנו את התזרימים הצמודים לאחר זמן 3 וביצענו להם PV בריבית הריאלית הידועה לאותו מועד (במקרה הקודם).</t>
  </si>
  <si>
    <t xml:space="preserve">כאן, התקדמנו שנה קדימה. השינויים היו: חישבנו את האינפלציה הכוללת ל-4 השנים (כי שאלו על התמחור לזמן 4). </t>
  </si>
  <si>
    <t xml:space="preserve">חישבנו את התזרימים הצמודים לזמן 4 ואילך (כי במקרה הזה אני רגע לפני התשלום ה-4 כנתון). </t>
  </si>
  <si>
    <t>לצערנו בגלל שהתזרים הקרוב היה מיידי בסעיף זה, עקרון הקפיצה ״אחת תקופה״ גרם לסטייה מזמן 4, תיקנו אותה ע״י מכפלה ב-1 ועוד הריבית.</t>
  </si>
  <si>
    <t>חיזוקי אג״ח נוספים ללא מפגש</t>
  </si>
  <si>
    <t xml:space="preserve">תרגול 6 - 11/9/2025 - קריטריונים להחלטות השקעה (כדאיות פרויקטים) </t>
  </si>
  <si>
    <t>לא רלוונטי ואין צורך להזינו בחישובי IRR/שת״פ. אפשר להזין אפס אם תרצו, זה לא משנה</t>
  </si>
  <si>
    <r>
      <rPr>
        <b/>
        <sz val="12"/>
        <color theme="1"/>
        <rFont val="David"/>
        <family val="2"/>
        <charset val="177"/>
      </rPr>
      <t>Solve</t>
    </r>
    <r>
      <rPr>
        <sz val="12"/>
        <color theme="1"/>
        <rFont val="David"/>
        <family val="2"/>
        <charset val="177"/>
      </rPr>
      <t xml:space="preserve"> IRR(N) =</t>
    </r>
  </si>
  <si>
    <r>
      <rPr>
        <b/>
        <sz val="12"/>
        <color theme="1"/>
        <rFont val="David"/>
        <family val="2"/>
        <charset val="177"/>
      </rPr>
      <t>Solve</t>
    </r>
    <r>
      <rPr>
        <sz val="12"/>
        <color theme="1"/>
        <rFont val="David"/>
        <family val="2"/>
        <charset val="177"/>
      </rPr>
      <t xml:space="preserve"> IRR(M) = </t>
    </r>
  </si>
  <si>
    <t>לאחר הזנת ערכי התזרים בטבלה לוחצים על ESC כדי לחזור לתפריט:</t>
  </si>
  <si>
    <t>בתפריט הראשי, יורדים למטה עד שמוצאים את IRR ולוחצים על SOLVE:</t>
  </si>
  <si>
    <t xml:space="preserve">התוצאה של ה-IRR (ראשי תיבות של Internal Rate of Return ובעברית שיעור תשואה פנימי = שת״פ) </t>
  </si>
  <si>
    <r>
      <t xml:space="preserve">משקפת את </t>
    </r>
    <r>
      <rPr>
        <b/>
        <sz val="12"/>
        <color theme="1"/>
        <rFont val="David"/>
        <family val="2"/>
        <charset val="177"/>
      </rPr>
      <t xml:space="preserve">שיעור התשואה התקופתי הממוצע הנובע מהשקעה בפרויקט. </t>
    </r>
  </si>
  <si>
    <t xml:space="preserve">בפשטות: השקעה בפרויקט נקניק מניבה בממוצע תשואה שנתית של 17.763%. </t>
  </si>
  <si>
    <t>השקעה בפרויקט מחשב מניבה בממוצע תשואה שנתית של 11.719%.</t>
  </si>
  <si>
    <t>משמעות:</t>
  </si>
  <si>
    <t xml:space="preserve">בסעיף א הבהרנו: ה-IRR הוא שיעור התשואה מהפרויקט עצמו. </t>
  </si>
  <si>
    <t xml:space="preserve">שיעור תשואה זה נקבע לפי סכום ההשקעה והתזרימים החיוביים הנובעים מהפרויקט. </t>
  </si>
  <si>
    <t xml:space="preserve">לעומת זאת, בחישוב NPV, המטרה היא לחשב את שווי הפרויקט נטו, במונחים כספיים, בהתחשב במכלול השפעותיו. </t>
  </si>
  <si>
    <t>בהתאם, חישוב השווי (חישוב ה-NPV = ענ״נ = ערך נוכחי נקי) חייב להתחשב גם בעלות גיוס ההון (מחיר ההון) לפרויקט.</t>
  </si>
  <si>
    <t>בגסות:</t>
  </si>
  <si>
    <t>ה-IRR אומר:</t>
  </si>
  <si>
    <t>תתעלם לרגע בבקשה מעלות</t>
  </si>
  <si>
    <t>גיוס ההון, כמה הפרויקט עצמו</t>
  </si>
  <si>
    <t>נותן לי באחוזים</t>
  </si>
  <si>
    <t>על ההשקעה.</t>
  </si>
  <si>
    <t>ה-NPV אומר:</t>
  </si>
  <si>
    <t>מה שווי הפרויקט בש״ח</t>
  </si>
  <si>
    <t>בהתחשב בכל ההשפעות</t>
  </si>
  <si>
    <t>כולל עלות גיוס ההון.</t>
  </si>
  <si>
    <t xml:space="preserve">לכן, לשם חישוב IRR אין </t>
  </si>
  <si>
    <t xml:space="preserve">צורך להזין %I. </t>
  </si>
  <si>
    <t>לכן לשם חישוב NPV חובה</t>
  </si>
  <si>
    <t>להזין %I.</t>
  </si>
  <si>
    <t>לאחר הזנת התזרימים, אלחץ על ESC,</t>
  </si>
  <si>
    <t>ובתפריט הראשי אגלול עד אשר אמצא NPV</t>
  </si>
  <si>
    <t>ואסלבב אותו (Solve):</t>
  </si>
  <si>
    <t xml:space="preserve">ה-NPV משקף את שווי הפרויקט נטו, במונחים של ערך נוכחי. </t>
  </si>
  <si>
    <t>בהתחשב בהשקעה, בעיתוי תזרימי ההכנסה והתשואה הנדרשת, הפרויקט מניב ערך חיובי (״מעל דרישות המשקיעים״)</t>
  </si>
  <si>
    <t xml:space="preserve">בסכום ה-NPV. ביצוע פרויקט נקניק מגדיל את שווי החברה ב-4,547 ש״ח וביצוע פרויקט מחשב מגדיל את שווי החברה ב-6,369 ש״ח. </t>
  </si>
  <si>
    <t>ברמה המתמטית:</t>
  </si>
  <si>
    <t>טיפ לא למבחן - הנוסחה באקסל:</t>
  </si>
  <si>
    <t xml:space="preserve">ריבית בשבר עשרוני, טווח </t>
  </si>
  <si>
    <t>התזרימים מהשני ואילך,</t>
  </si>
  <si>
    <t>ומוסיפים השקעה מחוץ לנוסחה</t>
  </si>
  <si>
    <t>המחשה עבור הפרויקט נקניק.</t>
  </si>
  <si>
    <t>סיכום ביניים:</t>
  </si>
  <si>
    <t>חישוב IRR = הזן תזרימים ב-CASH, אין צורך ב-I%, התוצאה = תשואה תקופתית באחוזים מהפרויקט עצמו (בלי קשר למחיר ההון / דרישות תשואה משקיעים)</t>
  </si>
  <si>
    <t>חישוב NPV = הזין תזרימים ב-CASH, חובה להזין מחיר ההון ב-I%, התוצאה = שווי נטו לפרויקט בערך כספי (המתחשב במחיר ההון)</t>
  </si>
  <si>
    <t xml:space="preserve">בסעיף א חישבנו שת״פ = </t>
  </si>
  <si>
    <t xml:space="preserve">בסעיף ב חישבנו ענ״נ = </t>
  </si>
  <si>
    <t>הואיל ובמקרה זה נתון בשאלה ששני הפרויקטים מועמדים להשקעה בחברה, אך היא יכולה לבחור אחד מביניהם בלבד,</t>
  </si>
  <si>
    <t xml:space="preserve">הרי שהמטרה היא לדרג את הפרויקטים - ולקבוע, מי עדיף על פני מי. </t>
  </si>
  <si>
    <t>בהקשר זה, נשאלת השאלה - איזה קריטריון / מדד ישמש לדירוג?</t>
  </si>
  <si>
    <t xml:space="preserve">ספציפית בסעיף ביקשו ממני לייחס את ההעדפה / דירוג לפי כל קריטריון בנפרד. </t>
  </si>
  <si>
    <t>כלומר, זה כאילו שאלו: ״בהנחה שהחברה מקבלת החלטות לפי IRR, איזה פרויקט תעדיף״</t>
  </si>
  <si>
    <t xml:space="preserve">וכן כנדרש נוסף: ״בהנחה שהחברה מקבלת החלטות לפי NPV, איזה פרויקט תעדיף״. </t>
  </si>
  <si>
    <t>החברה תעדיף את הפרויקט לפי הקריטריון המיושם, אשר ערכו הגבוה ביותר: אם היא עובדת לפי IRR - נרצה את הפרויקט בעל ה-IRR הגבוה ביותר.</t>
  </si>
  <si>
    <t>אם החברה עובדת לפי NPV - נרצה את הפרויקט בעל ה-NPV הגבוה ביותר.</t>
  </si>
  <si>
    <t>נשאלת השאלה, איך יכול להיות שפרויקט מסויים (נקניק) מניב תשואה גבוהה יותר באחוזים מפרויקט אחר (מחשב)</t>
  </si>
  <si>
    <t>אבל שוויו של הפרויקט (נקניק) - NPV נמוך יותר משווי הפרויקט האחר (מחשב)?</t>
  </si>
  <si>
    <t>דירוג לפי NPV לא חייב להיות זהה</t>
  </si>
  <si>
    <t>לדירוג לפי IRR,</t>
  </si>
  <si>
    <t>הסתירה נובעת במקרים רבים</t>
  </si>
  <si>
    <t>מגודל השקעה שונה:</t>
  </si>
  <si>
    <t xml:space="preserve">כי IRR משקף תשואה יחסית </t>
  </si>
  <si>
    <t>להשקעה;</t>
  </si>
  <si>
    <t>ו-NPV משקף ערך כולל (לא יחסי).</t>
  </si>
  <si>
    <t>אז תכל׳ס ד״ר צבאן, קיבלתי שאלה, לפי מה אקבל החלטה?</t>
  </si>
  <si>
    <t xml:space="preserve">אם שואלים באופן מפורש: איזה פרויקט יועדף לפי IRR &gt;&gt;&gt; ייבחר הפרויקט בעל ה-IRR המירבי. </t>
  </si>
  <si>
    <t xml:space="preserve">אם שואלים באופן מפורש: איזה פרויקט יועדף לפי NPV &gt;&gt;&gt; ייבחר הפרויקט בעל ה-NPV המירבי. </t>
  </si>
  <si>
    <t>אם שואלים ללא הכוונה מסויימת לקריטריון ספציפי:</t>
  </si>
  <si>
    <t xml:space="preserve">איזה פרויקט על החברה להעדיף </t>
  </si>
  <si>
    <t>ו/או מהו הפרויקט שיש להעדיף כלכלית</t>
  </si>
  <si>
    <t>ייבחר הפרויקט בעל ה-NPV המירבי</t>
  </si>
  <si>
    <t>משום שמטרת הפירמה היא מיקסום ערך כספי</t>
  </si>
  <si>
    <t>והערך הכספי של פרויקט הוא NPV</t>
  </si>
  <si>
    <t>k</t>
  </si>
  <si>
    <t>במחשבון %I</t>
  </si>
  <si>
    <t xml:space="preserve">מעבר לעובדה שעקום הענ״נ (NPV) של כל פרויקט ירוד משמאל לימין, </t>
  </si>
  <si>
    <t>שווי הפרויקט נטו (שווי לאחר ניכוי דרישות התשואה) יורד,</t>
  </si>
  <si>
    <t>ברמה הטכנית עלינו להיות מסוגלים להגדיר את נקודות החיתוך של העקום עם הצירים.</t>
  </si>
  <si>
    <t>באופן שמשקף את העובדה שככל שמחיר ההון עולה (התשואה שדורשים המשקיעים עולה)</t>
  </si>
  <si>
    <t>נק׳ חיתוך עם ציר אנכי = ציר NPV מתקבלת כאשר %I שווה 0</t>
  </si>
  <si>
    <t>נק׳ חיתוך עם ציר אופקי = ציר %I מתקבלת כאשר NPV שווה ל-0</t>
  </si>
  <si>
    <t>טכנית: מחברים את כלל תזרימי המזומנים.</t>
  </si>
  <si>
    <t>למשל, בפרויקט מחשב:</t>
  </si>
  <si>
    <t>טכנית: זהו ערכו של ה-IRR</t>
  </si>
  <si>
    <t xml:space="preserve">למשל, בפרויקט מחשב: 11.72%. </t>
  </si>
  <si>
    <t>בנקניק:</t>
  </si>
  <si>
    <t>בפרויקט נקניק: 17.76%</t>
  </si>
  <si>
    <t xml:space="preserve">לאחר איור העקומים, ניתן לזהות שיש נקודת חיתוך ביניהם. </t>
  </si>
  <si>
    <t xml:space="preserve">מעבר לכך שהשאלה דרשה זיהוי נקודת חיתוך זו (כמותית), </t>
  </si>
  <si>
    <t xml:space="preserve">יש לה חשיבות: שהרי במחירי הון גבוהים יותר יועדף הפרויקט ה״ירוק״ (נקניק), </t>
  </si>
  <si>
    <t xml:space="preserve">ובמחירי הון נמוכים יותר יועדף הפרויקט האדום (המחשב). </t>
  </si>
  <si>
    <t>גישה מתמטית:</t>
  </si>
  <si>
    <t xml:space="preserve">בונים מתמטית את המשוואות </t>
  </si>
  <si>
    <t>של ה-NPV של כל פרויקט בנפרד,</t>
  </si>
  <si>
    <t>מזינים את הריבית כנעלם</t>
  </si>
  <si>
    <t xml:space="preserve">ומשווים בין המשוואות ומחלצים. </t>
  </si>
  <si>
    <r>
      <t xml:space="preserve">הגישה הטכנית </t>
    </r>
    <r>
      <rPr>
        <b/>
        <sz val="12"/>
        <color theme="1"/>
        <rFont val="David"/>
        <family val="2"/>
        <charset val="177"/>
      </rPr>
      <t>שאותה אציג:</t>
    </r>
  </si>
  <si>
    <t xml:space="preserve">נבנה פרויקט ״חדש״ שתזרימיו הם ההפרש בין תזרימי שני הפרויקטים (הפרויקט הגדול פחות הקטן). </t>
  </si>
  <si>
    <r>
      <rPr>
        <sz val="12"/>
        <color theme="0"/>
        <rFont val="David"/>
        <family val="2"/>
        <charset val="177"/>
      </rPr>
      <t>,</t>
    </r>
    <r>
      <rPr>
        <sz val="12"/>
        <color theme="1"/>
        <rFont val="David"/>
        <family val="2"/>
        <charset val="177"/>
      </rPr>
      <t>-30,000-(-10,000) = -20,000</t>
    </r>
  </si>
  <si>
    <r>
      <rPr>
        <sz val="12"/>
        <color theme="0"/>
        <rFont val="David"/>
        <family val="2"/>
        <charset val="177"/>
      </rPr>
      <t>,</t>
    </r>
    <r>
      <rPr>
        <sz val="12"/>
        <color theme="1"/>
        <rFont val="David"/>
        <family val="2"/>
        <charset val="177"/>
      </rPr>
      <t>6,515 - 2,606 = 3,909</t>
    </r>
  </si>
  <si>
    <t xml:space="preserve">ESC </t>
  </si>
  <si>
    <t xml:space="preserve">SOLVE IRR = </t>
  </si>
  <si>
    <t>לאחר הזנת תזרימי הפרויקט ההפרשי ב-CASH נבצע SOLVE על IRR:</t>
  </si>
  <si>
    <t xml:space="preserve">ה-IRR של תזרימי הפרויקט ההפרשי הוא נקודת החיתוך (מחיר ההון בנקודת החיתוך) בין הפרויקטים. </t>
  </si>
  <si>
    <t>ה-IRR של ההפרשי</t>
  </si>
  <si>
    <t>ראו למטה הגדרה ויישום</t>
  </si>
  <si>
    <t>כאשר אני יודע מה ה-IRR של כל פרויקט בנפרד (גרפית - נק׳ חיתוך עם ציר אופקי) וכן מה סיכום התזרימים של כל פרויקט בנפרד (גרפית - נק׳ חיתוך עם ציר אנכי),</t>
  </si>
  <si>
    <t xml:space="preserve">אזי אני יכול לשרטט אותם ולהבין את המיקום היחסי שלהם האחד ביחס לשני. </t>
  </si>
  <si>
    <t xml:space="preserve">לאחר מכן, זיהוי נקודת החיתוך עצמה (מחיר ההון בנקודת החיתוך) דורש בנייה של פרויקט הפרשי (שתזרימיו הם הפרשי התזרימים בין הפרויקטים עצמם) </t>
  </si>
  <si>
    <t>וחישוב ה-IRR שלו. ה-IRR של הפרויקט ההפרשי כאמור הוא זה של נקודת החיתוך, ולאחר שיבוצו בתרשים הוא עוזר לנו להכריע - מי מבין הפרויקטים</t>
  </si>
  <si>
    <t xml:space="preserve">יועדף, באיזה מחיר הון. </t>
  </si>
  <si>
    <t>הסבר ישן:</t>
  </si>
  <si>
    <t>סיום ההסבר הישן</t>
  </si>
  <si>
    <t>מקרה מיוחד - פרויקט שבו קיימת השקעה, תקבול, ואז השקעה נוספת (שינוי סימן תזרימים משלילי לחיובי יותר</t>
  </si>
  <si>
    <t>מפעם אחת)</t>
  </si>
  <si>
    <t xml:space="preserve">א. חשבו את השת״פ (IRR) של כל אחד מהפרויקטים. </t>
  </si>
  <si>
    <r>
      <t>הואיל והנקניק החם הוא פרויקט קונבציונלי רגיל של השקעה, ש</t>
    </r>
    <r>
      <rPr>
        <b/>
        <sz val="12"/>
        <rFont val="David"/>
        <family val="2"/>
        <charset val="177"/>
      </rPr>
      <t>כולל השקעה בזמן אפס בסימן שלילי</t>
    </r>
  </si>
  <si>
    <r>
      <t xml:space="preserve">ואחריה </t>
    </r>
    <r>
      <rPr>
        <b/>
        <sz val="12"/>
        <rFont val="David"/>
        <family val="2"/>
        <charset val="177"/>
      </rPr>
      <t>תזרימים חיוביים בלבד</t>
    </r>
    <r>
      <rPr>
        <sz val="12"/>
        <rFont val="David"/>
        <family val="2"/>
        <charset val="177"/>
      </rPr>
      <t>, ניתן לחלץ את ה-IRR בקלות במחשבון הפיננסי / CASH:</t>
    </r>
  </si>
  <si>
    <t xml:space="preserve">נקניק קר - כאשר סימן התזרימים משתנה יותר מפעם אחת (ממינוס לפלוס ולהפך) - ייתכנו מספר ערכי IRR והפתרון חייב להתבצע מתמטית. </t>
  </si>
  <si>
    <t>תזרים שלילי ואז רק חיובי</t>
  </si>
  <si>
    <t>ה-IRR הוא אחד ויחיד</t>
  </si>
  <si>
    <t>המחשבון הפיננסי יחלצו</t>
  </si>
  <si>
    <t>תזרים שלילי ואז חיובי ואז שלילי וכו׳</t>
  </si>
  <si>
    <t>יתכנו מספר ערכי IRR, אך המחשבון הפיננסי</t>
  </si>
  <si>
    <t>ידע לחלץ רק אחד מתוכם. לכן נדרש פתרון מתמטי</t>
  </si>
  <si>
    <t>ההגדרה המתמטית לחילוץ שת״פ - מחיר ההון / הריבית שמאפסת את ה-NPV (ערך נוכחי כולל):</t>
  </si>
  <si>
    <t>תרגול 7 - 18.9.2025 - בניית זרמי מזומנים לתכניות השקעה</t>
  </si>
  <si>
    <t xml:space="preserve">בתרגול 6, שעסק בפרויקטים, קיבלנו את תזרימי המזומנים התקופתיים מהפרויקטים כנתונים ויישמנו קריטריונים רלוונטיים. </t>
  </si>
  <si>
    <t>כאשר עוסקים בנושא ״קיצוב הון״ / ״בניית תזרימי מזומנים לתכניות השקעה״ - תזרימים אלו אינם נתונים אלא נדרשים</t>
  </si>
  <si>
    <t>לבנייה על ידינו, על בסיס רכיביהם.</t>
  </si>
  <si>
    <r>
      <t xml:space="preserve">ההוצאות לרבות השפעות המס בגינן, כדי להגיע </t>
    </r>
    <r>
      <rPr>
        <b/>
        <sz val="12"/>
        <color theme="1"/>
        <rFont val="David"/>
        <family val="2"/>
        <charset val="177"/>
      </rPr>
      <t>לתזרים נטו (לפני עלויות מימון) אשר חישוב ערכו הנוכחי הנקי</t>
    </r>
  </si>
  <si>
    <t xml:space="preserve">המבנה הקלאסי </t>
  </si>
  <si>
    <t>לרכיבים שעל בסיס ערכיהם</t>
  </si>
  <si>
    <t>מחשבים את התזרים נטו,</t>
  </si>
  <si>
    <t>המהווה את הבסיס לחישוב ה-NPV</t>
  </si>
  <si>
    <t>וכדאיות ההשקעה.</t>
  </si>
  <si>
    <t xml:space="preserve">הוצאות תזרימיות שוטפות: הוצאות שמלוות ביציאת מזומן (שכר עבודה, תשומות). </t>
  </si>
  <si>
    <t>הוצאות פחת: הוצאה רעיונית, שאיננה מלווה בתזרים מזומנים, אך כן משפיעה על הרווח החייב במס ולפיכך תשלומי המס.</t>
  </si>
  <si>
    <t>הכנסות בתום כל שנה נתונות - 4 שנים - הנחת ברירת מחדל - משך הפרויקט כשנות קיום הציוד</t>
  </si>
  <si>
    <t>שנה 1: ניקוי 15, חיטוי 10, שנה 2: ניקוי 15, חיטוי 12, שנה 3: ניקוי 15, חיטוי 1.04 * 12, שנה 4: ניקוי 15, חיטוי 2^1.04 * 12</t>
  </si>
  <si>
    <t>נתון: עלות השקעה 100,000 ותקופת הפחתה שנתיים (לא חייבת להיות זהה לאורך חיים כלכליים)</t>
  </si>
  <si>
    <t>100,000 / 2 = 50,000</t>
  </si>
  <si>
    <t>מכירות / הכנסות בניכוי כל ההוצאות (תזרימיות ופחת)</t>
  </si>
  <si>
    <t>שיעור המס נתון בשאלה: 23%, ערך זה יחושב מתוך הרווח לפני מס - בסימן שלילי</t>
  </si>
  <si>
    <t>עלות ההשקעה הנתונה (מבוצעת מיידית כברירת מחדל)</t>
  </si>
  <si>
    <t>כאן - אין מידע על היכולת למכור את ההשקעה בסוף הפרויקט / שווי השוק בסיום הפרויקט / שייר / גרט</t>
  </si>
  <si>
    <t>הפחת המופיע בחישוב הרווח לצורך מס - איננו גודל תזרימי, ולכן מושב לאחר מכן (בסימן חיובי) בשלב ההתאמות</t>
  </si>
  <si>
    <t xml:space="preserve">לאחר שתזרימי הפרויקט נטו (טורקיז) ידועים, </t>
  </si>
  <si>
    <t>חישוב ה-NPV שלהם בהתבסס על מחיר ההון</t>
  </si>
  <si>
    <t xml:space="preserve">הנתון שהנו 10%, יאפשר לקבוע כדאיות פרויקט. </t>
  </si>
  <si>
    <t xml:space="preserve">הפרויקט כדאי כי ה-NPV חיובי. </t>
  </si>
  <si>
    <t xml:space="preserve">לעיל מוצג חישוב ה-NPV בגישה המתמטית, המתבסס על התזרים בזמן 0 בסימן שלילי, ואחריו - </t>
  </si>
  <si>
    <t>כל אחד מהתזרימים העוקבים, שערכם הנוכחי מחושב ע״י חולקה ב-1 ועוד מחיר הון בחזקת תקופת</t>
  </si>
  <si>
    <t xml:space="preserve">קבלתו. </t>
  </si>
  <si>
    <t>מחשבונית - ניגשים ללחצן CASH - לחצן ה״בית״ שלנו בכל מה שקשור לחישובי NPV וגם לשם חישובי PV במקרים של תזרימים משתנים:</t>
  </si>
  <si>
    <t>מחיר ההון הנתון (ללא סימן האחוז, כאן נתון 10%)</t>
  </si>
  <si>
    <t>תזרימי הפרויקט בטורקיז</t>
  </si>
  <si>
    <t>מוזנים ב-CSH.DEDITOR</t>
  </si>
  <si>
    <t xml:space="preserve">לפי סדר הופעתם. </t>
  </si>
  <si>
    <t xml:space="preserve">לחיצה על לחצן זה לאחר הזנת תזרים אחרון </t>
  </si>
  <si>
    <t>תחזיר אותי למסך הראשי</t>
  </si>
  <si>
    <t>NPV =</t>
  </si>
  <si>
    <t>למעשה, אם הפרויקט צפוי להמכר בשנה ה-2, שוויו ייגזר מ:</t>
  </si>
  <si>
    <t>א. תזרים בזמן 0 - נתון</t>
  </si>
  <si>
    <t>ב. תזרים בזמן 1 - נתון</t>
  </si>
  <si>
    <r>
      <t xml:space="preserve">ג. תזרים בזמן 2: תזרים נטו מהפרויקט עצמו (שוטף) - נתון + </t>
    </r>
    <r>
      <rPr>
        <sz val="12"/>
        <color rgb="FFFF0000"/>
        <rFont val="David"/>
        <family val="2"/>
        <charset val="177"/>
      </rPr>
      <t>תמורת המכירה הצפויה מהפרויקט</t>
    </r>
    <r>
      <rPr>
        <sz val="12"/>
        <color theme="1"/>
        <rFont val="David"/>
        <family val="2"/>
        <charset val="177"/>
      </rPr>
      <t>.</t>
    </r>
  </si>
  <si>
    <t>זה הערך התזרימי היחידי ש״חסר לי״</t>
  </si>
  <si>
    <t>כדי לבסס עליו את חישוב שווי הפרויקט</t>
  </si>
  <si>
    <t>בהנחת מכירתו אחרי שנתיים</t>
  </si>
  <si>
    <t>התזרים הצפוי ממכירת הפרויקט בתום השנה ה-2</t>
  </si>
  <si>
    <t>שאותו יסכים הקונה לשלם, הוא למעשה הערך</t>
  </si>
  <si>
    <t>הנוכחי לאותה נקודת זמן - של התזרימים שהקונה</t>
  </si>
  <si>
    <t xml:space="preserve">יקבל, אלו התזרימים של זמן 3, 4. </t>
  </si>
  <si>
    <t>תכל׳ס איך נפתור:</t>
  </si>
  <si>
    <t xml:space="preserve">שלב 1 - חישוב תמורת המכירה על בסיס ערך נוכחי של תזרימי 3, 4. </t>
  </si>
  <si>
    <t>שלב 2 - חישוב השווי עבורנו על בסיס תזרימי 0, 1, 2 כולל תמורת המכירה.</t>
  </si>
  <si>
    <t>חישוב תמורת המכירה בזמן 2</t>
  </si>
  <si>
    <t>על בסיס תזרימי המזומנים</t>
  </si>
  <si>
    <t>של שנים 3, 4</t>
  </si>
  <si>
    <t>מחיר ההון הנתון</t>
  </si>
  <si>
    <t>נקודת הזמן שהיא תקופה אחת אחרי המועד שבו נמצאים - זמן 3</t>
  </si>
  <si>
    <t>נקודת הזמן הספציפית שבה נמצאים - זמן 2 -  ללא תזרים</t>
  </si>
  <si>
    <t>נקודת הזמן שהיא שתי תקופות אחרי המועד שבו נמצאים - זמן 4</t>
  </si>
  <si>
    <t>בגישה המתמטית מהוונים תזרים 3 שנה אחורה לזמן 2,</t>
  </si>
  <si>
    <t>ותזרים 4 שנתיים אחורה לזמן 2.</t>
  </si>
  <si>
    <t>מהו הסכום המינימלי שהחברה תדרוש (הדרכה: זהו למעשה הענ״נ של שנים 3 ואילך, במונחי זמן 2), וחשבו את ה-NPV מחדש בהנחת מכירה בתום שנה 2.</t>
  </si>
  <si>
    <t>שלב 2 - למעשה מנקודת ראותי כמתקשר בפרויקט כעת, אני צופה לקבל את תזרימיו בזמן 0, 1 כאשר בזמן 2 אקבל גם את תמורת המכירה.</t>
  </si>
  <si>
    <t>תזרים כולל זמן 2:</t>
  </si>
  <si>
    <r>
      <rPr>
        <sz val="12"/>
        <color theme="0"/>
        <rFont val="David"/>
        <family val="2"/>
        <charset val="177"/>
      </rPr>
      <t>,</t>
    </r>
    <r>
      <rPr>
        <sz val="12"/>
        <color theme="1"/>
        <rFont val="David"/>
        <family val="2"/>
        <charset val="177"/>
      </rPr>
      <t>=52,310 + 69,868</t>
    </r>
  </si>
  <si>
    <t>I% = 10</t>
  </si>
  <si>
    <t>Solve NPV</t>
  </si>
  <si>
    <t xml:space="preserve">העובדה ששווי הפרויקט לא משתנה לא מפחידה אותנו; בסופו של יום זה אותו פרויקט ופשוט מקבלים את ערכו הנוכחי מוקדם יותר. </t>
  </si>
  <si>
    <t>הנחת הקורס היא שכל פריט השקעתי</t>
  </si>
  <si>
    <t>צפוי להמכר בתמורה חיובית,</t>
  </si>
  <si>
    <t>בסיום הפרויקט / תקופת ההפחתה</t>
  </si>
  <si>
    <t>ככל שקיים מידע לגבי שוויו / ערכו הצפוי</t>
  </si>
  <si>
    <t xml:space="preserve">וכיו״ב. </t>
  </si>
  <si>
    <t>כאן: יש להתייחס לתזרים החיובי הצפוי</t>
  </si>
  <si>
    <t>ממכירת הקרקע לאור שוויה הקבוע.</t>
  </si>
  <si>
    <t xml:space="preserve">בשאלה ״קלאסית״ אנו מקבלים נתונים בדבר הכנסות (ממכירות) והוצאות שוטפות לסוגיהן. </t>
  </si>
  <si>
    <t xml:space="preserve">בשאלה הזו - ציינו בפנינו כערך אחד ויחיד (נטו) את הרווח השנתי לפני פחת ומימון. </t>
  </si>
  <si>
    <t xml:space="preserve">במלים אחרות, כבר ציינו את ההפרש בבין ההכנסות לבין ההוצאות השוטפות. </t>
  </si>
  <si>
    <t>נתון ג</t>
  </si>
  <si>
    <t>לעניין הוצאות הפחת:</t>
  </si>
  <si>
    <t>קרקע איננה מופחתת;</t>
  </si>
  <si>
    <t>המכונה עצמה - עלתה 300,000</t>
  </si>
  <si>
    <t>ומופחתת על פני 5 שנים, פחת 60,000 לשנה</t>
  </si>
  <si>
    <r>
      <t xml:space="preserve">רווח ללא מימון = </t>
    </r>
    <r>
      <rPr>
        <sz val="8"/>
        <rFont val="David"/>
        <family val="2"/>
        <charset val="177"/>
      </rPr>
      <t>חושב לפי רווח לפני מס בניכוי מס</t>
    </r>
  </si>
  <si>
    <t>התאמה - מכר השקעה במכונה</t>
  </si>
  <si>
    <t>מחיר ההון 12%, נתון בשאלה</t>
  </si>
  <si>
    <t>חדש!!! ציוד בר פחת שצפוי להמכר בתום הפרויקט</t>
  </si>
  <si>
    <t>כאשר אני מזהה בשאלה שניתן למכור (או: יש שווי חיובי)</t>
  </si>
  <si>
    <t>להשקעה שיש בגינה פחת (השקעה בציוד, מכונות וכיו״ב)</t>
  </si>
  <si>
    <t>יתקיים בשלב ההתאמות תזרים חיובי נוסף הנובע מהמכירה:</t>
  </si>
  <si>
    <t>תמורת המכירה ״ברוטו״</t>
  </si>
  <si>
    <t>בניכוי/תוספת מס רווח/הפסד הון</t>
  </si>
  <si>
    <t>(-) / +</t>
  </si>
  <si>
    <t>תמורת המכירה נטו - לגיליון</t>
  </si>
  <si>
    <t>תמורת מכירה בתום שנה 4: 20,000</t>
  </si>
  <si>
    <t>מס חברות: 23%.</t>
  </si>
  <si>
    <t>נתונים: עלות ההשקעה 100,000</t>
  </si>
  <si>
    <t>פחת נפרס על פני 4 שנים כלומר 25,000 לשנה</t>
  </si>
  <si>
    <t>ערך ספרים / עלות מופחתת</t>
  </si>
  <si>
    <t>רווח הון (חיובי) / הפסד הון שלילי)</t>
  </si>
  <si>
    <r>
      <t xml:space="preserve">כפול שיעור המס במקדם שלילי </t>
    </r>
    <r>
      <rPr>
        <sz val="8"/>
        <color theme="1"/>
        <rFont val="David"/>
        <family val="2"/>
        <charset val="177"/>
      </rPr>
      <t>(מס רווח הון אלא אם לא נתון - משתמשים במס חברות)</t>
    </r>
  </si>
  <si>
    <t>השפעת המס</t>
  </si>
  <si>
    <t>ערך ספרים / עלות מופחתת - עלות בניכוי פחת נצבר לכל 4 השנים</t>
  </si>
  <si>
    <t xml:space="preserve">100,000 - 100,000/4 * 4 = </t>
  </si>
  <si>
    <r>
      <t xml:space="preserve">רווח הון (חיובי) / הפסד הון שלילי) - </t>
    </r>
    <r>
      <rPr>
        <sz val="10"/>
        <color theme="1"/>
        <rFont val="David"/>
        <family val="2"/>
        <charset val="177"/>
      </rPr>
      <t>ההפרש בין תמורת מכר לערך ספרים</t>
    </r>
  </si>
  <si>
    <t>שאלת ויקטוריה</t>
  </si>
  <si>
    <t>ויקטוריה בע״מ שוקלת לבצע פרויקט אשר ידרוש השקעה במכונה לחימום נקניק.</t>
  </si>
  <si>
    <t xml:space="preserve">עלות המכונה 500,000 ש״ח, תקופת הפחתתה לצרכי מס 8 שנים, אך פרק הזמן במהלכו יבוצע הפרויקט הוא 6 שנים בלבד. </t>
  </si>
  <si>
    <t xml:space="preserve">בסיום הפרויקט, המכונה צפויה להמכר בתמורה ל-150,000 ש״ח. </t>
  </si>
  <si>
    <t>מחיר ההון של החברה הוא 12%, שיעור מס חברות 20%, שיעור מס רווח הון (שחל על רווחי / הפסדי הון): 15%.</t>
  </si>
  <si>
    <t>מהו העיתוי שבו יוגדר התזרים ממכירת המכונה, ומה סכום תזרים זה נטו?</t>
  </si>
  <si>
    <t xml:space="preserve">הנחת יסוד היא שפריטי השקעה נמכרים, ככל שניתן / יש להם שווי רלוונטי בעתיד, בסיום הפרויקט. </t>
  </si>
  <si>
    <t>לכן, אם הפרויקט ל-6 שנים, עיתוי המכירה הוא בתום השנה ה-6 כאמור.</t>
  </si>
  <si>
    <t>תזרים ממכירת המכונה, נטו, אחרי מס</t>
  </si>
  <si>
    <t>תמורת המכירה ברוטו</t>
  </si>
  <si>
    <t>בניכוי מס רווח / הפסד הון</t>
  </si>
  <si>
    <t>תמורה נטו</t>
  </si>
  <si>
    <t>תמורה ברוטו</t>
  </si>
  <si>
    <t>בניכוי ערך ספרים ערב המכירה</t>
  </si>
  <si>
    <t>500,000 - 500,000/8 * 6 =</t>
  </si>
  <si>
    <t xml:space="preserve">150,000 - 125,000 = </t>
  </si>
  <si>
    <r>
      <rPr>
        <b/>
        <sz val="12"/>
        <color rgb="FF00B050"/>
        <rFont val="David"/>
        <family val="2"/>
        <charset val="177"/>
      </rPr>
      <t>רווח הון (חיובי)</t>
    </r>
    <r>
      <rPr>
        <sz val="12"/>
        <color theme="1"/>
        <rFont val="David"/>
        <family val="2"/>
        <charset val="177"/>
      </rPr>
      <t xml:space="preserve"> / הפסד הון (שלילי)</t>
    </r>
  </si>
  <si>
    <t>כפול שיעור מס רווח הון (אם לא נתון, אשתמש בשיעור מס חברות) במקדם שלילי</t>
  </si>
  <si>
    <r>
      <rPr>
        <sz val="12"/>
        <color theme="0"/>
        <rFont val="David"/>
        <family val="2"/>
        <charset val="177"/>
      </rPr>
      <t>,</t>
    </r>
    <r>
      <rPr>
        <sz val="12"/>
        <color theme="1"/>
        <rFont val="David"/>
        <family val="2"/>
        <charset val="177"/>
      </rPr>
      <t xml:space="preserve">-15% * 25,000 =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</si>
</sst>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8" formatCode="&quot;₪&quot;#,##0.00_);[Red]\(&quot;₪&quot;#,##0.00\)"/>
    <numFmt numFmtId="164" formatCode="0.000%"/>
    <numFmt numFmtId="165" formatCode="0.0000%"/>
    <numFmt numFmtId="166" formatCode="0.0"/>
    <numFmt numFmtId="167" formatCode="0.000000%"/>
    <numFmt numFmtId="168" formatCode="0.0%"/>
    <numFmt numFmtId="169" formatCode="#,##0.000_);\(#,##0.000\)"/>
    <numFmt numFmtId="170" formatCode="&quot;₪&quot;#,##0.0000_);[Red]\(&quot;₪&quot;#,##0.0000\)"/>
    <numFmt numFmtId="171" formatCode="0.00000%"/>
    <numFmt numFmtId="172" formatCode="0.0000000%"/>
    <numFmt numFmtId="173" formatCode="0.000"/>
    <numFmt numFmtId="174" formatCode="0.00000"/>
    <numFmt numFmtId="175" formatCode="0.0000000"/>
    <numFmt numFmtId="176" formatCode="&quot;₪&quot;#,##0.000_);[Red]\(&quot;₪&quot;#,##0.000\)"/>
    <numFmt numFmtId="177" formatCode="0.0000"/>
    <numFmt numFmtId="178" formatCode="0.000000"/>
  </numFmts>
  <fonts count="57" x14ac:knownFonts="1">
    <font>
      <sz val="12"/>
      <color theme="1"/>
      <name val="Aptos Narrow"/>
      <family val="2"/>
      <scheme val="minor"/>
    </font>
    <font>
      <sz val="12"/>
      <color theme="1"/>
      <name val="David"/>
      <family val="2"/>
      <charset val="177"/>
    </font>
    <font>
      <b/>
      <sz val="12"/>
      <color theme="1"/>
      <name val="David"/>
      <family val="2"/>
      <charset val="177"/>
    </font>
    <font>
      <sz val="12"/>
      <color theme="0"/>
      <name val="David"/>
      <family val="2"/>
      <charset val="177"/>
    </font>
    <font>
      <sz val="12"/>
      <name val="David"/>
      <family val="2"/>
      <charset val="177"/>
    </font>
    <font>
      <sz val="12"/>
      <color rgb="FFFF0000"/>
      <name val="David"/>
      <family val="2"/>
      <charset val="177"/>
    </font>
    <font>
      <b/>
      <sz val="12"/>
      <name val="David"/>
      <family val="2"/>
      <charset val="177"/>
    </font>
    <font>
      <u/>
      <sz val="12"/>
      <color theme="1"/>
      <name val="David"/>
      <family val="2"/>
      <charset val="177"/>
    </font>
    <font>
      <b/>
      <sz val="12"/>
      <color rgb="FFFF0000"/>
      <name val="David"/>
      <family val="2"/>
      <charset val="177"/>
    </font>
    <font>
      <sz val="11"/>
      <color theme="1"/>
      <name val="David"/>
      <family val="2"/>
      <charset val="177"/>
    </font>
    <font>
      <u/>
      <sz val="9"/>
      <color theme="1"/>
      <name val="David"/>
      <family val="2"/>
      <charset val="177"/>
    </font>
    <font>
      <sz val="12"/>
      <color theme="1"/>
      <name val="Aptos Narrow"/>
      <family val="2"/>
      <scheme val="minor"/>
    </font>
    <font>
      <b/>
      <u/>
      <sz val="12"/>
      <color theme="1"/>
      <name val="David"/>
      <family val="2"/>
      <charset val="177"/>
    </font>
    <font>
      <sz val="11"/>
      <color theme="1"/>
      <name val="Cambria Math"/>
      <family val="1"/>
    </font>
    <font>
      <sz val="12"/>
      <color rgb="FF00B050"/>
      <name val="David"/>
      <family val="2"/>
      <charset val="177"/>
    </font>
    <font>
      <i/>
      <sz val="12"/>
      <color theme="1"/>
      <name val="David"/>
      <family val="2"/>
      <charset val="177"/>
    </font>
    <font>
      <b/>
      <i/>
      <u/>
      <sz val="14"/>
      <color theme="1"/>
      <name val="David"/>
      <family val="2"/>
      <charset val="177"/>
    </font>
    <font>
      <sz val="12"/>
      <color rgb="FF000000"/>
      <name val="David"/>
      <family val="2"/>
      <charset val="177"/>
    </font>
    <font>
      <sz val="11"/>
      <name val="David"/>
      <family val="2"/>
      <charset val="177"/>
    </font>
    <font>
      <sz val="12"/>
      <color rgb="FF00B0F0"/>
      <name val="David"/>
      <family val="2"/>
      <charset val="177"/>
    </font>
    <font>
      <b/>
      <sz val="14"/>
      <color theme="1"/>
      <name val="David"/>
      <family val="2"/>
      <charset val="177"/>
    </font>
    <font>
      <sz val="16"/>
      <color theme="1"/>
      <name val="David"/>
      <family val="2"/>
      <charset val="177"/>
    </font>
    <font>
      <b/>
      <sz val="12"/>
      <color theme="0"/>
      <name val="David"/>
      <family val="2"/>
      <charset val="177"/>
    </font>
    <font>
      <b/>
      <u/>
      <sz val="12"/>
      <name val="David"/>
      <family val="2"/>
      <charset val="177"/>
    </font>
    <font>
      <b/>
      <u/>
      <sz val="12"/>
      <color theme="0"/>
      <name val="David"/>
      <family val="2"/>
      <charset val="177"/>
    </font>
    <font>
      <u/>
      <sz val="12"/>
      <name val="David"/>
      <family val="2"/>
      <charset val="177"/>
    </font>
    <font>
      <sz val="18"/>
      <color theme="1"/>
      <name val="David"/>
      <family val="2"/>
      <charset val="177"/>
    </font>
    <font>
      <b/>
      <sz val="14"/>
      <color rgb="FFFF0000"/>
      <name val="David"/>
      <family val="2"/>
      <charset val="177"/>
    </font>
    <font>
      <b/>
      <sz val="18"/>
      <color theme="1"/>
      <name val="David"/>
      <family val="2"/>
      <charset val="177"/>
    </font>
    <font>
      <sz val="11"/>
      <name val="Cambria Math"/>
      <family val="1"/>
    </font>
    <font>
      <sz val="11"/>
      <color rgb="FFFF0000"/>
      <name val="Cambria Math"/>
      <family val="1"/>
    </font>
    <font>
      <sz val="9"/>
      <color theme="1"/>
      <name val="David"/>
      <family val="2"/>
      <charset val="177"/>
    </font>
    <font>
      <sz val="10"/>
      <color theme="1"/>
      <name val="David"/>
      <family val="2"/>
      <charset val="177"/>
    </font>
    <font>
      <b/>
      <i/>
      <sz val="12"/>
      <color rgb="FFFF0000"/>
      <name val="David"/>
      <family val="2"/>
      <charset val="177"/>
    </font>
    <font>
      <sz val="12"/>
      <color rgb="FF0070C0"/>
      <name val="David"/>
      <family val="2"/>
      <charset val="177"/>
    </font>
    <font>
      <sz val="12"/>
      <color rgb="FFD883FF"/>
      <name val="David"/>
      <family val="2"/>
      <charset val="177"/>
    </font>
    <font>
      <sz val="9"/>
      <name val="David"/>
      <family val="2"/>
      <charset val="177"/>
    </font>
    <font>
      <sz val="8"/>
      <name val="David"/>
      <family val="2"/>
      <charset val="177"/>
    </font>
    <font>
      <b/>
      <sz val="16"/>
      <color theme="1"/>
      <name val="David"/>
      <family val="2"/>
      <charset val="177"/>
    </font>
    <font>
      <b/>
      <sz val="20"/>
      <color theme="1"/>
      <name val="David"/>
      <family val="2"/>
      <charset val="177"/>
    </font>
    <font>
      <b/>
      <sz val="9"/>
      <color theme="1"/>
      <name val="David"/>
      <family val="2"/>
      <charset val="177"/>
    </font>
    <font>
      <sz val="12"/>
      <color theme="8" tint="0.39997558519241921"/>
      <name val="David"/>
      <family val="2"/>
      <charset val="177"/>
    </font>
    <font>
      <b/>
      <sz val="12"/>
      <color theme="1"/>
      <name val="David"/>
      <family val="2"/>
      <charset val="177"/>
    </font>
    <font>
      <sz val="12"/>
      <color theme="1"/>
      <name val="David"/>
      <family val="2"/>
      <charset val="177"/>
    </font>
    <font>
      <sz val="12"/>
      <name val="David"/>
      <family val="2"/>
      <charset val="177"/>
    </font>
    <font>
      <sz val="12"/>
      <color theme="0"/>
      <name val="David"/>
      <family val="2"/>
      <charset val="177"/>
    </font>
    <font>
      <b/>
      <u/>
      <sz val="12"/>
      <color theme="1"/>
      <name val="David"/>
      <family val="2"/>
      <charset val="177"/>
    </font>
    <font>
      <b/>
      <sz val="12"/>
      <name val="David"/>
      <family val="2"/>
      <charset val="177"/>
    </font>
    <font>
      <b/>
      <u/>
      <sz val="18"/>
      <color theme="1"/>
      <name val="David"/>
      <family val="2"/>
      <charset val="177"/>
    </font>
    <font>
      <b/>
      <sz val="12"/>
      <color rgb="FF00B050"/>
      <name val="David"/>
      <family val="2"/>
      <charset val="177"/>
    </font>
    <font>
      <u/>
      <sz val="12"/>
      <color rgb="FFFF0000"/>
      <name val="David"/>
      <family val="2"/>
      <charset val="177"/>
    </font>
    <font>
      <b/>
      <u/>
      <sz val="12"/>
      <color rgb="FFFF0000"/>
      <name val="David"/>
      <family val="2"/>
      <charset val="177"/>
    </font>
    <font>
      <sz val="8"/>
      <color theme="1"/>
      <name val="David"/>
      <family val="2"/>
      <charset val="177"/>
    </font>
    <font>
      <b/>
      <sz val="10"/>
      <color theme="1"/>
      <name val="David"/>
      <family val="2"/>
      <charset val="177"/>
    </font>
    <font>
      <b/>
      <sz val="14"/>
      <name val="David"/>
      <family val="2"/>
      <charset val="177"/>
    </font>
    <font>
      <sz val="10"/>
      <name val="David"/>
      <family val="2"/>
      <charset val="177"/>
    </font>
    <font>
      <b/>
      <sz val="10"/>
      <color rgb="FFFF0000"/>
      <name val="David"/>
      <family val="2"/>
      <charset val="177"/>
    </font>
  </fonts>
  <fills count="31">
    <fill>
      <patternFill patternType="none"/>
    </fill>
    <fill>
      <patternFill patternType="gray125"/>
    </fill>
    <fill>
      <patternFill patternType="solid">
        <fgColor theme="5" tint="0.79998168889431442"/>
        <bgColor indexed="64"/>
      </patternFill>
    </fill>
    <fill>
      <patternFill patternType="solid">
        <fgColor rgb="FFFFFF00"/>
        <bgColor indexed="64"/>
      </patternFill>
    </fill>
    <fill>
      <patternFill patternType="solid">
        <fgColor theme="1"/>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2" tint="-9.9978637043366805E-2"/>
        <bgColor indexed="64"/>
      </patternFill>
    </fill>
    <fill>
      <patternFill patternType="solid">
        <fgColor theme="3" tint="0.89999084444715716"/>
        <bgColor indexed="64"/>
      </patternFill>
    </fill>
    <fill>
      <patternFill patternType="solid">
        <fgColor rgb="FF00FDFF"/>
        <bgColor indexed="64"/>
      </patternFill>
    </fill>
    <fill>
      <patternFill patternType="solid">
        <fgColor rgb="FF00FA00"/>
        <bgColor indexed="64"/>
      </patternFill>
    </fill>
    <fill>
      <patternFill patternType="solid">
        <fgColor rgb="FFFFC000"/>
        <bgColor indexed="64"/>
      </patternFill>
    </fill>
    <fill>
      <patternFill patternType="solid">
        <fgColor rgb="FFFF8AD8"/>
        <bgColor indexed="64"/>
      </patternFill>
    </fill>
    <fill>
      <patternFill patternType="solid">
        <fgColor theme="4" tint="0.79998168889431442"/>
        <bgColor indexed="64"/>
      </patternFill>
    </fill>
    <fill>
      <patternFill patternType="solid">
        <fgColor rgb="FF00B0F0"/>
        <bgColor indexed="64"/>
      </patternFill>
    </fill>
    <fill>
      <patternFill patternType="solid">
        <fgColor theme="8" tint="0.79998168889431442"/>
        <bgColor indexed="64"/>
      </patternFill>
    </fill>
    <fill>
      <patternFill patternType="solid">
        <fgColor rgb="FFFFFF00"/>
        <bgColor rgb="FF000000"/>
      </patternFill>
    </fill>
    <fill>
      <patternFill patternType="solid">
        <fgColor theme="8" tint="0.59999389629810485"/>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bgColor indexed="64"/>
      </patternFill>
    </fill>
    <fill>
      <patternFill patternType="solid">
        <fgColor rgb="FFD883FF"/>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2" tint="-0.249977111117893"/>
        <bgColor indexed="64"/>
      </patternFill>
    </fill>
    <fill>
      <patternFill patternType="solid">
        <fgColor rgb="FF0070C0"/>
        <bgColor indexed="64"/>
      </patternFill>
    </fill>
  </fills>
  <borders count="42">
    <border>
      <left/>
      <right/>
      <top/>
      <bottom/>
      <diagonal/>
    </border>
    <border>
      <left/>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auto="1"/>
      </top>
      <bottom style="dashed">
        <color auto="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diagonal/>
    </border>
    <border>
      <left style="thin">
        <color auto="1"/>
      </left>
      <right style="thin">
        <color auto="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diagonalUp="1" diagonalDown="1">
      <left/>
      <right/>
      <top/>
      <bottom/>
      <diagonal style="thin">
        <color auto="1"/>
      </diagonal>
    </border>
    <border>
      <left/>
      <right/>
      <top style="thin">
        <color auto="1"/>
      </top>
      <bottom style="thin">
        <color auto="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s>
  <cellStyleXfs count="2">
    <xf numFmtId="0" fontId="0" fillId="0" borderId="0"/>
    <xf numFmtId="9" fontId="11" fillId="0" borderId="0" applyFont="0" applyFill="0" applyBorder="0" applyAlignment="0" applyProtection="0"/>
  </cellStyleXfs>
  <cellXfs count="550">
    <xf numFmtId="0" fontId="0" fillId="0" borderId="0" xfId="0"/>
    <xf numFmtId="0" fontId="1" fillId="0" borderId="0" xfId="0" applyFont="1"/>
    <xf numFmtId="0" fontId="2" fillId="2" borderId="0" xfId="0" applyFont="1" applyFill="1"/>
    <xf numFmtId="3" fontId="1" fillId="0" borderId="0" xfId="0" applyNumberFormat="1" applyFont="1"/>
    <xf numFmtId="14" fontId="1" fillId="0" borderId="0" xfId="0" applyNumberFormat="1" applyFont="1"/>
    <xf numFmtId="0" fontId="1" fillId="3" borderId="0" xfId="0" applyFont="1" applyFill="1"/>
    <xf numFmtId="0" fontId="2" fillId="3" borderId="0" xfId="0" applyFont="1" applyFill="1"/>
    <xf numFmtId="0" fontId="1" fillId="0" borderId="2" xfId="0" applyFont="1" applyBorder="1"/>
    <xf numFmtId="0" fontId="1" fillId="0" borderId="3" xfId="0" applyFont="1" applyBorder="1"/>
    <xf numFmtId="0" fontId="1" fillId="0" borderId="4" xfId="0" applyFont="1" applyBorder="1"/>
    <xf numFmtId="0" fontId="1" fillId="0" borderId="1" xfId="0" applyFont="1" applyBorder="1"/>
    <xf numFmtId="0" fontId="1" fillId="0" borderId="6" xfId="0" applyFont="1" applyBorder="1"/>
    <xf numFmtId="0" fontId="1" fillId="0" borderId="7" xfId="0" applyFont="1" applyBorder="1"/>
    <xf numFmtId="0" fontId="1" fillId="0" borderId="8" xfId="0" applyFont="1" applyBorder="1"/>
    <xf numFmtId="0" fontId="1" fillId="0" borderId="9" xfId="0" applyFont="1" applyBorder="1"/>
    <xf numFmtId="0" fontId="1" fillId="0" borderId="10" xfId="0" applyFont="1" applyBorder="1"/>
    <xf numFmtId="0" fontId="1" fillId="0" borderId="11" xfId="0" applyFont="1" applyBorder="1"/>
    <xf numFmtId="0" fontId="1" fillId="0" borderId="12" xfId="0" applyFont="1" applyBorder="1"/>
    <xf numFmtId="0" fontId="2" fillId="0" borderId="0" xfId="0" applyFont="1"/>
    <xf numFmtId="3" fontId="1" fillId="0" borderId="5" xfId="0" applyNumberFormat="1" applyFont="1" applyBorder="1"/>
    <xf numFmtId="0" fontId="1" fillId="0" borderId="0" xfId="0" applyFont="1" applyAlignment="1">
      <alignment horizontal="center"/>
    </xf>
    <xf numFmtId="0" fontId="3" fillId="4" borderId="0" xfId="0" applyFont="1" applyFill="1" applyAlignment="1">
      <alignment horizontal="center"/>
    </xf>
    <xf numFmtId="0" fontId="3" fillId="6" borderId="0" xfId="0" applyFont="1" applyFill="1" applyAlignment="1">
      <alignment horizontal="center"/>
    </xf>
    <xf numFmtId="2" fontId="4" fillId="5" borderId="0" xfId="0" applyNumberFormat="1" applyFont="1" applyFill="1" applyAlignment="1">
      <alignment horizontal="center"/>
    </xf>
    <xf numFmtId="3" fontId="1" fillId="0" borderId="0" xfId="0" applyNumberFormat="1" applyFont="1" applyAlignment="1">
      <alignment horizontal="center"/>
    </xf>
    <xf numFmtId="8" fontId="1" fillId="0" borderId="0" xfId="0" applyNumberFormat="1" applyFont="1"/>
    <xf numFmtId="0" fontId="2" fillId="0" borderId="0" xfId="0" applyFont="1" applyAlignment="1">
      <alignment horizontal="center"/>
    </xf>
    <xf numFmtId="0" fontId="1" fillId="0" borderId="1" xfId="0" applyFont="1" applyBorder="1" applyAlignment="1">
      <alignment horizontal="center"/>
    </xf>
    <xf numFmtId="0" fontId="3" fillId="4" borderId="1" xfId="0" applyFont="1" applyFill="1" applyBorder="1" applyAlignment="1">
      <alignment horizontal="center"/>
    </xf>
    <xf numFmtId="0" fontId="1" fillId="0" borderId="0" xfId="0" applyFont="1" applyAlignment="1">
      <alignment horizontal="right"/>
    </xf>
    <xf numFmtId="2" fontId="1" fillId="0" borderId="0" xfId="0" applyNumberFormat="1" applyFont="1" applyAlignment="1">
      <alignment horizontal="center"/>
    </xf>
    <xf numFmtId="0" fontId="5" fillId="0" borderId="0" xfId="0" applyFont="1" applyAlignment="1">
      <alignment horizontal="center"/>
    </xf>
    <xf numFmtId="2" fontId="1" fillId="0" borderId="0" xfId="0" applyNumberFormat="1" applyFont="1"/>
    <xf numFmtId="2" fontId="6" fillId="3" borderId="0" xfId="0" applyNumberFormat="1" applyFont="1" applyFill="1" applyAlignment="1">
      <alignment horizontal="center"/>
    </xf>
    <xf numFmtId="2" fontId="2" fillId="3" borderId="0" xfId="0" applyNumberFormat="1" applyFont="1" applyFill="1" applyAlignment="1">
      <alignment horizontal="center"/>
    </xf>
    <xf numFmtId="0" fontId="3" fillId="4" borderId="0" xfId="0" applyFont="1" applyFill="1"/>
    <xf numFmtId="14" fontId="2" fillId="0" borderId="0" xfId="0" applyNumberFormat="1" applyFont="1"/>
    <xf numFmtId="9" fontId="1" fillId="0" borderId="0" xfId="0" applyNumberFormat="1" applyFont="1"/>
    <xf numFmtId="3" fontId="1" fillId="0" borderId="6" xfId="0" applyNumberFormat="1" applyFont="1" applyBorder="1"/>
    <xf numFmtId="9" fontId="1" fillId="0" borderId="6" xfId="0" applyNumberFormat="1" applyFont="1" applyBorder="1"/>
    <xf numFmtId="0" fontId="1" fillId="3" borderId="0" xfId="0" applyFont="1" applyFill="1" applyAlignment="1">
      <alignment horizontal="right"/>
    </xf>
    <xf numFmtId="2" fontId="1" fillId="7" borderId="13" xfId="0" applyNumberFormat="1" applyFont="1" applyFill="1" applyBorder="1" applyAlignment="1">
      <alignment horizontal="center"/>
    </xf>
    <xf numFmtId="0" fontId="1" fillId="0" borderId="13" xfId="0" applyFont="1" applyBorder="1" applyAlignment="1">
      <alignment horizontal="center"/>
    </xf>
    <xf numFmtId="0" fontId="1" fillId="0" borderId="14" xfId="0" applyFont="1" applyBorder="1" applyAlignment="1">
      <alignment horizontal="center"/>
    </xf>
    <xf numFmtId="0" fontId="1" fillId="0" borderId="15" xfId="0" applyFont="1" applyBorder="1" applyAlignment="1">
      <alignment horizontal="center"/>
    </xf>
    <xf numFmtId="0" fontId="1" fillId="0" borderId="16" xfId="0" applyFont="1" applyBorder="1" applyAlignment="1">
      <alignment horizontal="center"/>
    </xf>
    <xf numFmtId="0" fontId="8" fillId="0" borderId="0" xfId="0" applyFont="1" applyAlignment="1">
      <alignment horizontal="center"/>
    </xf>
    <xf numFmtId="2" fontId="8" fillId="7" borderId="13" xfId="0" applyNumberFormat="1" applyFont="1" applyFill="1" applyBorder="1" applyAlignment="1">
      <alignment horizontal="center"/>
    </xf>
    <xf numFmtId="0" fontId="4" fillId="0" borderId="0" xfId="0" applyFont="1" applyAlignment="1">
      <alignment horizontal="center"/>
    </xf>
    <xf numFmtId="2" fontId="4" fillId="0" borderId="0" xfId="0" applyNumberFormat="1" applyFont="1" applyAlignment="1">
      <alignment horizontal="center"/>
    </xf>
    <xf numFmtId="2" fontId="1" fillId="3" borderId="0" xfId="0" applyNumberFormat="1" applyFont="1" applyFill="1" applyAlignment="1">
      <alignment horizontal="center"/>
    </xf>
    <xf numFmtId="9" fontId="1" fillId="0" borderId="0" xfId="0" applyNumberFormat="1" applyFont="1" applyAlignment="1">
      <alignment horizontal="center"/>
    </xf>
    <xf numFmtId="0" fontId="8" fillId="0" borderId="0" xfId="0" applyFont="1"/>
    <xf numFmtId="2" fontId="1" fillId="8" borderId="4" xfId="0" applyNumberFormat="1" applyFont="1" applyFill="1" applyBorder="1" applyAlignment="1">
      <alignment horizontal="center"/>
    </xf>
    <xf numFmtId="2" fontId="1" fillId="9" borderId="0" xfId="0" applyNumberFormat="1" applyFont="1" applyFill="1" applyAlignment="1">
      <alignment horizontal="center"/>
    </xf>
    <xf numFmtId="0" fontId="7" fillId="3" borderId="0" xfId="0" applyFont="1" applyFill="1"/>
    <xf numFmtId="0" fontId="10" fillId="3" borderId="0" xfId="0" applyFont="1" applyFill="1"/>
    <xf numFmtId="1" fontId="1" fillId="3" borderId="0" xfId="0" applyNumberFormat="1" applyFont="1" applyFill="1" applyAlignment="1">
      <alignment horizontal="center"/>
    </xf>
    <xf numFmtId="0" fontId="9" fillId="0" borderId="0" xfId="0" applyFont="1" applyAlignment="1">
      <alignment horizontal="center"/>
    </xf>
    <xf numFmtId="1" fontId="1" fillId="2" borderId="0" xfId="0" applyNumberFormat="1" applyFont="1" applyFill="1" applyAlignment="1">
      <alignment horizontal="center"/>
    </xf>
    <xf numFmtId="0" fontId="2" fillId="0" borderId="2" xfId="0" applyFont="1" applyBorder="1"/>
    <xf numFmtId="0" fontId="2" fillId="0" borderId="3" xfId="0" applyFont="1" applyBorder="1"/>
    <xf numFmtId="0" fontId="2" fillId="0" borderId="4" xfId="0" applyFont="1" applyBorder="1" applyAlignment="1">
      <alignment horizontal="right"/>
    </xf>
    <xf numFmtId="0" fontId="7" fillId="0" borderId="0" xfId="0" applyFont="1"/>
    <xf numFmtId="2" fontId="4" fillId="3" borderId="0" xfId="0" applyNumberFormat="1" applyFont="1" applyFill="1" applyAlignment="1">
      <alignment horizontal="center"/>
    </xf>
    <xf numFmtId="4" fontId="1" fillId="3" borderId="0" xfId="0" applyNumberFormat="1" applyFont="1" applyFill="1" applyAlignment="1">
      <alignment horizontal="center"/>
    </xf>
    <xf numFmtId="37" fontId="1" fillId="0" borderId="0" xfId="0" applyNumberFormat="1" applyFont="1"/>
    <xf numFmtId="3" fontId="1" fillId="3" borderId="0" xfId="0" applyNumberFormat="1" applyFont="1" applyFill="1" applyAlignment="1">
      <alignment horizontal="center"/>
    </xf>
    <xf numFmtId="10" fontId="1" fillId="0" borderId="0" xfId="1" applyNumberFormat="1" applyFont="1"/>
    <xf numFmtId="0" fontId="1" fillId="3" borderId="0" xfId="0" applyFont="1" applyFill="1" applyAlignment="1">
      <alignment horizontal="center"/>
    </xf>
    <xf numFmtId="0" fontId="13" fillId="0" borderId="0" xfId="0" applyFont="1"/>
    <xf numFmtId="0" fontId="1" fillId="2" borderId="0" xfId="0" applyFont="1" applyFill="1"/>
    <xf numFmtId="0" fontId="1" fillId="0" borderId="17" xfId="0" applyFont="1" applyBorder="1"/>
    <xf numFmtId="0" fontId="1" fillId="0" borderId="18" xfId="0" applyFont="1" applyBorder="1"/>
    <xf numFmtId="2" fontId="1" fillId="3" borderId="16" xfId="0" applyNumberFormat="1" applyFont="1" applyFill="1" applyBorder="1" applyAlignment="1">
      <alignment horizontal="center"/>
    </xf>
    <xf numFmtId="165" fontId="1" fillId="0" borderId="0" xfId="1" applyNumberFormat="1" applyFont="1"/>
    <xf numFmtId="0" fontId="1" fillId="10" borderId="0" xfId="0" applyFont="1" applyFill="1" applyAlignment="1">
      <alignment horizontal="center"/>
    </xf>
    <xf numFmtId="2" fontId="1" fillId="7" borderId="16" xfId="0" applyNumberFormat="1" applyFont="1" applyFill="1" applyBorder="1" applyAlignment="1">
      <alignment horizontal="center"/>
    </xf>
    <xf numFmtId="0" fontId="14" fillId="0" borderId="0" xfId="0" applyFont="1"/>
    <xf numFmtId="0" fontId="2" fillId="11" borderId="0" xfId="0" applyFont="1" applyFill="1"/>
    <xf numFmtId="4" fontId="2" fillId="3" borderId="0" xfId="0" applyNumberFormat="1" applyFont="1" applyFill="1" applyAlignment="1">
      <alignment horizontal="center"/>
    </xf>
    <xf numFmtId="0" fontId="15" fillId="0" borderId="0" xfId="0" applyFont="1"/>
    <xf numFmtId="0" fontId="2" fillId="3" borderId="2" xfId="0" applyFont="1" applyFill="1" applyBorder="1"/>
    <xf numFmtId="0" fontId="2" fillId="3" borderId="4" xfId="0" applyFont="1" applyFill="1" applyBorder="1"/>
    <xf numFmtId="0" fontId="1" fillId="3" borderId="4" xfId="0" applyFont="1" applyFill="1" applyBorder="1"/>
    <xf numFmtId="166" fontId="1" fillId="0" borderId="0" xfId="0" applyNumberFormat="1" applyFont="1"/>
    <xf numFmtId="0" fontId="12" fillId="0" borderId="0" xfId="0" applyFont="1"/>
    <xf numFmtId="166" fontId="1" fillId="0" borderId="0" xfId="0" applyNumberFormat="1" applyFont="1" applyAlignment="1">
      <alignment horizontal="center"/>
    </xf>
    <xf numFmtId="2" fontId="2" fillId="3" borderId="4" xfId="0" applyNumberFormat="1" applyFont="1" applyFill="1" applyBorder="1"/>
    <xf numFmtId="8" fontId="2" fillId="0" borderId="0" xfId="0" applyNumberFormat="1" applyFont="1"/>
    <xf numFmtId="2" fontId="1" fillId="3" borderId="0" xfId="0" applyNumberFormat="1" applyFont="1" applyFill="1"/>
    <xf numFmtId="10" fontId="2" fillId="3" borderId="4" xfId="0" applyNumberFormat="1" applyFont="1" applyFill="1" applyBorder="1"/>
    <xf numFmtId="165" fontId="2" fillId="3" borderId="4" xfId="0" applyNumberFormat="1" applyFont="1" applyFill="1" applyBorder="1"/>
    <xf numFmtId="164" fontId="2" fillId="3" borderId="4" xfId="0" applyNumberFormat="1" applyFont="1" applyFill="1" applyBorder="1"/>
    <xf numFmtId="164" fontId="2" fillId="3" borderId="0" xfId="1" applyNumberFormat="1" applyFont="1" applyFill="1"/>
    <xf numFmtId="167" fontId="1" fillId="0" borderId="0" xfId="1" applyNumberFormat="1" applyFont="1"/>
    <xf numFmtId="0" fontId="1" fillId="0" borderId="1" xfId="0" applyFont="1" applyBorder="1" applyAlignment="1">
      <alignment horizontal="center" wrapText="1"/>
    </xf>
    <xf numFmtId="0" fontId="2" fillId="2" borderId="0" xfId="0" applyFont="1" applyFill="1" applyAlignment="1">
      <alignment horizontal="center"/>
    </xf>
    <xf numFmtId="0" fontId="1" fillId="0" borderId="5" xfId="0" applyFont="1" applyBorder="1" applyAlignment="1">
      <alignment horizontal="center"/>
    </xf>
    <xf numFmtId="0" fontId="2" fillId="10" borderId="0" xfId="0" applyFont="1" applyFill="1"/>
    <xf numFmtId="0" fontId="1" fillId="10" borderId="0" xfId="0" applyFont="1" applyFill="1"/>
    <xf numFmtId="37" fontId="1" fillId="0" borderId="0" xfId="0" applyNumberFormat="1" applyFont="1" applyAlignment="1">
      <alignment horizontal="center"/>
    </xf>
    <xf numFmtId="37" fontId="17" fillId="0" borderId="0" xfId="0" applyNumberFormat="1" applyFont="1" applyAlignment="1">
      <alignment horizontal="center" readingOrder="1"/>
    </xf>
    <xf numFmtId="3" fontId="1" fillId="0" borderId="5" xfId="0" applyNumberFormat="1" applyFont="1" applyBorder="1" applyAlignment="1">
      <alignment horizontal="center"/>
    </xf>
    <xf numFmtId="3" fontId="1" fillId="9" borderId="5" xfId="0" applyNumberFormat="1" applyFont="1" applyFill="1" applyBorder="1" applyAlignment="1">
      <alignment horizontal="center"/>
    </xf>
    <xf numFmtId="37" fontId="1" fillId="0" borderId="5" xfId="0" applyNumberFormat="1" applyFont="1" applyBorder="1" applyAlignment="1">
      <alignment horizontal="center"/>
    </xf>
    <xf numFmtId="37" fontId="1" fillId="12" borderId="5" xfId="0" applyNumberFormat="1" applyFont="1" applyFill="1" applyBorder="1" applyAlignment="1">
      <alignment horizontal="center"/>
    </xf>
    <xf numFmtId="37" fontId="5" fillId="0" borderId="0" xfId="0" applyNumberFormat="1" applyFont="1" applyAlignment="1">
      <alignment horizontal="center"/>
    </xf>
    <xf numFmtId="37" fontId="1" fillId="3" borderId="0" xfId="0" applyNumberFormat="1" applyFont="1" applyFill="1" applyAlignment="1">
      <alignment horizontal="center"/>
    </xf>
    <xf numFmtId="0" fontId="5" fillId="0" borderId="7" xfId="0" applyFont="1" applyBorder="1"/>
    <xf numFmtId="0" fontId="5" fillId="0" borderId="9" xfId="0" applyFont="1" applyBorder="1"/>
    <xf numFmtId="0" fontId="5" fillId="0" borderId="17" xfId="0" applyFont="1" applyBorder="1"/>
    <xf numFmtId="0" fontId="5" fillId="0" borderId="18" xfId="0" applyFont="1" applyBorder="1"/>
    <xf numFmtId="0" fontId="5" fillId="0" borderId="10" xfId="0" applyFont="1" applyBorder="1"/>
    <xf numFmtId="0" fontId="5" fillId="0" borderId="12" xfId="0" applyFont="1" applyBorder="1"/>
    <xf numFmtId="0" fontId="3" fillId="0" borderId="0" xfId="0" applyFont="1"/>
    <xf numFmtId="0" fontId="4" fillId="0" borderId="0" xfId="0" applyFont="1"/>
    <xf numFmtId="0" fontId="4" fillId="0" borderId="1" xfId="0" applyFont="1" applyBorder="1" applyAlignment="1">
      <alignment horizontal="center"/>
    </xf>
    <xf numFmtId="0" fontId="4" fillId="0" borderId="1" xfId="0" applyFont="1" applyBorder="1" applyAlignment="1">
      <alignment horizontal="center" wrapText="1"/>
    </xf>
    <xf numFmtId="3" fontId="4" fillId="0" borderId="0" xfId="0" applyNumberFormat="1" applyFont="1" applyAlignment="1">
      <alignment horizontal="center"/>
    </xf>
    <xf numFmtId="3" fontId="1" fillId="0" borderId="20" xfId="0" applyNumberFormat="1" applyFont="1" applyBorder="1" applyAlignment="1">
      <alignment horizontal="center"/>
    </xf>
    <xf numFmtId="10" fontId="1" fillId="3" borderId="8" xfId="0" applyNumberFormat="1" applyFont="1" applyFill="1" applyBorder="1" applyAlignment="1">
      <alignment horizontal="center"/>
    </xf>
    <xf numFmtId="0" fontId="1" fillId="3" borderId="9" xfId="0" applyFont="1" applyFill="1" applyBorder="1"/>
    <xf numFmtId="10" fontId="1" fillId="3" borderId="11" xfId="0" applyNumberFormat="1" applyFont="1" applyFill="1" applyBorder="1" applyAlignment="1">
      <alignment horizontal="center"/>
    </xf>
    <xf numFmtId="0" fontId="1" fillId="3" borderId="12" xfId="0" applyFont="1" applyFill="1" applyBorder="1"/>
    <xf numFmtId="40" fontId="1" fillId="3" borderId="8" xfId="0" applyNumberFormat="1" applyFont="1" applyFill="1" applyBorder="1" applyAlignment="1">
      <alignment horizontal="center"/>
    </xf>
    <xf numFmtId="40" fontId="1" fillId="3" borderId="11" xfId="0" applyNumberFormat="1" applyFont="1" applyFill="1" applyBorder="1" applyAlignment="1">
      <alignment horizontal="center"/>
    </xf>
    <xf numFmtId="0" fontId="2" fillId="0" borderId="4" xfId="0" applyFont="1" applyBorder="1"/>
    <xf numFmtId="0" fontId="1" fillId="0" borderId="6" xfId="0" applyFont="1" applyBorder="1" applyAlignment="1">
      <alignment horizontal="center"/>
    </xf>
    <xf numFmtId="10" fontId="1" fillId="0" borderId="6" xfId="0" applyNumberFormat="1" applyFont="1" applyBorder="1" applyAlignment="1">
      <alignment horizontal="center"/>
    </xf>
    <xf numFmtId="40" fontId="1" fillId="0" borderId="6" xfId="0" applyNumberFormat="1" applyFont="1" applyBorder="1" applyAlignment="1">
      <alignment horizontal="center"/>
    </xf>
    <xf numFmtId="10" fontId="1" fillId="3" borderId="3" xfId="0" applyNumberFormat="1" applyFont="1" applyFill="1" applyBorder="1" applyAlignment="1">
      <alignment horizontal="center"/>
    </xf>
    <xf numFmtId="0" fontId="2" fillId="0" borderId="7" xfId="0" applyFont="1" applyBorder="1"/>
    <xf numFmtId="0" fontId="2" fillId="0" borderId="10" xfId="0" applyFont="1" applyBorder="1"/>
    <xf numFmtId="0" fontId="6" fillId="0" borderId="0" xfId="0" applyFont="1"/>
    <xf numFmtId="8" fontId="4" fillId="0" borderId="0" xfId="0" applyNumberFormat="1" applyFont="1"/>
    <xf numFmtId="0" fontId="6" fillId="0" borderId="2" xfId="0" applyFont="1" applyBorder="1"/>
    <xf numFmtId="0" fontId="6" fillId="0" borderId="3" xfId="0" applyFont="1" applyBorder="1"/>
    <xf numFmtId="0" fontId="6" fillId="0" borderId="4" xfId="0" applyFont="1" applyBorder="1"/>
    <xf numFmtId="0" fontId="2" fillId="9" borderId="0" xfId="0" applyFont="1" applyFill="1"/>
    <xf numFmtId="1" fontId="1" fillId="13" borderId="0" xfId="0" applyNumberFormat="1" applyFont="1" applyFill="1"/>
    <xf numFmtId="2" fontId="1" fillId="13" borderId="0" xfId="0" applyNumberFormat="1" applyFont="1" applyFill="1" applyAlignment="1">
      <alignment horizontal="center"/>
    </xf>
    <xf numFmtId="1" fontId="1" fillId="13" borderId="0" xfId="0" applyNumberFormat="1" applyFont="1" applyFill="1" applyAlignment="1">
      <alignment horizontal="center"/>
    </xf>
    <xf numFmtId="1" fontId="1" fillId="8" borderId="0" xfId="0" applyNumberFormat="1" applyFont="1" applyFill="1" applyAlignment="1">
      <alignment horizontal="center"/>
    </xf>
    <xf numFmtId="10" fontId="1" fillId="3" borderId="0" xfId="0" applyNumberFormat="1" applyFont="1" applyFill="1" applyAlignment="1">
      <alignment horizontal="center"/>
    </xf>
    <xf numFmtId="1" fontId="1" fillId="13" borderId="13" xfId="0" applyNumberFormat="1" applyFont="1" applyFill="1" applyBorder="1" applyAlignment="1">
      <alignment horizontal="center"/>
    </xf>
    <xf numFmtId="166" fontId="1" fillId="3" borderId="0" xfId="0" applyNumberFormat="1" applyFont="1" applyFill="1" applyAlignment="1">
      <alignment horizontal="center"/>
    </xf>
    <xf numFmtId="9" fontId="1" fillId="3" borderId="0" xfId="0" applyNumberFormat="1" applyFont="1" applyFill="1" applyAlignment="1">
      <alignment horizontal="center"/>
    </xf>
    <xf numFmtId="165" fontId="1" fillId="0" borderId="0" xfId="0" applyNumberFormat="1" applyFont="1" applyAlignment="1">
      <alignment horizontal="center"/>
    </xf>
    <xf numFmtId="165" fontId="1" fillId="3" borderId="0" xfId="0" applyNumberFormat="1" applyFont="1" applyFill="1" applyAlignment="1">
      <alignment horizontal="center"/>
    </xf>
    <xf numFmtId="1" fontId="1" fillId="0" borderId="0" xfId="0" applyNumberFormat="1" applyFont="1" applyAlignment="1">
      <alignment horizontal="center"/>
    </xf>
    <xf numFmtId="0" fontId="2" fillId="5" borderId="0" xfId="0" applyFont="1" applyFill="1"/>
    <xf numFmtId="0" fontId="1" fillId="5" borderId="0" xfId="0" applyFont="1" applyFill="1"/>
    <xf numFmtId="37" fontId="8" fillId="0" borderId="0" xfId="0" applyNumberFormat="1" applyFont="1" applyAlignment="1">
      <alignment horizontal="center"/>
    </xf>
    <xf numFmtId="37" fontId="8" fillId="3" borderId="0" xfId="0" applyNumberFormat="1" applyFont="1" applyFill="1" applyAlignment="1">
      <alignment horizontal="center"/>
    </xf>
    <xf numFmtId="37" fontId="8" fillId="14" borderId="0" xfId="0" applyNumberFormat="1" applyFont="1" applyFill="1" applyAlignment="1">
      <alignment horizontal="center"/>
    </xf>
    <xf numFmtId="164" fontId="1" fillId="0" borderId="0" xfId="0" applyNumberFormat="1" applyFont="1"/>
    <xf numFmtId="0" fontId="2" fillId="15" borderId="0" xfId="0" applyFont="1" applyFill="1"/>
    <xf numFmtId="0" fontId="2" fillId="0" borderId="17" xfId="0" applyFont="1" applyBorder="1" applyAlignment="1">
      <alignment horizontal="center"/>
    </xf>
    <xf numFmtId="0" fontId="2" fillId="0" borderId="18" xfId="0" applyFont="1" applyBorder="1" applyAlignment="1">
      <alignment horizont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0" xfId="0" applyFont="1" applyBorder="1" applyAlignment="1">
      <alignment horizontal="center"/>
    </xf>
    <xf numFmtId="0" fontId="1" fillId="0" borderId="12" xfId="0" applyFont="1" applyBorder="1" applyAlignment="1">
      <alignment horizontal="center"/>
    </xf>
    <xf numFmtId="37" fontId="2" fillId="3" borderId="5" xfId="0" applyNumberFormat="1" applyFont="1" applyFill="1" applyBorder="1"/>
    <xf numFmtId="37" fontId="1" fillId="0" borderId="5" xfId="0" applyNumberFormat="1" applyFont="1" applyBorder="1"/>
    <xf numFmtId="3" fontId="1" fillId="14" borderId="0" xfId="0" applyNumberFormat="1" applyFont="1" applyFill="1"/>
    <xf numFmtId="0" fontId="1" fillId="0" borderId="11" xfId="0" applyFont="1" applyBorder="1" applyAlignment="1">
      <alignment horizontal="center"/>
    </xf>
    <xf numFmtId="164" fontId="1" fillId="0" borderId="0" xfId="1" applyNumberFormat="1" applyFont="1"/>
    <xf numFmtId="0" fontId="1" fillId="0" borderId="6" xfId="0" applyFont="1" applyBorder="1" applyAlignment="1">
      <alignment horizontal="right"/>
    </xf>
    <xf numFmtId="1" fontId="1" fillId="0" borderId="0" xfId="0" applyNumberFormat="1" applyFont="1"/>
    <xf numFmtId="37" fontId="4" fillId="0" borderId="0" xfId="0" applyNumberFormat="1" applyFont="1" applyAlignment="1">
      <alignment horizontal="center"/>
    </xf>
    <xf numFmtId="168" fontId="1" fillId="0" borderId="0" xfId="0" applyNumberFormat="1" applyFont="1"/>
    <xf numFmtId="0" fontId="1" fillId="0" borderId="0" xfId="0" quotePrefix="1" applyFont="1" applyAlignment="1">
      <alignment horizontal="center"/>
    </xf>
    <xf numFmtId="0" fontId="1" fillId="16" borderId="0" xfId="0" applyFont="1" applyFill="1"/>
    <xf numFmtId="0" fontId="2" fillId="16" borderId="0" xfId="0" applyFont="1" applyFill="1"/>
    <xf numFmtId="37" fontId="1" fillId="3" borderId="0" xfId="0" applyNumberFormat="1" applyFont="1" applyFill="1"/>
    <xf numFmtId="8" fontId="1" fillId="3" borderId="0" xfId="0" applyNumberFormat="1" applyFont="1" applyFill="1"/>
    <xf numFmtId="9" fontId="1" fillId="0" borderId="0" xfId="1" applyFont="1"/>
    <xf numFmtId="169" fontId="1" fillId="3" borderId="0" xfId="0" applyNumberFormat="1" applyFont="1" applyFill="1"/>
    <xf numFmtId="4" fontId="1" fillId="0" borderId="0" xfId="0" applyNumberFormat="1" applyFont="1" applyAlignment="1">
      <alignment horizontal="center"/>
    </xf>
    <xf numFmtId="170" fontId="1" fillId="0" borderId="0" xfId="0" applyNumberFormat="1" applyFont="1"/>
    <xf numFmtId="0" fontId="18" fillId="0" borderId="0" xfId="0" applyFont="1"/>
    <xf numFmtId="0" fontId="18" fillId="0" borderId="0" xfId="0" applyFont="1" applyAlignment="1">
      <alignment horizontal="center"/>
    </xf>
    <xf numFmtId="0" fontId="4" fillId="0" borderId="1" xfId="0" applyFont="1" applyBorder="1"/>
    <xf numFmtId="9" fontId="1" fillId="0" borderId="0" xfId="1" applyFont="1" applyAlignment="1">
      <alignment horizontal="center"/>
    </xf>
    <xf numFmtId="1" fontId="1" fillId="3" borderId="13" xfId="0" applyNumberFormat="1" applyFont="1" applyFill="1" applyBorder="1" applyAlignment="1">
      <alignment horizontal="center"/>
    </xf>
    <xf numFmtId="1" fontId="5" fillId="0" borderId="0" xfId="0" applyNumberFormat="1" applyFont="1"/>
    <xf numFmtId="1" fontId="2" fillId="3" borderId="0" xfId="0" applyNumberFormat="1" applyFont="1" applyFill="1" applyAlignment="1">
      <alignment horizontal="center"/>
    </xf>
    <xf numFmtId="1" fontId="5" fillId="0" borderId="0" xfId="0" applyNumberFormat="1" applyFont="1" applyAlignment="1">
      <alignment horizontal="center"/>
    </xf>
    <xf numFmtId="10" fontId="19" fillId="0" borderId="0" xfId="1" applyNumberFormat="1" applyFont="1" applyAlignment="1">
      <alignment horizontal="center"/>
    </xf>
    <xf numFmtId="0" fontId="19" fillId="0" borderId="0" xfId="0" applyFont="1" applyAlignment="1">
      <alignment horizontal="center"/>
    </xf>
    <xf numFmtId="3" fontId="1" fillId="0" borderId="0" xfId="0" applyNumberFormat="1" applyFont="1" applyAlignment="1">
      <alignment horizontal="right"/>
    </xf>
    <xf numFmtId="37" fontId="17" fillId="0" borderId="0" xfId="0" applyNumberFormat="1" applyFont="1" applyAlignment="1">
      <alignment horizontal="right" readingOrder="1"/>
    </xf>
    <xf numFmtId="37" fontId="1" fillId="0" borderId="0" xfId="0" applyNumberFormat="1" applyFont="1" applyAlignment="1">
      <alignment horizontal="right"/>
    </xf>
    <xf numFmtId="0" fontId="1" fillId="0" borderId="23" xfId="0" applyFont="1" applyBorder="1" applyAlignment="1">
      <alignment horizontal="center"/>
    </xf>
    <xf numFmtId="0" fontId="1" fillId="0" borderId="24" xfId="0" applyFont="1" applyBorder="1" applyAlignment="1">
      <alignment horizontal="center"/>
    </xf>
    <xf numFmtId="2" fontId="5" fillId="3" borderId="0" xfId="0" applyNumberFormat="1" applyFont="1" applyFill="1" applyAlignment="1">
      <alignment horizontal="center"/>
    </xf>
    <xf numFmtId="2" fontId="5" fillId="0" borderId="0" xfId="0" applyNumberFormat="1" applyFont="1" applyAlignment="1">
      <alignment horizontal="center"/>
    </xf>
    <xf numFmtId="2" fontId="2" fillId="9" borderId="0" xfId="0" applyNumberFormat="1" applyFont="1" applyFill="1" applyAlignment="1">
      <alignment horizontal="center"/>
    </xf>
    <xf numFmtId="2" fontId="1" fillId="3" borderId="13" xfId="0" applyNumberFormat="1" applyFont="1" applyFill="1" applyBorder="1"/>
    <xf numFmtId="3" fontId="1" fillId="3" borderId="13" xfId="0" applyNumberFormat="1" applyFont="1" applyFill="1" applyBorder="1"/>
    <xf numFmtId="8" fontId="1" fillId="3" borderId="0" xfId="0" applyNumberFormat="1" applyFont="1" applyFill="1" applyAlignment="1">
      <alignment horizontal="center"/>
    </xf>
    <xf numFmtId="10" fontId="2" fillId="3" borderId="0" xfId="0" applyNumberFormat="1" applyFont="1" applyFill="1"/>
    <xf numFmtId="0" fontId="2" fillId="3" borderId="0" xfId="0" applyFont="1" applyFill="1" applyAlignment="1">
      <alignment horizontal="center"/>
    </xf>
    <xf numFmtId="0" fontId="20" fillId="2" borderId="0" xfId="0" applyFont="1" applyFill="1"/>
    <xf numFmtId="0" fontId="4" fillId="0" borderId="20" xfId="0" applyFont="1" applyBorder="1" applyAlignment="1">
      <alignment horizontal="center"/>
    </xf>
    <xf numFmtId="0" fontId="3" fillId="0" borderId="20" xfId="0" applyFont="1" applyBorder="1"/>
    <xf numFmtId="0" fontId="4" fillId="0" borderId="20" xfId="0" applyFont="1" applyBorder="1"/>
    <xf numFmtId="0" fontId="6" fillId="0" borderId="0" xfId="0" applyFont="1" applyAlignment="1">
      <alignment horizontal="center"/>
    </xf>
    <xf numFmtId="0" fontId="20" fillId="0" borderId="0" xfId="0" applyFont="1"/>
    <xf numFmtId="0" fontId="1" fillId="0" borderId="20" xfId="0" applyFont="1" applyBorder="1" applyAlignment="1">
      <alignment horizontal="center"/>
    </xf>
    <xf numFmtId="0" fontId="3" fillId="17" borderId="0" xfId="0" applyFont="1" applyFill="1" applyAlignment="1">
      <alignment horizontal="center"/>
    </xf>
    <xf numFmtId="0" fontId="2" fillId="0" borderId="17" xfId="0" applyFont="1" applyBorder="1"/>
    <xf numFmtId="0" fontId="2" fillId="18" borderId="0" xfId="0" applyFont="1" applyFill="1"/>
    <xf numFmtId="0" fontId="1" fillId="18" borderId="0" xfId="0" applyFont="1" applyFill="1"/>
    <xf numFmtId="2" fontId="21" fillId="5" borderId="0" xfId="0" applyNumberFormat="1" applyFont="1" applyFill="1" applyAlignment="1">
      <alignment horizontal="center"/>
    </xf>
    <xf numFmtId="0" fontId="1" fillId="3" borderId="0" xfId="0" applyFont="1" applyFill="1" applyAlignment="1">
      <alignment horizontal="center" vertical="center"/>
    </xf>
    <xf numFmtId="0" fontId="3" fillId="0" borderId="0" xfId="0" applyFont="1" applyAlignment="1">
      <alignment horizontal="center"/>
    </xf>
    <xf numFmtId="0" fontId="22" fillId="0" borderId="0" xfId="0" applyFont="1" applyAlignment="1">
      <alignment horizontal="center"/>
    </xf>
    <xf numFmtId="9" fontId="4" fillId="0" borderId="0" xfId="0" applyNumberFormat="1" applyFont="1" applyAlignment="1">
      <alignment horizontal="center"/>
    </xf>
    <xf numFmtId="0" fontId="23" fillId="0" borderId="0" xfId="0" applyFont="1"/>
    <xf numFmtId="0" fontId="24" fillId="0" borderId="0" xfId="0" applyFont="1"/>
    <xf numFmtId="0" fontId="25" fillId="0" borderId="0" xfId="0" applyFont="1"/>
    <xf numFmtId="0" fontId="26" fillId="9" borderId="0" xfId="0" applyFont="1" applyFill="1" applyAlignment="1">
      <alignment horizontal="center"/>
    </xf>
    <xf numFmtId="2" fontId="4" fillId="7" borderId="13" xfId="0" applyNumberFormat="1" applyFont="1" applyFill="1" applyBorder="1" applyAlignment="1">
      <alignment horizontal="center"/>
    </xf>
    <xf numFmtId="14" fontId="2" fillId="3" borderId="0" xfId="0" applyNumberFormat="1" applyFont="1" applyFill="1"/>
    <xf numFmtId="0" fontId="2" fillId="12" borderId="17" xfId="0" applyFont="1" applyFill="1" applyBorder="1"/>
    <xf numFmtId="0" fontId="1" fillId="12" borderId="0" xfId="0" applyFont="1" applyFill="1"/>
    <xf numFmtId="0" fontId="1" fillId="12" borderId="18" xfId="0" applyFont="1" applyFill="1" applyBorder="1"/>
    <xf numFmtId="0" fontId="27" fillId="0" borderId="0" xfId="0" applyFont="1"/>
    <xf numFmtId="0" fontId="28" fillId="0" borderId="2" xfId="0" applyFont="1" applyBorder="1"/>
    <xf numFmtId="0" fontId="28" fillId="0" borderId="3" xfId="0" applyFont="1" applyBorder="1"/>
    <xf numFmtId="0" fontId="28" fillId="0" borderId="4" xfId="0" applyFont="1" applyBorder="1"/>
    <xf numFmtId="10" fontId="1" fillId="3" borderId="0" xfId="1" applyNumberFormat="1" applyFont="1" applyFill="1"/>
    <xf numFmtId="0" fontId="1" fillId="0" borderId="0" xfId="0" applyFont="1" applyAlignment="1">
      <alignment vertical="center"/>
    </xf>
    <xf numFmtId="0" fontId="1" fillId="0" borderId="0" xfId="0" applyFont="1" applyAlignment="1">
      <alignment horizontal="center" vertical="center"/>
    </xf>
    <xf numFmtId="0" fontId="1" fillId="3" borderId="13" xfId="0" applyFont="1" applyFill="1" applyBorder="1" applyAlignment="1">
      <alignment horizontal="center" vertical="center"/>
    </xf>
    <xf numFmtId="0" fontId="29" fillId="0" borderId="0" xfId="0" applyFont="1"/>
    <xf numFmtId="0" fontId="1" fillId="3" borderId="13" xfId="0" applyFont="1" applyFill="1" applyBorder="1" applyAlignment="1">
      <alignment horizontal="center"/>
    </xf>
    <xf numFmtId="0" fontId="5" fillId="0" borderId="8" xfId="0" applyFont="1" applyBorder="1"/>
    <xf numFmtId="0" fontId="5" fillId="0" borderId="0" xfId="0" applyFont="1"/>
    <xf numFmtId="0" fontId="30" fillId="0" borderId="0" xfId="0" applyFont="1"/>
    <xf numFmtId="10" fontId="5" fillId="3" borderId="0" xfId="1" applyNumberFormat="1" applyFont="1" applyFill="1" applyBorder="1"/>
    <xf numFmtId="0" fontId="5" fillId="0" borderId="11" xfId="0" applyFont="1" applyBorder="1"/>
    <xf numFmtId="2" fontId="1" fillId="0" borderId="0" xfId="0" applyNumberFormat="1" applyFont="1" applyAlignment="1">
      <alignment horizontal="center" vertical="center"/>
    </xf>
    <xf numFmtId="14" fontId="1" fillId="3" borderId="0" xfId="0" applyNumberFormat="1" applyFont="1" applyFill="1"/>
    <xf numFmtId="3" fontId="1" fillId="0" borderId="1" xfId="0" applyNumberFormat="1" applyFont="1" applyBorder="1" applyAlignment="1">
      <alignment horizontal="center"/>
    </xf>
    <xf numFmtId="164" fontId="1" fillId="12" borderId="0" xfId="0" applyNumberFormat="1" applyFont="1" applyFill="1" applyAlignment="1">
      <alignment horizontal="center"/>
    </xf>
    <xf numFmtId="164" fontId="1" fillId="3" borderId="0" xfId="1" applyNumberFormat="1" applyFont="1" applyFill="1"/>
    <xf numFmtId="0" fontId="31" fillId="0" borderId="0" xfId="0" applyFont="1" applyAlignment="1">
      <alignment horizontal="center"/>
    </xf>
    <xf numFmtId="2" fontId="1" fillId="12" borderId="13" xfId="0" applyNumberFormat="1" applyFont="1" applyFill="1" applyBorder="1" applyAlignment="1">
      <alignment horizontal="center"/>
    </xf>
    <xf numFmtId="0" fontId="1" fillId="0" borderId="25" xfId="0" applyFont="1" applyBorder="1" applyAlignment="1">
      <alignment horizontal="center"/>
    </xf>
    <xf numFmtId="10" fontId="1" fillId="0" borderId="0" xfId="1" applyNumberFormat="1" applyFont="1" applyAlignment="1">
      <alignment horizontal="center" vertical="center"/>
    </xf>
    <xf numFmtId="0" fontId="2" fillId="12" borderId="0" xfId="0" applyFont="1" applyFill="1" applyAlignment="1">
      <alignment horizontal="center"/>
    </xf>
    <xf numFmtId="0" fontId="1" fillId="0" borderId="7" xfId="0" applyFont="1" applyBorder="1" applyAlignment="1">
      <alignment horizontal="center"/>
    </xf>
    <xf numFmtId="0" fontId="2" fillId="0" borderId="1" xfId="0" applyFont="1" applyBorder="1"/>
    <xf numFmtId="164" fontId="2" fillId="12" borderId="0" xfId="0" applyNumberFormat="1" applyFont="1" applyFill="1" applyAlignment="1">
      <alignment horizontal="center"/>
    </xf>
    <xf numFmtId="0" fontId="32" fillId="0" borderId="0" xfId="0" applyFont="1" applyAlignment="1">
      <alignment horizontal="center"/>
    </xf>
    <xf numFmtId="164" fontId="1" fillId="3" borderId="0" xfId="0" applyNumberFormat="1" applyFont="1" applyFill="1" applyAlignment="1">
      <alignment horizontal="center"/>
    </xf>
    <xf numFmtId="2" fontId="1" fillId="12" borderId="0" xfId="0" applyNumberFormat="1" applyFont="1" applyFill="1"/>
    <xf numFmtId="0" fontId="17" fillId="0" borderId="0" xfId="0" applyFont="1" applyAlignment="1">
      <alignment readingOrder="2"/>
    </xf>
    <xf numFmtId="0" fontId="17" fillId="0" borderId="0" xfId="0" applyFont="1" applyAlignment="1">
      <alignment readingOrder="1"/>
    </xf>
    <xf numFmtId="0" fontId="1" fillId="10" borderId="0" xfId="0" applyFont="1" applyFill="1" applyAlignment="1">
      <alignment horizontal="right"/>
    </xf>
    <xf numFmtId="4" fontId="6" fillId="3" borderId="0" xfId="0" applyNumberFormat="1" applyFont="1" applyFill="1" applyAlignment="1">
      <alignment horizontal="center"/>
    </xf>
    <xf numFmtId="0" fontId="33" fillId="0" borderId="0" xfId="0" applyFont="1"/>
    <xf numFmtId="166" fontId="4" fillId="0" borderId="0" xfId="0" applyNumberFormat="1" applyFont="1" applyAlignment="1">
      <alignment horizontal="center"/>
    </xf>
    <xf numFmtId="166" fontId="1" fillId="3" borderId="0" xfId="0" applyNumberFormat="1" applyFont="1" applyFill="1"/>
    <xf numFmtId="168" fontId="1" fillId="0" borderId="0" xfId="1" applyNumberFormat="1" applyFont="1"/>
    <xf numFmtId="166" fontId="17" fillId="19" borderId="0" xfId="0" applyNumberFormat="1" applyFont="1" applyFill="1" applyAlignment="1">
      <alignment readingOrder="1"/>
    </xf>
    <xf numFmtId="172" fontId="17" fillId="0" borderId="0" xfId="1" applyNumberFormat="1" applyFont="1" applyAlignment="1">
      <alignment readingOrder="1"/>
    </xf>
    <xf numFmtId="171" fontId="1" fillId="0" borderId="0" xfId="1" applyNumberFormat="1" applyFont="1"/>
    <xf numFmtId="1" fontId="1" fillId="20" borderId="0" xfId="0" applyNumberFormat="1" applyFont="1" applyFill="1"/>
    <xf numFmtId="0" fontId="1" fillId="0" borderId="0" xfId="0" applyFont="1" applyAlignment="1">
      <alignment vertical="top"/>
    </xf>
    <xf numFmtId="3" fontId="4" fillId="0" borderId="20" xfId="0" applyNumberFormat="1" applyFont="1" applyBorder="1" applyAlignment="1">
      <alignment horizontal="center"/>
    </xf>
    <xf numFmtId="168" fontId="4" fillId="0" borderId="0" xfId="0" applyNumberFormat="1" applyFont="1"/>
    <xf numFmtId="164" fontId="4" fillId="9" borderId="0" xfId="0" applyNumberFormat="1" applyFont="1" applyFill="1" applyAlignment="1">
      <alignment horizontal="center"/>
    </xf>
    <xf numFmtId="10" fontId="1" fillId="0" borderId="0" xfId="0" applyNumberFormat="1" applyFont="1"/>
    <xf numFmtId="10" fontId="1" fillId="21" borderId="6" xfId="0" applyNumberFormat="1" applyFont="1" applyFill="1" applyBorder="1" applyAlignment="1">
      <alignment horizontal="center"/>
    </xf>
    <xf numFmtId="40" fontId="1" fillId="21" borderId="6" xfId="0" applyNumberFormat="1" applyFont="1" applyFill="1" applyBorder="1" applyAlignment="1">
      <alignment horizontal="center"/>
    </xf>
    <xf numFmtId="0" fontId="4" fillId="0" borderId="6" xfId="0" applyFont="1" applyBorder="1"/>
    <xf numFmtId="0" fontId="4" fillId="0" borderId="7" xfId="0" applyFont="1" applyBorder="1"/>
    <xf numFmtId="0" fontId="4" fillId="0" borderId="8" xfId="0" applyFont="1" applyBorder="1"/>
    <xf numFmtId="0" fontId="4" fillId="0" borderId="9" xfId="0" applyFont="1" applyBorder="1"/>
    <xf numFmtId="0" fontId="4" fillId="0" borderId="17" xfId="0" applyFont="1" applyBorder="1"/>
    <xf numFmtId="0" fontId="4" fillId="0" borderId="18" xfId="0" applyFont="1" applyBorder="1"/>
    <xf numFmtId="9" fontId="4" fillId="0" borderId="17" xfId="0" applyNumberFormat="1" applyFont="1" applyBorder="1"/>
    <xf numFmtId="0" fontId="4" fillId="0" borderId="10" xfId="0" applyFont="1" applyBorder="1"/>
    <xf numFmtId="0" fontId="4" fillId="0" borderId="11" xfId="0" applyFont="1" applyBorder="1"/>
    <xf numFmtId="0" fontId="4" fillId="0" borderId="12" xfId="0" applyFont="1" applyBorder="1"/>
    <xf numFmtId="3" fontId="5" fillId="0" borderId="0" xfId="0" applyNumberFormat="1" applyFont="1" applyAlignment="1">
      <alignment horizontal="center"/>
    </xf>
    <xf numFmtId="3" fontId="34" fillId="0" borderId="0" xfId="0" applyNumberFormat="1" applyFont="1" applyAlignment="1">
      <alignment horizontal="center"/>
    </xf>
    <xf numFmtId="0" fontId="35" fillId="0" borderId="0" xfId="0" applyFont="1" applyAlignment="1">
      <alignment horizontal="center"/>
    </xf>
    <xf numFmtId="173" fontId="4" fillId="0" borderId="0" xfId="0" applyNumberFormat="1" applyFont="1" applyAlignment="1">
      <alignment horizontal="center"/>
    </xf>
    <xf numFmtId="0" fontId="22" fillId="0" borderId="0" xfId="0" applyFont="1"/>
    <xf numFmtId="37" fontId="4" fillId="0" borderId="0" xfId="0" applyNumberFormat="1" applyFont="1" applyAlignment="1">
      <alignment horizontal="center" readingOrder="1"/>
    </xf>
    <xf numFmtId="3" fontId="4" fillId="9" borderId="5" xfId="0" applyNumberFormat="1" applyFont="1" applyFill="1" applyBorder="1" applyAlignment="1">
      <alignment horizontal="center"/>
    </xf>
    <xf numFmtId="0" fontId="6" fillId="0" borderId="3" xfId="0" applyFont="1" applyBorder="1" applyAlignment="1">
      <alignment horizontal="center"/>
    </xf>
    <xf numFmtId="3" fontId="6" fillId="9" borderId="3" xfId="0" applyNumberFormat="1" applyFont="1" applyFill="1" applyBorder="1" applyAlignment="1">
      <alignment horizontal="center"/>
    </xf>
    <xf numFmtId="3" fontId="6" fillId="9" borderId="4" xfId="0" applyNumberFormat="1" applyFont="1" applyFill="1" applyBorder="1" applyAlignment="1">
      <alignment horizontal="center"/>
    </xf>
    <xf numFmtId="37" fontId="6" fillId="12" borderId="5" xfId="0" applyNumberFormat="1" applyFont="1" applyFill="1" applyBorder="1" applyAlignment="1">
      <alignment horizontal="center"/>
    </xf>
    <xf numFmtId="37" fontId="4" fillId="4" borderId="0" xfId="0" applyNumberFormat="1" applyFont="1" applyFill="1" applyAlignment="1">
      <alignment horizontal="center" readingOrder="1"/>
    </xf>
    <xf numFmtId="37" fontId="4" fillId="8" borderId="0" xfId="0" applyNumberFormat="1" applyFont="1" applyFill="1" applyAlignment="1">
      <alignment horizontal="center"/>
    </xf>
    <xf numFmtId="37" fontId="4" fillId="12" borderId="5" xfId="0" applyNumberFormat="1" applyFont="1" applyFill="1" applyBorder="1" applyAlignment="1">
      <alignment horizontal="center"/>
    </xf>
    <xf numFmtId="0" fontId="3" fillId="0" borderId="1" xfId="0" applyFont="1" applyBorder="1"/>
    <xf numFmtId="0" fontId="7" fillId="0" borderId="0" xfId="0" applyFont="1" applyAlignment="1">
      <alignment horizontal="right"/>
    </xf>
    <xf numFmtId="0" fontId="2" fillId="3" borderId="26" xfId="0" applyFont="1" applyFill="1" applyBorder="1" applyAlignment="1">
      <alignment horizontal="center"/>
    </xf>
    <xf numFmtId="0" fontId="2" fillId="22" borderId="0" xfId="0" applyFont="1" applyFill="1" applyAlignment="1">
      <alignment horizontal="center"/>
    </xf>
    <xf numFmtId="2" fontId="21" fillId="18" borderId="33" xfId="0" applyNumberFormat="1" applyFont="1" applyFill="1" applyBorder="1" applyAlignment="1">
      <alignment horizontal="center"/>
    </xf>
    <xf numFmtId="0" fontId="21" fillId="0" borderId="34" xfId="0" applyFont="1" applyBorder="1" applyAlignment="1">
      <alignment horizontal="center"/>
    </xf>
    <xf numFmtId="0" fontId="1" fillId="0" borderId="0" xfId="0" quotePrefix="1" applyFont="1"/>
    <xf numFmtId="3" fontId="2" fillId="12" borderId="0" xfId="0" applyNumberFormat="1" applyFont="1" applyFill="1" applyAlignment="1">
      <alignment horizontal="center"/>
    </xf>
    <xf numFmtId="0" fontId="2" fillId="12" borderId="13" xfId="0" applyFont="1" applyFill="1" applyBorder="1" applyAlignment="1">
      <alignment horizontal="center"/>
    </xf>
    <xf numFmtId="164" fontId="1" fillId="12" borderId="0" xfId="1" applyNumberFormat="1" applyFont="1" applyFill="1"/>
    <xf numFmtId="165" fontId="1" fillId="12" borderId="0" xfId="1" applyNumberFormat="1" applyFont="1" applyFill="1"/>
    <xf numFmtId="10" fontId="1" fillId="12" borderId="0" xfId="1" applyNumberFormat="1" applyFont="1" applyFill="1"/>
    <xf numFmtId="165" fontId="2" fillId="0" borderId="0" xfId="0" applyNumberFormat="1" applyFont="1"/>
    <xf numFmtId="173" fontId="1" fillId="0" borderId="0" xfId="0" applyNumberFormat="1" applyFont="1" applyAlignment="1">
      <alignment horizontal="center"/>
    </xf>
    <xf numFmtId="2" fontId="1" fillId="23" borderId="0" xfId="0" applyNumberFormat="1" applyFont="1" applyFill="1" applyAlignment="1">
      <alignment horizontal="center"/>
    </xf>
    <xf numFmtId="0" fontId="32" fillId="0" borderId="0" xfId="0" applyFont="1"/>
    <xf numFmtId="164" fontId="1" fillId="9" borderId="11" xfId="0" applyNumberFormat="1" applyFont="1" applyFill="1" applyBorder="1" applyAlignment="1">
      <alignment horizontal="center"/>
    </xf>
    <xf numFmtId="0" fontId="1" fillId="20" borderId="0" xfId="0" applyFont="1" applyFill="1"/>
    <xf numFmtId="2" fontId="2" fillId="24" borderId="0" xfId="0" applyNumberFormat="1" applyFont="1" applyFill="1" applyAlignment="1">
      <alignment horizontal="center"/>
    </xf>
    <xf numFmtId="2" fontId="2" fillId="0" borderId="0" xfId="0" applyNumberFormat="1" applyFont="1" applyAlignment="1">
      <alignment horizontal="center"/>
    </xf>
    <xf numFmtId="0" fontId="2" fillId="24" borderId="0" xfId="0" applyFont="1" applyFill="1"/>
    <xf numFmtId="39" fontId="1" fillId="18" borderId="0" xfId="0" applyNumberFormat="1" applyFont="1" applyFill="1" applyAlignment="1">
      <alignment horizontal="center"/>
    </xf>
    <xf numFmtId="3" fontId="1" fillId="0" borderId="17" xfId="0" applyNumberFormat="1" applyFont="1" applyBorder="1" applyAlignment="1">
      <alignment horizontal="center"/>
    </xf>
    <xf numFmtId="3" fontId="1" fillId="0" borderId="18" xfId="0" applyNumberFormat="1" applyFont="1" applyBorder="1" applyAlignment="1">
      <alignment horizontal="center"/>
    </xf>
    <xf numFmtId="174" fontId="1" fillId="3" borderId="0" xfId="0" applyNumberFormat="1" applyFont="1" applyFill="1" applyAlignment="1">
      <alignment horizontal="center"/>
    </xf>
    <xf numFmtId="2" fontId="1" fillId="21" borderId="0" xfId="0" applyNumberFormat="1" applyFont="1" applyFill="1" applyAlignment="1">
      <alignment horizontal="center"/>
    </xf>
    <xf numFmtId="10" fontId="2" fillId="0" borderId="0" xfId="1" applyNumberFormat="1" applyFont="1" applyAlignment="1">
      <alignment horizontal="center"/>
    </xf>
    <xf numFmtId="164" fontId="1" fillId="0" borderId="0" xfId="1" applyNumberFormat="1" applyFont="1" applyBorder="1"/>
    <xf numFmtId="0" fontId="2" fillId="0" borderId="11" xfId="0" applyFont="1" applyBorder="1"/>
    <xf numFmtId="2" fontId="1" fillId="3" borderId="11" xfId="0" applyNumberFormat="1" applyFont="1" applyFill="1" applyBorder="1"/>
    <xf numFmtId="0" fontId="2" fillId="0" borderId="8" xfId="0" applyFont="1" applyBorder="1"/>
    <xf numFmtId="0" fontId="38" fillId="0" borderId="0" xfId="0" applyFont="1"/>
    <xf numFmtId="0" fontId="2" fillId="3" borderId="0" xfId="0" applyFont="1" applyFill="1" applyAlignment="1">
      <alignment horizontal="center" vertical="center"/>
    </xf>
    <xf numFmtId="0" fontId="2" fillId="0" borderId="9" xfId="0" applyFont="1" applyBorder="1"/>
    <xf numFmtId="0" fontId="2" fillId="0" borderId="18" xfId="0" applyFont="1" applyBorder="1"/>
    <xf numFmtId="0" fontId="2" fillId="0" borderId="12" xfId="0" applyFont="1" applyBorder="1"/>
    <xf numFmtId="2" fontId="1" fillId="12" borderId="0" xfId="0" applyNumberFormat="1" applyFont="1" applyFill="1" applyAlignment="1">
      <alignment horizontal="center"/>
    </xf>
    <xf numFmtId="8" fontId="1" fillId="12" borderId="0" xfId="0" applyNumberFormat="1" applyFont="1" applyFill="1" applyAlignment="1">
      <alignment horizontal="center"/>
    </xf>
    <xf numFmtId="0" fontId="1" fillId="2" borderId="0" xfId="0" applyFont="1" applyFill="1" applyAlignment="1">
      <alignment horizontal="center"/>
    </xf>
    <xf numFmtId="0" fontId="1" fillId="18" borderId="0" xfId="0" applyFont="1" applyFill="1" applyAlignment="1">
      <alignment horizontal="center"/>
    </xf>
    <xf numFmtId="2" fontId="2" fillId="3" borderId="0" xfId="0" applyNumberFormat="1" applyFont="1" applyFill="1"/>
    <xf numFmtId="10" fontId="2" fillId="3" borderId="0" xfId="1" applyNumberFormat="1" applyFont="1" applyFill="1"/>
    <xf numFmtId="0" fontId="2" fillId="7" borderId="0" xfId="0" applyFont="1" applyFill="1"/>
    <xf numFmtId="165" fontId="1" fillId="24" borderId="0" xfId="0" applyNumberFormat="1" applyFont="1" applyFill="1" applyAlignment="1">
      <alignment horizontal="center"/>
    </xf>
    <xf numFmtId="171" fontId="2" fillId="2" borderId="0" xfId="1" applyNumberFormat="1" applyFont="1" applyFill="1"/>
    <xf numFmtId="2" fontId="1" fillId="5" borderId="0" xfId="0" applyNumberFormat="1" applyFont="1" applyFill="1" applyAlignment="1">
      <alignment horizontal="center"/>
    </xf>
    <xf numFmtId="175" fontId="1" fillId="0" borderId="0" xfId="0" applyNumberFormat="1" applyFont="1" applyAlignment="1">
      <alignment horizontal="center"/>
    </xf>
    <xf numFmtId="173" fontId="2" fillId="3" borderId="0" xfId="0" applyNumberFormat="1" applyFont="1" applyFill="1" applyAlignment="1">
      <alignment horizontal="center"/>
    </xf>
    <xf numFmtId="176" fontId="1" fillId="3" borderId="0" xfId="0" applyNumberFormat="1" applyFont="1" applyFill="1" applyAlignment="1">
      <alignment horizontal="center"/>
    </xf>
    <xf numFmtId="0" fontId="2" fillId="25" borderId="0" xfId="0" applyFont="1" applyFill="1"/>
    <xf numFmtId="0" fontId="1" fillId="25" borderId="0" xfId="0" applyFont="1" applyFill="1"/>
    <xf numFmtId="0" fontId="1" fillId="0" borderId="1" xfId="0" applyFont="1" applyBorder="1" applyAlignment="1">
      <alignment horizontal="right"/>
    </xf>
    <xf numFmtId="0" fontId="8" fillId="0" borderId="0" xfId="0" applyFont="1" applyAlignment="1">
      <alignment horizontal="right"/>
    </xf>
    <xf numFmtId="3" fontId="1" fillId="14" borderId="0" xfId="0" applyNumberFormat="1" applyFont="1" applyFill="1" applyAlignment="1">
      <alignment horizontal="center"/>
    </xf>
    <xf numFmtId="0" fontId="1" fillId="0" borderId="33" xfId="0" applyFont="1" applyBorder="1"/>
    <xf numFmtId="0" fontId="1" fillId="0" borderId="20" xfId="0" applyFont="1" applyBorder="1"/>
    <xf numFmtId="0" fontId="1" fillId="0" borderId="34" xfId="0" applyFont="1" applyBorder="1"/>
    <xf numFmtId="0" fontId="39" fillId="0" borderId="0" xfId="0" applyFont="1"/>
    <xf numFmtId="0" fontId="4" fillId="3" borderId="0" xfId="0" applyFont="1" applyFill="1" applyAlignment="1">
      <alignment horizontal="center"/>
    </xf>
    <xf numFmtId="2" fontId="1" fillId="9" borderId="0" xfId="0" applyNumberFormat="1" applyFont="1" applyFill="1"/>
    <xf numFmtId="2" fontId="1" fillId="26" borderId="0" xfId="0" applyNumberFormat="1" applyFont="1" applyFill="1" applyAlignment="1">
      <alignment horizontal="center"/>
    </xf>
    <xf numFmtId="2" fontId="1" fillId="24" borderId="0" xfId="0" applyNumberFormat="1" applyFont="1" applyFill="1"/>
    <xf numFmtId="164" fontId="2" fillId="18" borderId="0" xfId="1" applyNumberFormat="1" applyFont="1" applyFill="1"/>
    <xf numFmtId="0" fontId="1" fillId="14" borderId="0" xfId="0" applyFont="1" applyFill="1" applyAlignment="1">
      <alignment horizontal="center"/>
    </xf>
    <xf numFmtId="0" fontId="31" fillId="0" borderId="0" xfId="0" applyFont="1"/>
    <xf numFmtId="0" fontId="40" fillId="0" borderId="0" xfId="0" applyFont="1" applyAlignment="1">
      <alignment horizontal="center"/>
    </xf>
    <xf numFmtId="177" fontId="1" fillId="3" borderId="0" xfId="0" applyNumberFormat="1" applyFont="1" applyFill="1" applyAlignment="1">
      <alignment horizontal="center"/>
    </xf>
    <xf numFmtId="177" fontId="4" fillId="3" borderId="0" xfId="0" applyNumberFormat="1" applyFont="1" applyFill="1" applyAlignment="1">
      <alignment horizontal="center"/>
    </xf>
    <xf numFmtId="177" fontId="1" fillId="0" borderId="0" xfId="0" applyNumberFormat="1" applyFont="1"/>
    <xf numFmtId="177" fontId="8" fillId="0" borderId="0" xfId="0" applyNumberFormat="1" applyFont="1"/>
    <xf numFmtId="0" fontId="41" fillId="0" borderId="0" xfId="0" applyFont="1" applyAlignment="1">
      <alignment horizontal="center"/>
    </xf>
    <xf numFmtId="178" fontId="1" fillId="0" borderId="0" xfId="0" applyNumberFormat="1" applyFont="1"/>
    <xf numFmtId="10" fontId="2" fillId="0" borderId="0" xfId="0" applyNumberFormat="1" applyFont="1"/>
    <xf numFmtId="178" fontId="1" fillId="26" borderId="0" xfId="0" applyNumberFormat="1" applyFont="1" applyFill="1" applyAlignment="1">
      <alignment horizontal="center"/>
    </xf>
    <xf numFmtId="2" fontId="1" fillId="27" borderId="0" xfId="0" applyNumberFormat="1" applyFont="1" applyFill="1" applyAlignment="1">
      <alignment horizontal="center"/>
    </xf>
    <xf numFmtId="2" fontId="1" fillId="27" borderId="0" xfId="0" applyNumberFormat="1" applyFont="1" applyFill="1" applyAlignment="1">
      <alignment horizontal="center" vertical="center"/>
    </xf>
    <xf numFmtId="2" fontId="2" fillId="2" borderId="0" xfId="0" applyNumberFormat="1" applyFont="1" applyFill="1" applyAlignment="1">
      <alignment horizontal="center" vertical="center"/>
    </xf>
    <xf numFmtId="10" fontId="2" fillId="10" borderId="0" xfId="0" applyNumberFormat="1" applyFont="1" applyFill="1"/>
    <xf numFmtId="0" fontId="17" fillId="0" borderId="34" xfId="0" applyFont="1" applyBorder="1" applyAlignment="1">
      <alignment horizontal="right" vertical="center"/>
    </xf>
    <xf numFmtId="10" fontId="17" fillId="0" borderId="34" xfId="0" applyNumberFormat="1" applyFont="1" applyBorder="1" applyAlignment="1">
      <alignment horizontal="right" vertical="center"/>
    </xf>
    <xf numFmtId="0" fontId="17" fillId="2" borderId="35" xfId="0" applyFont="1" applyFill="1" applyBorder="1" applyAlignment="1">
      <alignment horizontal="right" vertical="center"/>
    </xf>
    <xf numFmtId="9" fontId="17" fillId="2" borderId="36" xfId="0" applyNumberFormat="1" applyFont="1" applyFill="1" applyBorder="1" applyAlignment="1">
      <alignment horizontal="right" vertical="center"/>
    </xf>
    <xf numFmtId="0" fontId="17" fillId="2" borderId="37" xfId="0" applyFont="1" applyFill="1" applyBorder="1" applyAlignment="1">
      <alignment horizontal="right" vertical="center"/>
    </xf>
    <xf numFmtId="9" fontId="17" fillId="2" borderId="38" xfId="0" applyNumberFormat="1" applyFont="1" applyFill="1" applyBorder="1" applyAlignment="1">
      <alignment horizontal="right" vertical="center"/>
    </xf>
    <xf numFmtId="0" fontId="17" fillId="2" borderId="39" xfId="0" applyFont="1" applyFill="1" applyBorder="1" applyAlignment="1">
      <alignment horizontal="right" vertical="center"/>
    </xf>
    <xf numFmtId="9" fontId="17" fillId="2" borderId="40" xfId="0" applyNumberFormat="1" applyFont="1" applyFill="1" applyBorder="1" applyAlignment="1">
      <alignment horizontal="right" vertical="center"/>
    </xf>
    <xf numFmtId="0" fontId="17" fillId="3" borderId="35" xfId="0" applyFont="1" applyFill="1" applyBorder="1" applyAlignment="1">
      <alignment horizontal="right" vertical="center"/>
    </xf>
    <xf numFmtId="10" fontId="17" fillId="3" borderId="36" xfId="0" applyNumberFormat="1" applyFont="1" applyFill="1" applyBorder="1" applyAlignment="1">
      <alignment horizontal="right" vertical="center"/>
    </xf>
    <xf numFmtId="0" fontId="17" fillId="3" borderId="37" xfId="0" applyFont="1" applyFill="1" applyBorder="1" applyAlignment="1">
      <alignment horizontal="right" vertical="center"/>
    </xf>
    <xf numFmtId="10" fontId="17" fillId="3" borderId="38" xfId="0" applyNumberFormat="1" applyFont="1" applyFill="1" applyBorder="1" applyAlignment="1">
      <alignment horizontal="right" vertical="center"/>
    </xf>
    <xf numFmtId="0" fontId="17" fillId="3" borderId="39" xfId="0" applyFont="1" applyFill="1" applyBorder="1" applyAlignment="1">
      <alignment horizontal="right" vertical="center"/>
    </xf>
    <xf numFmtId="10" fontId="17" fillId="3" borderId="40" xfId="0" applyNumberFormat="1" applyFont="1" applyFill="1" applyBorder="1" applyAlignment="1">
      <alignment horizontal="right" vertical="center"/>
    </xf>
    <xf numFmtId="0" fontId="17" fillId="0" borderId="33" xfId="0" applyFont="1" applyBorder="1" applyAlignment="1">
      <alignment horizontal="right" vertical="center" readingOrder="2"/>
    </xf>
    <xf numFmtId="0" fontId="17" fillId="0" borderId="33" xfId="0" applyFont="1" applyBorder="1" applyAlignment="1">
      <alignment horizontal="right" vertical="center" wrapText="1" readingOrder="2"/>
    </xf>
    <xf numFmtId="2" fontId="2" fillId="18" borderId="0" xfId="0" applyNumberFormat="1" applyFont="1" applyFill="1" applyAlignment="1">
      <alignment horizontal="center"/>
    </xf>
    <xf numFmtId="4" fontId="2" fillId="0" borderId="0" xfId="0" applyNumberFormat="1" applyFont="1"/>
    <xf numFmtId="2" fontId="1" fillId="2" borderId="0" xfId="0" applyNumberFormat="1" applyFont="1" applyFill="1" applyAlignment="1">
      <alignment horizontal="center"/>
    </xf>
    <xf numFmtId="2" fontId="1" fillId="8" borderId="0" xfId="0" applyNumberFormat="1" applyFont="1" applyFill="1" applyAlignment="1">
      <alignment horizontal="center"/>
    </xf>
    <xf numFmtId="9" fontId="1" fillId="28" borderId="0" xfId="1" applyFont="1" applyFill="1" applyAlignment="1">
      <alignment horizontal="center"/>
    </xf>
    <xf numFmtId="9" fontId="2" fillId="0" borderId="7" xfId="0" applyNumberFormat="1" applyFont="1" applyBorder="1"/>
    <xf numFmtId="0" fontId="43" fillId="0" borderId="0" xfId="0" applyFont="1"/>
    <xf numFmtId="0" fontId="43" fillId="0" borderId="1" xfId="0" applyFont="1" applyBorder="1"/>
    <xf numFmtId="0" fontId="42" fillId="0" borderId="0" xfId="0" applyFont="1"/>
    <xf numFmtId="0" fontId="44" fillId="0" borderId="0" xfId="0" applyFont="1" applyAlignment="1">
      <alignment horizontal="center"/>
    </xf>
    <xf numFmtId="2" fontId="44" fillId="5" borderId="0" xfId="0" applyNumberFormat="1" applyFont="1" applyFill="1" applyAlignment="1">
      <alignment horizontal="center"/>
    </xf>
    <xf numFmtId="0" fontId="44" fillId="0" borderId="0" xfId="0" applyFont="1"/>
    <xf numFmtId="0" fontId="45" fillId="29" borderId="0" xfId="0" applyFont="1" applyFill="1" applyAlignment="1">
      <alignment horizontal="center"/>
    </xf>
    <xf numFmtId="0" fontId="44" fillId="6" borderId="0" xfId="0" applyFont="1" applyFill="1" applyAlignment="1">
      <alignment horizontal="center"/>
    </xf>
    <xf numFmtId="0" fontId="46" fillId="0" borderId="0" xfId="0" applyFont="1"/>
    <xf numFmtId="0" fontId="43" fillId="0" borderId="0" xfId="0" applyFont="1" applyAlignment="1">
      <alignment horizontal="right"/>
    </xf>
    <xf numFmtId="0" fontId="43" fillId="0" borderId="0" xfId="0" applyFont="1" applyAlignment="1">
      <alignment horizontal="center"/>
    </xf>
    <xf numFmtId="2" fontId="47" fillId="3" borderId="0" xfId="0" applyNumberFormat="1" applyFont="1" applyFill="1" applyAlignment="1">
      <alignment horizontal="center"/>
    </xf>
    <xf numFmtId="0" fontId="45" fillId="4" borderId="0" xfId="0" applyFont="1" applyFill="1"/>
    <xf numFmtId="0" fontId="45" fillId="0" borderId="0" xfId="0" applyFont="1" applyAlignment="1">
      <alignment horizontal="center"/>
    </xf>
    <xf numFmtId="2" fontId="44" fillId="7" borderId="13" xfId="0" applyNumberFormat="1" applyFont="1" applyFill="1" applyBorder="1" applyAlignment="1">
      <alignment horizontal="center"/>
    </xf>
    <xf numFmtId="2" fontId="44" fillId="0" borderId="0" xfId="0" applyNumberFormat="1" applyFont="1" applyAlignment="1">
      <alignment horizontal="center"/>
    </xf>
    <xf numFmtId="2" fontId="47" fillId="7" borderId="13" xfId="0" applyNumberFormat="1" applyFont="1" applyFill="1" applyBorder="1" applyAlignment="1">
      <alignment horizontal="center"/>
    </xf>
    <xf numFmtId="2" fontId="42" fillId="0" borderId="0" xfId="0" applyNumberFormat="1" applyFont="1"/>
    <xf numFmtId="0" fontId="45" fillId="0" borderId="0" xfId="0" applyFont="1"/>
    <xf numFmtId="0" fontId="44" fillId="0" borderId="1" xfId="0" applyFont="1" applyBorder="1" applyAlignment="1">
      <alignment horizontal="center"/>
    </xf>
    <xf numFmtId="2" fontId="44" fillId="3" borderId="0" xfId="0" applyNumberFormat="1" applyFont="1" applyFill="1" applyAlignment="1">
      <alignment horizontal="center"/>
    </xf>
    <xf numFmtId="0" fontId="43" fillId="3" borderId="0" xfId="0" applyFont="1" applyFill="1"/>
    <xf numFmtId="0" fontId="43" fillId="9" borderId="0" xfId="0" applyFont="1" applyFill="1"/>
    <xf numFmtId="0" fontId="1" fillId="9" borderId="0" xfId="0" applyFont="1" applyFill="1"/>
    <xf numFmtId="173" fontId="1" fillId="0" borderId="0" xfId="0" applyNumberFormat="1" applyFont="1"/>
    <xf numFmtId="0" fontId="1" fillId="4" borderId="0" xfId="0" applyFont="1" applyFill="1" applyAlignment="1">
      <alignment horizontal="center"/>
    </xf>
    <xf numFmtId="0" fontId="8" fillId="3" borderId="7" xfId="0" applyFont="1" applyFill="1" applyBorder="1"/>
    <xf numFmtId="0" fontId="5" fillId="3" borderId="8" xfId="0" applyFont="1" applyFill="1" applyBorder="1"/>
    <xf numFmtId="0" fontId="5" fillId="3" borderId="9" xfId="0" applyFont="1" applyFill="1" applyBorder="1"/>
    <xf numFmtId="164" fontId="34" fillId="0" borderId="0" xfId="1" applyNumberFormat="1" applyFont="1"/>
    <xf numFmtId="0" fontId="34" fillId="0" borderId="0" xfId="0" applyFont="1"/>
    <xf numFmtId="0" fontId="4" fillId="0" borderId="0" xfId="0" quotePrefix="1" applyFont="1"/>
    <xf numFmtId="0" fontId="50" fillId="0" borderId="10" xfId="0" applyFont="1" applyBorder="1"/>
    <xf numFmtId="0" fontId="8" fillId="0" borderId="11" xfId="0" applyFont="1" applyBorder="1"/>
    <xf numFmtId="9" fontId="5" fillId="0" borderId="0" xfId="0" applyNumberFormat="1" applyFont="1"/>
    <xf numFmtId="0" fontId="9" fillId="0" borderId="0" xfId="0" applyFont="1"/>
    <xf numFmtId="0" fontId="5" fillId="0" borderId="15" xfId="0" applyFont="1" applyBorder="1" applyAlignment="1">
      <alignment horizontal="center"/>
    </xf>
    <xf numFmtId="0" fontId="1" fillId="23" borderId="0" xfId="0" applyFont="1" applyFill="1"/>
    <xf numFmtId="0" fontId="52" fillId="0" borderId="0" xfId="0" applyFont="1"/>
    <xf numFmtId="0" fontId="53" fillId="0" borderId="0" xfId="0" applyFont="1"/>
    <xf numFmtId="0" fontId="8" fillId="0" borderId="2" xfId="0" applyFont="1" applyBorder="1"/>
    <xf numFmtId="0" fontId="8" fillId="0" borderId="7" xfId="0" applyFont="1" applyBorder="1"/>
    <xf numFmtId="14" fontId="8" fillId="0" borderId="9" xfId="0" applyNumberFormat="1" applyFont="1" applyBorder="1"/>
    <xf numFmtId="0" fontId="8" fillId="0" borderId="17" xfId="0" applyFont="1" applyBorder="1"/>
    <xf numFmtId="14" fontId="8" fillId="0" borderId="18" xfId="0" applyNumberFormat="1" applyFont="1" applyBorder="1"/>
    <xf numFmtId="0" fontId="8" fillId="0" borderId="10" xfId="0" applyFont="1" applyBorder="1"/>
    <xf numFmtId="14" fontId="8" fillId="0" borderId="12" xfId="0" applyNumberFormat="1" applyFont="1" applyBorder="1"/>
    <xf numFmtId="0" fontId="1" fillId="4" borderId="0" xfId="0" applyFont="1" applyFill="1"/>
    <xf numFmtId="0" fontId="3" fillId="30" borderId="0" xfId="0" applyFont="1" applyFill="1" applyAlignment="1">
      <alignment horizontal="center"/>
    </xf>
    <xf numFmtId="2" fontId="1" fillId="7" borderId="0" xfId="0" applyNumberFormat="1" applyFont="1" applyFill="1" applyAlignment="1">
      <alignment horizontal="center"/>
    </xf>
    <xf numFmtId="0" fontId="1" fillId="7" borderId="0" xfId="0" applyFont="1" applyFill="1"/>
    <xf numFmtId="9" fontId="1" fillId="0" borderId="6" xfId="0" applyNumberFormat="1" applyFont="1" applyBorder="1" applyAlignment="1">
      <alignment horizontal="center"/>
    </xf>
    <xf numFmtId="9" fontId="1" fillId="0" borderId="0" xfId="0" applyNumberFormat="1" applyFont="1" applyAlignment="1">
      <alignment horizontal="right"/>
    </xf>
    <xf numFmtId="165" fontId="2" fillId="3" borderId="0" xfId="1" applyNumberFormat="1" applyFont="1" applyFill="1"/>
    <xf numFmtId="2" fontId="2" fillId="0" borderId="0" xfId="0" applyNumberFormat="1" applyFont="1"/>
    <xf numFmtId="0" fontId="8" fillId="0" borderId="6" xfId="0" applyFont="1" applyBorder="1"/>
    <xf numFmtId="0" fontId="1" fillId="24" borderId="0" xfId="0" applyFont="1" applyFill="1"/>
    <xf numFmtId="166" fontId="4" fillId="0" borderId="0" xfId="0" applyNumberFormat="1" applyFont="1"/>
    <xf numFmtId="0" fontId="20" fillId="0" borderId="2" xfId="0" applyFont="1" applyBorder="1"/>
    <xf numFmtId="0" fontId="20" fillId="0" borderId="3" xfId="0" applyFont="1" applyBorder="1"/>
    <xf numFmtId="2" fontId="54" fillId="3" borderId="3" xfId="0" applyNumberFormat="1" applyFont="1" applyFill="1" applyBorder="1" applyAlignment="1">
      <alignment horizontal="center"/>
    </xf>
    <xf numFmtId="0" fontId="20" fillId="0" borderId="4" xfId="0" applyFont="1" applyBorder="1"/>
    <xf numFmtId="164" fontId="1" fillId="0" borderId="0" xfId="1" applyNumberFormat="1" applyFont="1" applyAlignment="1">
      <alignment horizontal="center" vertical="center"/>
    </xf>
    <xf numFmtId="0" fontId="3" fillId="17" borderId="0" xfId="0" applyFont="1" applyFill="1"/>
    <xf numFmtId="2" fontId="38" fillId="3" borderId="0" xfId="0" applyNumberFormat="1" applyFont="1" applyFill="1"/>
    <xf numFmtId="0" fontId="32" fillId="0" borderId="7" xfId="0" applyFont="1" applyBorder="1"/>
    <xf numFmtId="0" fontId="32" fillId="0" borderId="8" xfId="0" applyFont="1" applyBorder="1"/>
    <xf numFmtId="0" fontId="32" fillId="0" borderId="9" xfId="0" applyFont="1" applyBorder="1"/>
    <xf numFmtId="0" fontId="32" fillId="0" borderId="17" xfId="0" applyFont="1" applyBorder="1"/>
    <xf numFmtId="0" fontId="32" fillId="0" borderId="18" xfId="0" applyFont="1" applyBorder="1"/>
    <xf numFmtId="0" fontId="32" fillId="0" borderId="10" xfId="0" applyFont="1" applyBorder="1"/>
    <xf numFmtId="0" fontId="32" fillId="0" borderId="11" xfId="0" applyFont="1" applyBorder="1"/>
    <xf numFmtId="0" fontId="32" fillId="0" borderId="12" xfId="0" applyFont="1" applyBorder="1"/>
    <xf numFmtId="0" fontId="9" fillId="0" borderId="7" xfId="0" applyFont="1" applyBorder="1"/>
    <xf numFmtId="0" fontId="9" fillId="0" borderId="9" xfId="0" applyFont="1" applyBorder="1"/>
    <xf numFmtId="0" fontId="9" fillId="0" borderId="17" xfId="0" applyFont="1" applyBorder="1"/>
    <xf numFmtId="0" fontId="9" fillId="0" borderId="18" xfId="0" applyFont="1" applyBorder="1"/>
    <xf numFmtId="0" fontId="9" fillId="0" borderId="10" xfId="0" applyFont="1" applyBorder="1"/>
    <xf numFmtId="0" fontId="9" fillId="0" borderId="12" xfId="0" applyFont="1" applyBorder="1"/>
    <xf numFmtId="0" fontId="1" fillId="0" borderId="0" xfId="0" applyFont="1" applyAlignment="1">
      <alignment horizontal="left"/>
    </xf>
    <xf numFmtId="3" fontId="5" fillId="0" borderId="20" xfId="0" applyNumberFormat="1" applyFont="1" applyBorder="1" applyAlignment="1">
      <alignment horizontal="center"/>
    </xf>
    <xf numFmtId="0" fontId="55" fillId="0" borderId="0" xfId="0" applyFont="1"/>
    <xf numFmtId="0" fontId="56" fillId="0" borderId="0" xfId="0" applyFont="1"/>
    <xf numFmtId="0" fontId="2" fillId="0" borderId="1" xfId="0" applyFont="1" applyBorder="1" applyAlignment="1">
      <alignment horizontal="center"/>
    </xf>
    <xf numFmtId="0" fontId="1" fillId="4" borderId="0" xfId="0" applyFont="1" applyFill="1" applyAlignment="1">
      <alignment horizontal="center"/>
    </xf>
    <xf numFmtId="0" fontId="1" fillId="3" borderId="0" xfId="0" applyFont="1" applyFill="1" applyAlignment="1">
      <alignment horizontal="center" vertical="center"/>
    </xf>
    <xf numFmtId="1" fontId="1" fillId="2" borderId="0" xfId="0" applyNumberFormat="1" applyFont="1" applyFill="1" applyAlignment="1">
      <alignment horizontal="center" vertical="center"/>
    </xf>
    <xf numFmtId="0" fontId="1" fillId="0" borderId="0" xfId="0" applyFont="1" applyAlignment="1">
      <alignment horizontal="center"/>
    </xf>
    <xf numFmtId="164" fontId="4" fillId="3" borderId="0" xfId="1" applyNumberFormat="1" applyFont="1" applyFill="1" applyAlignment="1">
      <alignment horizontal="center" vertical="center"/>
    </xf>
    <xf numFmtId="164" fontId="1" fillId="3" borderId="0" xfId="1" applyNumberFormat="1" applyFont="1" applyFill="1" applyAlignment="1">
      <alignment horizontal="center" vertical="center"/>
    </xf>
    <xf numFmtId="0" fontId="9" fillId="0" borderId="0" xfId="0" applyFont="1" applyAlignment="1">
      <alignment horizontal="center" wrapText="1"/>
    </xf>
    <xf numFmtId="0" fontId="9" fillId="0" borderId="0" xfId="0" applyFont="1" applyAlignment="1">
      <alignment horizontal="center"/>
    </xf>
    <xf numFmtId="0" fontId="34" fillId="0" borderId="0" xfId="0" applyFont="1" applyAlignment="1">
      <alignment horizontal="right" wrapText="1"/>
    </xf>
    <xf numFmtId="0" fontId="1" fillId="0" borderId="19" xfId="0" applyFont="1" applyBorder="1" applyAlignment="1">
      <alignment horizontal="center" vertical="center"/>
    </xf>
    <xf numFmtId="0" fontId="1" fillId="0" borderId="0" xfId="0" applyFont="1" applyAlignment="1">
      <alignment horizontal="center" vertical="center"/>
    </xf>
    <xf numFmtId="0" fontId="2" fillId="0" borderId="0" xfId="0" applyFont="1" applyAlignment="1">
      <alignment horizontal="right"/>
    </xf>
    <xf numFmtId="2" fontId="1" fillId="0" borderId="0" xfId="0" applyNumberFormat="1" applyFont="1" applyAlignment="1">
      <alignment horizontal="center" vertical="center"/>
    </xf>
    <xf numFmtId="0" fontId="2" fillId="3" borderId="0" xfId="0" applyFont="1" applyFill="1" applyAlignment="1">
      <alignment horizontal="center" vertical="center"/>
    </xf>
    <xf numFmtId="10" fontId="1" fillId="0" borderId="0" xfId="1" applyNumberFormat="1" applyFont="1" applyAlignment="1">
      <alignment horizontal="center" vertical="center"/>
    </xf>
    <xf numFmtId="3" fontId="4" fillId="0" borderId="19" xfId="0" applyNumberFormat="1" applyFont="1" applyBorder="1" applyAlignment="1">
      <alignment horizontal="center" vertical="center"/>
    </xf>
    <xf numFmtId="3" fontId="4" fillId="0" borderId="0" xfId="0" applyNumberFormat="1" applyFont="1" applyAlignment="1">
      <alignment horizontal="center" vertical="center"/>
    </xf>
    <xf numFmtId="0" fontId="2" fillId="3" borderId="0" xfId="0" applyFont="1" applyFill="1" applyAlignment="1">
      <alignment horizontal="center"/>
    </xf>
    <xf numFmtId="0" fontId="1" fillId="0" borderId="21" xfId="0" applyFont="1" applyBorder="1" applyAlignment="1">
      <alignment horizontal="right"/>
    </xf>
    <xf numFmtId="0" fontId="1" fillId="0" borderId="22" xfId="0" applyFont="1" applyBorder="1" applyAlignment="1">
      <alignment horizontal="right"/>
    </xf>
    <xf numFmtId="165" fontId="1" fillId="0" borderId="0" xfId="1" applyNumberFormat="1" applyFont="1" applyAlignment="1">
      <alignment horizontal="center" vertical="center"/>
    </xf>
    <xf numFmtId="10" fontId="1" fillId="3" borderId="0" xfId="1" applyNumberFormat="1" applyFont="1" applyFill="1" applyAlignment="1">
      <alignment horizontal="center" vertical="center"/>
    </xf>
    <xf numFmtId="0" fontId="5" fillId="0" borderId="0" xfId="0" applyFont="1" applyAlignment="1">
      <alignment horizontal="center"/>
    </xf>
    <xf numFmtId="0" fontId="1" fillId="0" borderId="27" xfId="0" applyFont="1" applyBorder="1" applyAlignment="1">
      <alignment horizontal="center" wrapText="1"/>
    </xf>
    <xf numFmtId="0" fontId="1" fillId="0" borderId="19" xfId="0" applyFont="1" applyBorder="1" applyAlignment="1">
      <alignment horizontal="center"/>
    </xf>
    <xf numFmtId="0" fontId="1" fillId="0" borderId="28" xfId="0" applyFont="1" applyBorder="1" applyAlignment="1">
      <alignment horizontal="center"/>
    </xf>
    <xf numFmtId="0" fontId="1" fillId="0" borderId="29" xfId="0" applyFont="1" applyBorder="1" applyAlignment="1">
      <alignment horizontal="center"/>
    </xf>
    <xf numFmtId="0" fontId="1" fillId="0" borderId="30" xfId="0" applyFont="1" applyBorder="1" applyAlignment="1">
      <alignment horizontal="center"/>
    </xf>
    <xf numFmtId="0" fontId="1" fillId="0" borderId="31" xfId="0" applyFont="1" applyBorder="1" applyAlignment="1">
      <alignment horizontal="center"/>
    </xf>
    <xf numFmtId="0" fontId="1" fillId="0" borderId="1" xfId="0" applyFont="1" applyBorder="1" applyAlignment="1">
      <alignment horizontal="center"/>
    </xf>
    <xf numFmtId="0" fontId="1" fillId="0" borderId="32" xfId="0" applyFont="1" applyBorder="1" applyAlignment="1">
      <alignment horizontal="center"/>
    </xf>
    <xf numFmtId="0" fontId="1" fillId="0" borderId="21" xfId="0" applyFont="1" applyBorder="1" applyAlignment="1">
      <alignment horizontal="center"/>
    </xf>
    <xf numFmtId="0" fontId="1" fillId="0" borderId="26" xfId="0" applyFont="1" applyBorder="1" applyAlignment="1">
      <alignment horizontal="center"/>
    </xf>
    <xf numFmtId="0" fontId="1" fillId="0" borderId="22" xfId="0" applyFont="1" applyBorder="1" applyAlignment="1">
      <alignment horizontal="center"/>
    </xf>
    <xf numFmtId="0" fontId="1" fillId="0" borderId="6" xfId="0" applyFont="1" applyBorder="1" applyAlignment="1">
      <alignment horizontal="center" vertical="center" wrapText="1"/>
    </xf>
    <xf numFmtId="0" fontId="1" fillId="0" borderId="6" xfId="0" applyFont="1" applyBorder="1" applyAlignment="1">
      <alignment horizontal="center" vertical="center"/>
    </xf>
    <xf numFmtId="0" fontId="1" fillId="0" borderId="33" xfId="0" applyFont="1" applyBorder="1" applyAlignment="1">
      <alignment horizontal="center" vertical="center"/>
    </xf>
    <xf numFmtId="0" fontId="1" fillId="0" borderId="34" xfId="0" applyFont="1" applyBorder="1" applyAlignment="1">
      <alignment horizontal="center" vertical="center"/>
    </xf>
    <xf numFmtId="165" fontId="1" fillId="0" borderId="0" xfId="1" applyNumberFormat="1" applyFont="1" applyBorder="1" applyAlignment="1">
      <alignment horizontal="center" vertical="center"/>
    </xf>
    <xf numFmtId="165" fontId="1" fillId="0" borderId="11" xfId="1" applyNumberFormat="1" applyFont="1" applyBorder="1" applyAlignment="1">
      <alignment horizontal="center" vertical="center"/>
    </xf>
    <xf numFmtId="0" fontId="1" fillId="14" borderId="0" xfId="0" applyFont="1" applyFill="1" applyAlignment="1">
      <alignment horizontal="center"/>
    </xf>
    <xf numFmtId="0" fontId="1" fillId="0" borderId="0" xfId="0" applyFont="1" applyBorder="1"/>
    <xf numFmtId="0" fontId="1" fillId="0" borderId="0" xfId="0" applyFont="1" applyBorder="1" applyAlignment="1">
      <alignment horizontal="center"/>
    </xf>
    <xf numFmtId="16" fontId="1" fillId="0" borderId="0" xfId="0" applyNumberFormat="1" applyFont="1" applyBorder="1" applyAlignment="1">
      <alignment horizontal="center"/>
    </xf>
    <xf numFmtId="0" fontId="5" fillId="0" borderId="0" xfId="0" applyFont="1" applyBorder="1"/>
    <xf numFmtId="0" fontId="5" fillId="0" borderId="0" xfId="0" applyFont="1" applyBorder="1" applyAlignment="1">
      <alignment horizontal="center"/>
    </xf>
    <xf numFmtId="0" fontId="3" fillId="30" borderId="0" xfId="0" applyFont="1" applyFill="1"/>
    <xf numFmtId="1" fontId="1" fillId="12" borderId="0" xfId="0" applyNumberFormat="1" applyFont="1" applyFill="1" applyAlignment="1">
      <alignment horizontal="center"/>
    </xf>
    <xf numFmtId="0" fontId="1" fillId="0" borderId="9" xfId="0" applyFont="1" applyBorder="1" applyAlignment="1">
      <alignment horizontal="center"/>
    </xf>
    <xf numFmtId="1" fontId="1" fillId="12" borderId="10" xfId="0" applyNumberFormat="1" applyFont="1" applyFill="1" applyBorder="1" applyAlignment="1">
      <alignment horizontal="center"/>
    </xf>
    <xf numFmtId="1" fontId="1" fillId="12" borderId="12" xfId="0" applyNumberFormat="1" applyFont="1" applyFill="1" applyBorder="1" applyAlignment="1">
      <alignment horizontal="center"/>
    </xf>
    <xf numFmtId="0" fontId="4" fillId="0" borderId="19" xfId="0" applyFont="1" applyBorder="1" applyAlignment="1">
      <alignment horizontal="right" vertical="center"/>
    </xf>
    <xf numFmtId="0" fontId="4" fillId="0" borderId="0" xfId="0" applyFont="1" applyAlignment="1">
      <alignment horizontal="right" vertical="center"/>
    </xf>
    <xf numFmtId="0" fontId="4" fillId="0" borderId="0" xfId="0" applyFont="1" applyFill="1" applyBorder="1"/>
    <xf numFmtId="0" fontId="6" fillId="0" borderId="0" xfId="0" applyFont="1" applyFill="1" applyBorder="1"/>
    <xf numFmtId="0" fontId="5" fillId="0" borderId="0" xfId="0" applyFont="1" applyFill="1" applyBorder="1"/>
    <xf numFmtId="0" fontId="1" fillId="0" borderId="0" xfId="0" applyFont="1" applyFill="1" applyBorder="1"/>
    <xf numFmtId="0" fontId="1" fillId="5" borderId="0" xfId="0" applyFont="1" applyFill="1" applyAlignment="1">
      <alignment horizontal="center"/>
    </xf>
    <xf numFmtId="3" fontId="4" fillId="5" borderId="0" xfId="0" applyNumberFormat="1" applyFont="1" applyFill="1" applyAlignment="1">
      <alignment horizontal="center"/>
    </xf>
    <xf numFmtId="3" fontId="1" fillId="18" borderId="0" xfId="0" applyNumberFormat="1" applyFont="1" applyFill="1"/>
    <xf numFmtId="0" fontId="1" fillId="0" borderId="41" xfId="0" applyFont="1" applyBorder="1" applyAlignment="1">
      <alignment horizontal="center"/>
    </xf>
    <xf numFmtId="3" fontId="1" fillId="0" borderId="11" xfId="0" applyNumberFormat="1" applyFont="1" applyBorder="1" applyAlignment="1">
      <alignment horizontal="center"/>
    </xf>
  </cellXfs>
  <cellStyles count="2">
    <cellStyle name="Normal" xfId="0" builtinId="0"/>
    <cellStyle name="Percent" xfId="1" builtinId="5"/>
  </cellStyles>
  <dxfs count="0"/>
  <tableStyles count="0" defaultTableStyle="TableStyleMedium2" defaultPivotStyle="PivotStyleLight16"/>
  <colors>
    <mruColors>
      <color rgb="FF00FDFF"/>
      <color rgb="FFD883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_rels/drawing7.xml.rels><?xml version="1.0" encoding="UTF-8" standalone="yes"?>
<Relationships xmlns="http://schemas.openxmlformats.org/package/2006/relationships"><Relationship Id="rId3" Type="http://schemas.openxmlformats.org/officeDocument/2006/relationships/image" Target="../media/image12.png"/><Relationship Id="rId7" Type="http://schemas.openxmlformats.org/officeDocument/2006/relationships/image" Target="../media/image16.png"/><Relationship Id="rId2"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png"/><Relationship Id="rId4" Type="http://schemas.openxmlformats.org/officeDocument/2006/relationships/image" Target="../media/image13.png"/></Relationships>
</file>

<file path=xl/drawings/_rels/drawing8.xml.rels><?xml version="1.0" encoding="UTF-8" standalone="yes"?>
<Relationships xmlns="http://schemas.openxmlformats.org/package/2006/relationships"><Relationship Id="rId3" Type="http://schemas.openxmlformats.org/officeDocument/2006/relationships/image" Target="../media/image19.png"/><Relationship Id="rId7" Type="http://schemas.openxmlformats.org/officeDocument/2006/relationships/image" Target="../media/image23.png"/><Relationship Id="rId2" Type="http://schemas.openxmlformats.org/officeDocument/2006/relationships/image" Target="../media/image18.png"/><Relationship Id="rId1" Type="http://schemas.openxmlformats.org/officeDocument/2006/relationships/image" Target="../media/image17.png"/><Relationship Id="rId6" Type="http://schemas.openxmlformats.org/officeDocument/2006/relationships/image" Target="../media/image22.png"/><Relationship Id="rId5" Type="http://schemas.openxmlformats.org/officeDocument/2006/relationships/image" Target="../media/image21.png"/><Relationship Id="rId4" Type="http://schemas.openxmlformats.org/officeDocument/2006/relationships/image" Target="../media/image20.png"/></Relationships>
</file>

<file path=xl/drawings/_rels/drawing9.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6.png"/><Relationship Id="rId3" Type="http://schemas.openxmlformats.org/officeDocument/2006/relationships/image" Target="../media/image26.png"/><Relationship Id="rId7" Type="http://schemas.openxmlformats.org/officeDocument/2006/relationships/image" Target="../media/image30.png"/><Relationship Id="rId12" Type="http://schemas.openxmlformats.org/officeDocument/2006/relationships/image" Target="../media/image35.png"/><Relationship Id="rId2" Type="http://schemas.openxmlformats.org/officeDocument/2006/relationships/image" Target="../media/image25.png"/><Relationship Id="rId16" Type="http://schemas.openxmlformats.org/officeDocument/2006/relationships/image" Target="../media/image39.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4.png"/><Relationship Id="rId5" Type="http://schemas.openxmlformats.org/officeDocument/2006/relationships/image" Target="../media/image28.png"/><Relationship Id="rId15" Type="http://schemas.openxmlformats.org/officeDocument/2006/relationships/image" Target="../media/image38.png"/><Relationship Id="rId10" Type="http://schemas.openxmlformats.org/officeDocument/2006/relationships/image" Target="../media/image33.png"/><Relationship Id="rId4" Type="http://schemas.openxmlformats.org/officeDocument/2006/relationships/image" Target="../media/image27.png"/><Relationship Id="rId9" Type="http://schemas.openxmlformats.org/officeDocument/2006/relationships/image" Target="../media/image32.png"/><Relationship Id="rId14" Type="http://schemas.openxmlformats.org/officeDocument/2006/relationships/image" Target="../media/image37.png"/></Relationships>
</file>

<file path=xl/drawings/_rels/drawing10.xml.rels><?xml version="1.0" encoding="UTF-8" standalone="yes"?>
<Relationships xmlns="http://schemas.openxmlformats.org/package/2006/relationships"><Relationship Id="rId8" Type="http://schemas.openxmlformats.org/officeDocument/2006/relationships/image" Target="../media/image47.png"/><Relationship Id="rId13" Type="http://schemas.openxmlformats.org/officeDocument/2006/relationships/image" Target="../media/image52.png"/><Relationship Id="rId18" Type="http://schemas.openxmlformats.org/officeDocument/2006/relationships/image" Target="../media/image57.png"/><Relationship Id="rId3" Type="http://schemas.openxmlformats.org/officeDocument/2006/relationships/image" Target="../media/image42.png"/><Relationship Id="rId21" Type="http://schemas.openxmlformats.org/officeDocument/2006/relationships/image" Target="../media/image60.png"/><Relationship Id="rId7" Type="http://schemas.openxmlformats.org/officeDocument/2006/relationships/image" Target="../media/image46.png"/><Relationship Id="rId12" Type="http://schemas.openxmlformats.org/officeDocument/2006/relationships/image" Target="../media/image51.png"/><Relationship Id="rId17" Type="http://schemas.openxmlformats.org/officeDocument/2006/relationships/image" Target="../media/image56.png"/><Relationship Id="rId2" Type="http://schemas.openxmlformats.org/officeDocument/2006/relationships/image" Target="../media/image41.png"/><Relationship Id="rId16" Type="http://schemas.openxmlformats.org/officeDocument/2006/relationships/image" Target="../media/image55.png"/><Relationship Id="rId20" Type="http://schemas.openxmlformats.org/officeDocument/2006/relationships/image" Target="../media/image59.png"/><Relationship Id="rId1" Type="http://schemas.openxmlformats.org/officeDocument/2006/relationships/image" Target="../media/image40.png"/><Relationship Id="rId6" Type="http://schemas.openxmlformats.org/officeDocument/2006/relationships/image" Target="../media/image45.png"/><Relationship Id="rId11" Type="http://schemas.openxmlformats.org/officeDocument/2006/relationships/image" Target="../media/image50.png"/><Relationship Id="rId5" Type="http://schemas.openxmlformats.org/officeDocument/2006/relationships/image" Target="../media/image44.png"/><Relationship Id="rId15" Type="http://schemas.openxmlformats.org/officeDocument/2006/relationships/image" Target="../media/image54.png"/><Relationship Id="rId10" Type="http://schemas.openxmlformats.org/officeDocument/2006/relationships/image" Target="../media/image49.png"/><Relationship Id="rId19" Type="http://schemas.openxmlformats.org/officeDocument/2006/relationships/image" Target="../media/image58.png"/><Relationship Id="rId4" Type="http://schemas.openxmlformats.org/officeDocument/2006/relationships/image" Target="../media/image43.png"/><Relationship Id="rId9" Type="http://schemas.openxmlformats.org/officeDocument/2006/relationships/image" Target="../media/image48.png"/><Relationship Id="rId14" Type="http://schemas.openxmlformats.org/officeDocument/2006/relationships/image" Target="../media/image53.png"/></Relationships>
</file>

<file path=xl/drawings/_rels/drawing11.xml.rels><?xml version="1.0" encoding="UTF-8" standalone="yes"?>
<Relationships xmlns="http://schemas.openxmlformats.org/package/2006/relationships"><Relationship Id="rId8" Type="http://schemas.openxmlformats.org/officeDocument/2006/relationships/image" Target="../media/image68.png"/><Relationship Id="rId3" Type="http://schemas.openxmlformats.org/officeDocument/2006/relationships/image" Target="../media/image63.png"/><Relationship Id="rId7" Type="http://schemas.openxmlformats.org/officeDocument/2006/relationships/image" Target="../media/image67.png"/><Relationship Id="rId2" Type="http://schemas.openxmlformats.org/officeDocument/2006/relationships/image" Target="../media/image62.png"/><Relationship Id="rId1" Type="http://schemas.openxmlformats.org/officeDocument/2006/relationships/image" Target="../media/image61.png"/><Relationship Id="rId6" Type="http://schemas.openxmlformats.org/officeDocument/2006/relationships/image" Target="../media/image66.png"/><Relationship Id="rId5" Type="http://schemas.openxmlformats.org/officeDocument/2006/relationships/image" Target="../media/image65.png"/><Relationship Id="rId4" Type="http://schemas.openxmlformats.org/officeDocument/2006/relationships/image" Target="../media/image64.png"/><Relationship Id="rId9" Type="http://schemas.openxmlformats.org/officeDocument/2006/relationships/image" Target="../media/image69.png"/></Relationships>
</file>

<file path=xl/drawings/_rels/drawing12.xml.rels><?xml version="1.0" encoding="UTF-8" standalone="yes"?>
<Relationships xmlns="http://schemas.openxmlformats.org/package/2006/relationships"><Relationship Id="rId1" Type="http://schemas.openxmlformats.org/officeDocument/2006/relationships/image" Target="../media/image70.png"/></Relationships>
</file>

<file path=xl/drawings/drawing1.xml><?xml version="1.0" encoding="utf-8"?>
<xdr:wsDr xmlns:xdr="http://schemas.openxmlformats.org/drawingml/2006/spreadsheetDrawing" xmlns:a="http://schemas.openxmlformats.org/drawingml/2006/main">
  <xdr:twoCellAnchor>
    <xdr:from>
      <xdr:col>3</xdr:col>
      <xdr:colOff>330372</xdr:colOff>
      <xdr:row>181</xdr:row>
      <xdr:rowOff>42905</xdr:rowOff>
    </xdr:from>
    <xdr:to>
      <xdr:col>3</xdr:col>
      <xdr:colOff>454798</xdr:colOff>
      <xdr:row>182</xdr:row>
      <xdr:rowOff>102973</xdr:rowOff>
    </xdr:to>
    <xdr:sp macro="" textlink="">
      <xdr:nvSpPr>
        <xdr:cNvPr id="2" name="Down Arrow 1">
          <a:extLst>
            <a:ext uri="{FF2B5EF4-FFF2-40B4-BE49-F238E27FC236}">
              <a16:creationId xmlns:a16="http://schemas.microsoft.com/office/drawing/2014/main" id="{33C7C415-CA32-4EF2-A964-48282AAD885E}"/>
            </a:ext>
          </a:extLst>
        </xdr:cNvPr>
        <xdr:cNvSpPr/>
      </xdr:nvSpPr>
      <xdr:spPr>
        <a:xfrm>
          <a:off x="13493947365" y="30570101"/>
          <a:ext cx="124426" cy="261723"/>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2</xdr:col>
      <xdr:colOff>347534</xdr:colOff>
      <xdr:row>181</xdr:row>
      <xdr:rowOff>68648</xdr:rowOff>
    </xdr:from>
    <xdr:to>
      <xdr:col>2</xdr:col>
      <xdr:colOff>471959</xdr:colOff>
      <xdr:row>187</xdr:row>
      <xdr:rowOff>55777</xdr:rowOff>
    </xdr:to>
    <xdr:sp macro="" textlink="">
      <xdr:nvSpPr>
        <xdr:cNvPr id="3" name="Down Arrow 2">
          <a:extLst>
            <a:ext uri="{FF2B5EF4-FFF2-40B4-BE49-F238E27FC236}">
              <a16:creationId xmlns:a16="http://schemas.microsoft.com/office/drawing/2014/main" id="{B38E5F6D-B48B-744C-FAE1-449EA9680360}"/>
            </a:ext>
          </a:extLst>
        </xdr:cNvPr>
        <xdr:cNvSpPr/>
      </xdr:nvSpPr>
      <xdr:spPr>
        <a:xfrm>
          <a:off x="13494753987" y="30595844"/>
          <a:ext cx="124425" cy="1197061"/>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2</xdr:col>
      <xdr:colOff>314134</xdr:colOff>
      <xdr:row>191</xdr:row>
      <xdr:rowOff>8975</xdr:rowOff>
    </xdr:from>
    <xdr:to>
      <xdr:col>2</xdr:col>
      <xdr:colOff>467471</xdr:colOff>
      <xdr:row>193</xdr:row>
      <xdr:rowOff>19876</xdr:rowOff>
    </xdr:to>
    <xdr:sp macro="" textlink="">
      <xdr:nvSpPr>
        <xdr:cNvPr id="4" name="Down Arrow 3">
          <a:extLst>
            <a:ext uri="{FF2B5EF4-FFF2-40B4-BE49-F238E27FC236}">
              <a16:creationId xmlns:a16="http://schemas.microsoft.com/office/drawing/2014/main" id="{2A355CD3-4F12-2DAC-D73F-90C02BBD51AC}"/>
            </a:ext>
          </a:extLst>
        </xdr:cNvPr>
        <xdr:cNvSpPr/>
      </xdr:nvSpPr>
      <xdr:spPr>
        <a:xfrm>
          <a:off x="13526549349" y="32602650"/>
          <a:ext cx="153337" cy="414788"/>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1</xdr:col>
      <xdr:colOff>358775</xdr:colOff>
      <xdr:row>181</xdr:row>
      <xdr:rowOff>43249</xdr:rowOff>
    </xdr:from>
    <xdr:to>
      <xdr:col>1</xdr:col>
      <xdr:colOff>462434</xdr:colOff>
      <xdr:row>182</xdr:row>
      <xdr:rowOff>184151</xdr:rowOff>
    </xdr:to>
    <xdr:sp macro="" textlink="">
      <xdr:nvSpPr>
        <xdr:cNvPr id="6" name="Down Arrow 5">
          <a:extLst>
            <a:ext uri="{FF2B5EF4-FFF2-40B4-BE49-F238E27FC236}">
              <a16:creationId xmlns:a16="http://schemas.microsoft.com/office/drawing/2014/main" id="{0C5E0226-8372-B187-8D5F-8BF043A360F1}"/>
            </a:ext>
          </a:extLst>
        </xdr:cNvPr>
        <xdr:cNvSpPr/>
      </xdr:nvSpPr>
      <xdr:spPr>
        <a:xfrm>
          <a:off x="13523704066" y="30802649"/>
          <a:ext cx="103659" cy="344102"/>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3</xdr:col>
      <xdr:colOff>693057</xdr:colOff>
      <xdr:row>287</xdr:row>
      <xdr:rowOff>166914</xdr:rowOff>
    </xdr:from>
    <xdr:to>
      <xdr:col>3</xdr:col>
      <xdr:colOff>707571</xdr:colOff>
      <xdr:row>291</xdr:row>
      <xdr:rowOff>199571</xdr:rowOff>
    </xdr:to>
    <xdr:cxnSp macro="">
      <xdr:nvCxnSpPr>
        <xdr:cNvPr id="8" name="Straight Arrow Connector 7">
          <a:extLst>
            <a:ext uri="{FF2B5EF4-FFF2-40B4-BE49-F238E27FC236}">
              <a16:creationId xmlns:a16="http://schemas.microsoft.com/office/drawing/2014/main" id="{EBD28CA6-7958-F0AB-9D26-DE51E81CBB7F}"/>
            </a:ext>
          </a:extLst>
        </xdr:cNvPr>
        <xdr:cNvCxnSpPr/>
      </xdr:nvCxnSpPr>
      <xdr:spPr>
        <a:xfrm>
          <a:off x="13551527743" y="41097200"/>
          <a:ext cx="14514" cy="84545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707571</xdr:colOff>
      <xdr:row>287</xdr:row>
      <xdr:rowOff>156029</xdr:rowOff>
    </xdr:from>
    <xdr:to>
      <xdr:col>1</xdr:col>
      <xdr:colOff>722085</xdr:colOff>
      <xdr:row>291</xdr:row>
      <xdr:rowOff>188686</xdr:rowOff>
    </xdr:to>
    <xdr:cxnSp macro="">
      <xdr:nvCxnSpPr>
        <xdr:cNvPr id="9" name="Straight Arrow Connector 8">
          <a:extLst>
            <a:ext uri="{FF2B5EF4-FFF2-40B4-BE49-F238E27FC236}">
              <a16:creationId xmlns:a16="http://schemas.microsoft.com/office/drawing/2014/main" id="{5D9AF839-0D45-AA4F-7220-6DA298FF11C8}"/>
            </a:ext>
          </a:extLst>
        </xdr:cNvPr>
        <xdr:cNvCxnSpPr/>
      </xdr:nvCxnSpPr>
      <xdr:spPr>
        <a:xfrm>
          <a:off x="13553167858" y="41086315"/>
          <a:ext cx="14514" cy="84545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686387</xdr:colOff>
      <xdr:row>406</xdr:row>
      <xdr:rowOff>132138</xdr:rowOff>
    </xdr:from>
    <xdr:to>
      <xdr:col>5</xdr:col>
      <xdr:colOff>84422</xdr:colOff>
      <xdr:row>408</xdr:row>
      <xdr:rowOff>36705</xdr:rowOff>
    </xdr:to>
    <xdr:cxnSp macro="">
      <xdr:nvCxnSpPr>
        <xdr:cNvPr id="7" name="Straight Arrow Connector 6">
          <a:extLst>
            <a:ext uri="{FF2B5EF4-FFF2-40B4-BE49-F238E27FC236}">
              <a16:creationId xmlns:a16="http://schemas.microsoft.com/office/drawing/2014/main" id="{A8764731-04BA-EDEE-035B-F3D0AE15BCA4}"/>
            </a:ext>
          </a:extLst>
        </xdr:cNvPr>
        <xdr:cNvCxnSpPr/>
      </xdr:nvCxnSpPr>
      <xdr:spPr>
        <a:xfrm>
          <a:off x="13526854422" y="53574913"/>
          <a:ext cx="223902" cy="308324"/>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xdr:col>
      <xdr:colOff>661042</xdr:colOff>
      <xdr:row>317</xdr:row>
      <xdr:rowOff>49599</xdr:rowOff>
    </xdr:from>
    <xdr:ext cx="1988965" cy="3157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60C0FFBB-DD93-84EE-CDA6-211105ABE107}"/>
                </a:ext>
              </a:extLst>
            </xdr:cNvPr>
            <xdr:cNvSpPr txBox="1"/>
          </xdr:nvSpPr>
          <xdr:spPr>
            <a:xfrm>
              <a:off x="13515822926" y="47344078"/>
              <a:ext cx="1988965"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𝐼𝑛𝑓𝑖𝑛𝑖𝑡𝑒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𝑃𝑀𝑇</m:t>
                        </m:r>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11" name="TextBox 10">
              <a:extLst>
                <a:ext uri="{FF2B5EF4-FFF2-40B4-BE49-F238E27FC236}">
                  <a16:creationId xmlns:a16="http://schemas.microsoft.com/office/drawing/2014/main" id="{60C0FFBB-DD93-84EE-CDA6-211105ABE107}"/>
                </a:ext>
              </a:extLst>
            </xdr:cNvPr>
            <xdr:cNvSpPr txBox="1"/>
          </xdr:nvSpPr>
          <xdr:spPr>
            <a:xfrm>
              <a:off x="13515822926" y="47344078"/>
              <a:ext cx="1988965"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𝑃𝑉_𝐼𝑛𝑓𝑖𝑛𝑖𝑡𝑒=𝑃𝑀𝑇/𝑟</a:t>
              </a:r>
              <a:endParaRPr lang="en-US" sz="1100"/>
            </a:p>
          </xdr:txBody>
        </xdr:sp>
      </mc:Fallback>
    </mc:AlternateContent>
    <xdr:clientData/>
  </xdr:oneCellAnchor>
  <xdr:oneCellAnchor>
    <xdr:from>
      <xdr:col>4</xdr:col>
      <xdr:colOff>693093</xdr:colOff>
      <xdr:row>323</xdr:row>
      <xdr:rowOff>177801</xdr:rowOff>
    </xdr:from>
    <xdr:ext cx="1988965" cy="32464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AB99F175-6735-0AD2-323C-D3EF6825240F}"/>
                </a:ext>
              </a:extLst>
            </xdr:cNvPr>
            <xdr:cNvSpPr txBox="1"/>
          </xdr:nvSpPr>
          <xdr:spPr>
            <a:xfrm>
              <a:off x="13515790875" y="48698211"/>
              <a:ext cx="1988965"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𝐼𝑛𝑓𝑖𝑛𝑖𝑡𝑒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he-IL" sz="1100" b="0" i="1">
                            <a:latin typeface="Cambria Math" panose="02040503050406030204" pitchFamily="18" charset="0"/>
                          </a:rPr>
                          <m:t>70,000</m:t>
                        </m:r>
                      </m:num>
                      <m:den>
                        <m:r>
                          <a:rPr lang="he-IL" sz="1100" b="0" i="1">
                            <a:latin typeface="Cambria Math" panose="02040503050406030204" pitchFamily="18" charset="0"/>
                          </a:rPr>
                          <m:t>7%</m:t>
                        </m:r>
                      </m:den>
                    </m:f>
                    <m:r>
                      <a:rPr lang="he-IL" sz="1100" b="0" i="1">
                        <a:latin typeface="Cambria Math" panose="02040503050406030204" pitchFamily="18" charset="0"/>
                      </a:rPr>
                      <m:t>=</m:t>
                    </m:r>
                  </m:oMath>
                </m:oMathPara>
              </a14:m>
              <a:endParaRPr lang="en-US" sz="1100"/>
            </a:p>
          </xdr:txBody>
        </xdr:sp>
      </mc:Choice>
      <mc:Fallback xmlns="">
        <xdr:sp macro="" textlink="">
          <xdr:nvSpPr>
            <xdr:cNvPr id="12" name="TextBox 11">
              <a:extLst>
                <a:ext uri="{FF2B5EF4-FFF2-40B4-BE49-F238E27FC236}">
                  <a16:creationId xmlns:a16="http://schemas.microsoft.com/office/drawing/2014/main" id="{AB99F175-6735-0AD2-323C-D3EF6825240F}"/>
                </a:ext>
              </a:extLst>
            </xdr:cNvPr>
            <xdr:cNvSpPr txBox="1"/>
          </xdr:nvSpPr>
          <xdr:spPr>
            <a:xfrm>
              <a:off x="13515790875" y="48698211"/>
              <a:ext cx="1988965"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𝑃𝑉_𝐼𝑛𝑓𝑖𝑛𝑖𝑡𝑒=</a:t>
              </a:r>
              <a:r>
                <a:rPr lang="he-IL" sz="1100" b="0" i="0">
                  <a:latin typeface="Cambria Math" panose="02040503050406030204" pitchFamily="18" charset="0"/>
                </a:rPr>
                <a:t>70,000</a:t>
              </a:r>
              <a:r>
                <a:rPr lang="en-US" sz="1100" b="0" i="0">
                  <a:latin typeface="Cambria Math" panose="02040503050406030204" pitchFamily="18" charset="0"/>
                </a:rPr>
                <a:t>/(</a:t>
              </a:r>
              <a:r>
                <a:rPr lang="he-IL" sz="1100" b="0" i="0">
                  <a:latin typeface="Cambria Math" panose="02040503050406030204" pitchFamily="18" charset="0"/>
                </a:rPr>
                <a:t>7%</a:t>
              </a:r>
              <a:r>
                <a:rPr lang="en-US" sz="1100" b="0" i="0">
                  <a:latin typeface="Cambria Math" panose="02040503050406030204" pitchFamily="18" charset="0"/>
                </a:rPr>
                <a:t>)</a:t>
              </a:r>
              <a:r>
                <a:rPr lang="he-IL" sz="1100" b="0" i="0">
                  <a:latin typeface="Cambria Math" panose="02040503050406030204" pitchFamily="18" charset="0"/>
                </a:rPr>
                <a:t>=</a:t>
              </a:r>
              <a:endParaRPr lang="en-US" sz="1100"/>
            </a:p>
          </xdr:txBody>
        </xdr:sp>
      </mc:Fallback>
    </mc:AlternateContent>
    <xdr:clientData/>
  </xdr:oneCellAnchor>
  <xdr:twoCellAnchor>
    <xdr:from>
      <xdr:col>4</xdr:col>
      <xdr:colOff>703355</xdr:colOff>
      <xdr:row>358</xdr:row>
      <xdr:rowOff>130433</xdr:rowOff>
    </xdr:from>
    <xdr:to>
      <xdr:col>5</xdr:col>
      <xdr:colOff>108320</xdr:colOff>
      <xdr:row>360</xdr:row>
      <xdr:rowOff>50504</xdr:rowOff>
    </xdr:to>
    <xdr:cxnSp macro="">
      <xdr:nvCxnSpPr>
        <xdr:cNvPr id="14" name="Straight Arrow Connector 13">
          <a:extLst>
            <a:ext uri="{FF2B5EF4-FFF2-40B4-BE49-F238E27FC236}">
              <a16:creationId xmlns:a16="http://schemas.microsoft.com/office/drawing/2014/main" id="{9FF3CC1B-11A4-6973-8018-A5EFAD267D1F}"/>
            </a:ext>
          </a:extLst>
        </xdr:cNvPr>
        <xdr:cNvCxnSpPr/>
      </xdr:nvCxnSpPr>
      <xdr:spPr>
        <a:xfrm>
          <a:off x="13520819680" y="73193533"/>
          <a:ext cx="293965" cy="326471"/>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xdr:col>
      <xdr:colOff>501783</xdr:colOff>
      <xdr:row>365</xdr:row>
      <xdr:rowOff>4618</xdr:rowOff>
    </xdr:from>
    <xdr:ext cx="2231270" cy="182807"/>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55F0294A-C53E-BCD9-70ED-7E1AF037C72C}"/>
                </a:ext>
              </a:extLst>
            </xdr:cNvPr>
            <xdr:cNvSpPr txBox="1"/>
          </xdr:nvSpPr>
          <xdr:spPr>
            <a:xfrm>
              <a:off x="13526266108" y="57127975"/>
              <a:ext cx="2231270" cy="1828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𝐼𝑛𝑓𝑖𝑛𝑖𝑡𝑒</m:t>
                        </m:r>
                      </m:sub>
                    </m:sSub>
                    <m:r>
                      <a:rPr lang="en-US" sz="1100" b="0" i="1">
                        <a:latin typeface="Cambria Math" panose="02040503050406030204" pitchFamily="18" charset="0"/>
                      </a:rPr>
                      <m:t>+</m:t>
                    </m:r>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𝑅𝑒𝑔𝑢𝑙𝑎𝑟</m:t>
                        </m:r>
                      </m:sub>
                    </m:sSub>
                  </m:oMath>
                </m:oMathPara>
              </a14:m>
              <a:endParaRPr lang="en-US" sz="1100"/>
            </a:p>
          </xdr:txBody>
        </xdr:sp>
      </mc:Choice>
      <mc:Fallback xmlns="">
        <xdr:sp macro="" textlink="">
          <xdr:nvSpPr>
            <xdr:cNvPr id="16" name="TextBox 15">
              <a:extLst>
                <a:ext uri="{FF2B5EF4-FFF2-40B4-BE49-F238E27FC236}">
                  <a16:creationId xmlns:a16="http://schemas.microsoft.com/office/drawing/2014/main" id="{55F0294A-C53E-BCD9-70ED-7E1AF037C72C}"/>
                </a:ext>
              </a:extLst>
            </xdr:cNvPr>
            <xdr:cNvSpPr txBox="1"/>
          </xdr:nvSpPr>
          <xdr:spPr>
            <a:xfrm>
              <a:off x="13526266108" y="57127975"/>
              <a:ext cx="2231270" cy="1828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𝑃𝑉=𝑃𝑉_𝐼𝑛𝑓𝑖𝑛𝑖𝑡𝑒+𝑃𝑉_𝑅𝑒𝑔𝑢𝑙𝑎𝑟</a:t>
              </a:r>
              <a:endParaRPr lang="en-US" sz="1100"/>
            </a:p>
          </xdr:txBody>
        </xdr:sp>
      </mc:Fallback>
    </mc:AlternateContent>
    <xdr:clientData/>
  </xdr:oneCellAnchor>
  <xdr:oneCellAnchor>
    <xdr:from>
      <xdr:col>2</xdr:col>
      <xdr:colOff>301958</xdr:colOff>
      <xdr:row>366</xdr:row>
      <xdr:rowOff>146716</xdr:rowOff>
    </xdr:from>
    <xdr:ext cx="5117634" cy="486672"/>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E12E3C32-18FB-A01D-086E-108BA271315F}"/>
                </a:ext>
              </a:extLst>
            </xdr:cNvPr>
            <xdr:cNvSpPr txBox="1"/>
          </xdr:nvSpPr>
          <xdr:spPr>
            <a:xfrm>
              <a:off x="13525231457" y="57474338"/>
              <a:ext cx="5117634" cy="4866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f>
                      <m:fPr>
                        <m:ctrlPr>
                          <a:rPr lang="en-US" sz="1100" b="0" i="1">
                            <a:latin typeface="Cambria Math" panose="02040503050406030204" pitchFamily="18" charset="0"/>
                          </a:rPr>
                        </m:ctrlPr>
                      </m:fPr>
                      <m:num>
                        <m:f>
                          <m:fPr>
                            <m:ctrlPr>
                              <a:rPr lang="en-US" sz="1100" b="0" i="1">
                                <a:latin typeface="Cambria Math" panose="02040503050406030204" pitchFamily="18" charset="0"/>
                              </a:rPr>
                            </m:ctrlPr>
                          </m:fPr>
                          <m:num>
                            <m:r>
                              <a:rPr lang="en-US" sz="1100" b="0" i="1">
                                <a:latin typeface="Cambria Math" panose="02040503050406030204" pitchFamily="18" charset="0"/>
                              </a:rPr>
                              <m:t>90,000</m:t>
                            </m:r>
                          </m:num>
                          <m:den>
                            <m:r>
                              <a:rPr lang="en-US" sz="1100" b="0" i="1">
                                <a:latin typeface="Cambria Math" panose="02040503050406030204" pitchFamily="18" charset="0"/>
                              </a:rPr>
                              <m:t>7%</m:t>
                            </m:r>
                          </m:den>
                        </m:f>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1+7%</m:t>
                                </m:r>
                              </m:e>
                            </m:d>
                          </m:e>
                          <m:sup>
                            <m:r>
                              <a:rPr lang="en-US" sz="1100" b="0" i="1">
                                <a:latin typeface="Cambria Math" panose="02040503050406030204" pitchFamily="18" charset="0"/>
                              </a:rPr>
                              <m:t>10</m:t>
                            </m:r>
                          </m:sup>
                        </m:sSup>
                      </m:den>
                    </m:f>
                    <m:r>
                      <a:rPr lang="en-US" sz="1100" b="0" i="1">
                        <a:latin typeface="Cambria Math" panose="02040503050406030204" pitchFamily="18" charset="0"/>
                      </a:rPr>
                      <m:t>+70,000∗</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1+7%</m:t>
                                    </m:r>
                                  </m:e>
                                </m:d>
                              </m:e>
                              <m:sup>
                                <m:r>
                                  <a:rPr lang="en-US" sz="1100" b="0" i="1">
                                    <a:latin typeface="Cambria Math" panose="02040503050406030204" pitchFamily="18" charset="0"/>
                                  </a:rPr>
                                  <m:t>10</m:t>
                                </m:r>
                              </m:sup>
                            </m:sSup>
                          </m:den>
                        </m:f>
                      </m:num>
                      <m:den>
                        <m:r>
                          <a:rPr lang="en-US" sz="1100" b="0" i="1">
                            <a:latin typeface="Cambria Math" panose="02040503050406030204" pitchFamily="18" charset="0"/>
                          </a:rPr>
                          <m:t>7%</m:t>
                        </m:r>
                      </m:den>
                    </m:f>
                    <m:r>
                      <a:rPr lang="en-US" sz="1100" b="0" i="0">
                        <a:latin typeface="Cambria Math" panose="02040503050406030204" pitchFamily="18" charset="0"/>
                      </a:rPr>
                      <m:t>=</m:t>
                    </m:r>
                  </m:oMath>
                </m:oMathPara>
              </a14:m>
              <a:endParaRPr lang="en-US" sz="1100"/>
            </a:p>
          </xdr:txBody>
        </xdr:sp>
      </mc:Choice>
      <mc:Fallback xmlns="">
        <xdr:sp macro="" textlink="">
          <xdr:nvSpPr>
            <xdr:cNvPr id="17" name="TextBox 16">
              <a:extLst>
                <a:ext uri="{FF2B5EF4-FFF2-40B4-BE49-F238E27FC236}">
                  <a16:creationId xmlns:a16="http://schemas.microsoft.com/office/drawing/2014/main" id="{E12E3C32-18FB-A01D-086E-108BA271315F}"/>
                </a:ext>
              </a:extLst>
            </xdr:cNvPr>
            <xdr:cNvSpPr txBox="1"/>
          </xdr:nvSpPr>
          <xdr:spPr>
            <a:xfrm>
              <a:off x="13525231457" y="57474338"/>
              <a:ext cx="5117634" cy="4866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𝑃𝑉=(90,000/(7%))/(1+7%)^10 +70,000∗(1−1/(1+7%)^10 )/(7%)=</a:t>
              </a:r>
              <a:endParaRPr lang="en-US" sz="1100"/>
            </a:p>
          </xdr:txBody>
        </xdr:sp>
      </mc:Fallback>
    </mc:AlternateContent>
    <xdr:clientData/>
  </xdr:oneCellAnchor>
  <xdr:twoCellAnchor>
    <xdr:from>
      <xdr:col>6</xdr:col>
      <xdr:colOff>284196</xdr:colOff>
      <xdr:row>369</xdr:row>
      <xdr:rowOff>31083</xdr:rowOff>
    </xdr:from>
    <xdr:to>
      <xdr:col>6</xdr:col>
      <xdr:colOff>288636</xdr:colOff>
      <xdr:row>371</xdr:row>
      <xdr:rowOff>57727</xdr:rowOff>
    </xdr:to>
    <xdr:cxnSp macro="">
      <xdr:nvCxnSpPr>
        <xdr:cNvPr id="18" name="Straight Arrow Connector 17">
          <a:extLst>
            <a:ext uri="{FF2B5EF4-FFF2-40B4-BE49-F238E27FC236}">
              <a16:creationId xmlns:a16="http://schemas.microsoft.com/office/drawing/2014/main" id="{8B06FADA-8805-67A0-87B0-AF9CD19E06F6}"/>
            </a:ext>
          </a:extLst>
        </xdr:cNvPr>
        <xdr:cNvCxnSpPr/>
      </xdr:nvCxnSpPr>
      <xdr:spPr>
        <a:xfrm>
          <a:off x="13527023112" y="57971503"/>
          <a:ext cx="4440" cy="4351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408532</xdr:colOff>
      <xdr:row>369</xdr:row>
      <xdr:rowOff>53286</xdr:rowOff>
    </xdr:from>
    <xdr:to>
      <xdr:col>4</xdr:col>
      <xdr:colOff>412972</xdr:colOff>
      <xdr:row>371</xdr:row>
      <xdr:rowOff>79930</xdr:rowOff>
    </xdr:to>
    <xdr:cxnSp macro="">
      <xdr:nvCxnSpPr>
        <xdr:cNvPr id="20" name="Straight Arrow Connector 19">
          <a:extLst>
            <a:ext uri="{FF2B5EF4-FFF2-40B4-BE49-F238E27FC236}">
              <a16:creationId xmlns:a16="http://schemas.microsoft.com/office/drawing/2014/main" id="{0DAB6E67-64EC-D6A0-861E-A5626B6B645E}"/>
            </a:ext>
          </a:extLst>
        </xdr:cNvPr>
        <xdr:cNvCxnSpPr/>
      </xdr:nvCxnSpPr>
      <xdr:spPr>
        <a:xfrm>
          <a:off x="13528586189" y="57993706"/>
          <a:ext cx="4440" cy="4351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390770</xdr:colOff>
      <xdr:row>368</xdr:row>
      <xdr:rowOff>204265</xdr:rowOff>
    </xdr:from>
    <xdr:to>
      <xdr:col>2</xdr:col>
      <xdr:colOff>395210</xdr:colOff>
      <xdr:row>371</xdr:row>
      <xdr:rowOff>26643</xdr:rowOff>
    </xdr:to>
    <xdr:cxnSp macro="">
      <xdr:nvCxnSpPr>
        <xdr:cNvPr id="21" name="Straight Arrow Connector 20">
          <a:extLst>
            <a:ext uri="{FF2B5EF4-FFF2-40B4-BE49-F238E27FC236}">
              <a16:creationId xmlns:a16="http://schemas.microsoft.com/office/drawing/2014/main" id="{6FCC3074-27C5-BADF-6B0F-827C985EB5C1}"/>
            </a:ext>
          </a:extLst>
        </xdr:cNvPr>
        <xdr:cNvCxnSpPr/>
      </xdr:nvCxnSpPr>
      <xdr:spPr>
        <a:xfrm>
          <a:off x="13530255839" y="57940419"/>
          <a:ext cx="4440" cy="4351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648322</xdr:colOff>
      <xdr:row>346</xdr:row>
      <xdr:rowOff>164300</xdr:rowOff>
    </xdr:from>
    <xdr:to>
      <xdr:col>14</xdr:col>
      <xdr:colOff>53287</xdr:colOff>
      <xdr:row>348</xdr:row>
      <xdr:rowOff>84371</xdr:rowOff>
    </xdr:to>
    <xdr:cxnSp macro="">
      <xdr:nvCxnSpPr>
        <xdr:cNvPr id="5" name="Straight Arrow Connector 4">
          <a:extLst>
            <a:ext uri="{FF2B5EF4-FFF2-40B4-BE49-F238E27FC236}">
              <a16:creationId xmlns:a16="http://schemas.microsoft.com/office/drawing/2014/main" id="{AB049189-C190-424A-A040-3E1AD54A46C3}"/>
            </a:ext>
          </a:extLst>
        </xdr:cNvPr>
        <xdr:cNvCxnSpPr/>
      </xdr:nvCxnSpPr>
      <xdr:spPr>
        <a:xfrm>
          <a:off x="13504514985" y="56296970"/>
          <a:ext cx="229468" cy="33232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10</xdr:col>
      <xdr:colOff>784608</xdr:colOff>
      <xdr:row>352</xdr:row>
      <xdr:rowOff>19948</xdr:rowOff>
    </xdr:from>
    <xdr:ext cx="5117634" cy="486672"/>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EE42F75-DF65-DE4E-9408-E64CE73420A8}"/>
                </a:ext>
              </a:extLst>
            </xdr:cNvPr>
            <xdr:cNvSpPr txBox="1"/>
          </xdr:nvSpPr>
          <xdr:spPr>
            <a:xfrm>
              <a:off x="13494503622" y="54915864"/>
              <a:ext cx="5117634" cy="4866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f>
                      <m:fPr>
                        <m:ctrlPr>
                          <a:rPr lang="en-US" sz="1100" b="0" i="1">
                            <a:latin typeface="Cambria Math" panose="02040503050406030204" pitchFamily="18" charset="0"/>
                          </a:rPr>
                        </m:ctrlPr>
                      </m:fPr>
                      <m:num>
                        <m:f>
                          <m:fPr>
                            <m:ctrlPr>
                              <a:rPr lang="en-US" sz="1100" b="0" i="1">
                                <a:latin typeface="Cambria Math" panose="02040503050406030204" pitchFamily="18" charset="0"/>
                              </a:rPr>
                            </m:ctrlPr>
                          </m:fPr>
                          <m:num>
                            <m:r>
                              <a:rPr lang="he-IL" sz="1100" b="0" i="1">
                                <a:latin typeface="Cambria Math" panose="02040503050406030204" pitchFamily="18" charset="0"/>
                              </a:rPr>
                              <m:t>23,000</m:t>
                            </m:r>
                          </m:num>
                          <m:den>
                            <m:r>
                              <a:rPr lang="he-IL" sz="1100" b="0" i="1">
                                <a:latin typeface="Cambria Math" panose="02040503050406030204" pitchFamily="18" charset="0"/>
                              </a:rPr>
                              <m:t>8</m:t>
                            </m:r>
                            <m:r>
                              <a:rPr lang="en-US" sz="1100" b="0" i="1">
                                <a:latin typeface="Cambria Math" panose="02040503050406030204" pitchFamily="18" charset="0"/>
                              </a:rPr>
                              <m:t>%</m:t>
                            </m:r>
                          </m:den>
                        </m:f>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8</m:t>
                                </m:r>
                                <m:r>
                                  <a:rPr lang="en-US" sz="1100" b="0" i="1">
                                    <a:latin typeface="Cambria Math" panose="02040503050406030204" pitchFamily="18" charset="0"/>
                                  </a:rPr>
                                  <m:t>%</m:t>
                                </m:r>
                              </m:e>
                            </m:d>
                          </m:e>
                          <m:sup>
                            <m:r>
                              <a:rPr lang="he-IL" sz="1100" b="0" i="1">
                                <a:latin typeface="Cambria Math" panose="02040503050406030204" pitchFamily="18" charset="0"/>
                              </a:rPr>
                              <m:t>15</m:t>
                            </m:r>
                          </m:sup>
                        </m:sSup>
                      </m:den>
                    </m:f>
                    <m:r>
                      <a:rPr lang="en-US" sz="1100" b="0" i="1">
                        <a:latin typeface="Cambria Math" panose="02040503050406030204" pitchFamily="18" charset="0"/>
                      </a:rPr>
                      <m:t>+</m:t>
                    </m:r>
                    <m:r>
                      <a:rPr lang="he-IL" sz="1100" b="0" i="1">
                        <a:latin typeface="Cambria Math" panose="02040503050406030204" pitchFamily="18" charset="0"/>
                      </a:rPr>
                      <m:t>32,000</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8</m:t>
                                    </m:r>
                                    <m:r>
                                      <a:rPr lang="en-US" sz="1100" b="0" i="1">
                                        <a:latin typeface="Cambria Math" panose="02040503050406030204" pitchFamily="18" charset="0"/>
                                      </a:rPr>
                                      <m:t>%</m:t>
                                    </m:r>
                                  </m:e>
                                </m:d>
                              </m:e>
                              <m:sup>
                                <m:r>
                                  <a:rPr lang="he-IL" sz="1100" b="0" i="1">
                                    <a:latin typeface="Cambria Math" panose="02040503050406030204" pitchFamily="18" charset="0"/>
                                  </a:rPr>
                                  <m:t>15</m:t>
                                </m:r>
                              </m:sup>
                            </m:sSup>
                          </m:den>
                        </m:f>
                      </m:num>
                      <m:den>
                        <m:r>
                          <a:rPr lang="he-IL" sz="1100" b="0" i="1">
                            <a:latin typeface="Cambria Math" panose="02040503050406030204" pitchFamily="18" charset="0"/>
                          </a:rPr>
                          <m:t>8</m:t>
                        </m:r>
                        <m:r>
                          <a:rPr lang="en-US" sz="1100" b="0" i="1">
                            <a:latin typeface="Cambria Math" panose="02040503050406030204" pitchFamily="18" charset="0"/>
                          </a:rPr>
                          <m:t>%</m:t>
                        </m:r>
                      </m:den>
                    </m:f>
                    <m:r>
                      <a:rPr lang="en-US" sz="1100" b="0" i="0">
                        <a:latin typeface="Cambria Math" panose="02040503050406030204" pitchFamily="18" charset="0"/>
                      </a:rPr>
                      <m:t>=364,535</m:t>
                    </m:r>
                  </m:oMath>
                </m:oMathPara>
              </a14:m>
              <a:endParaRPr lang="en-US" sz="1100"/>
            </a:p>
          </xdr:txBody>
        </xdr:sp>
      </mc:Choice>
      <mc:Fallback xmlns="">
        <xdr:sp macro="" textlink="">
          <xdr:nvSpPr>
            <xdr:cNvPr id="10" name="TextBox 9">
              <a:extLst>
                <a:ext uri="{FF2B5EF4-FFF2-40B4-BE49-F238E27FC236}">
                  <a16:creationId xmlns:a16="http://schemas.microsoft.com/office/drawing/2014/main" id="{BEE42F75-DF65-DE4E-9408-E64CE73420A8}"/>
                </a:ext>
              </a:extLst>
            </xdr:cNvPr>
            <xdr:cNvSpPr txBox="1"/>
          </xdr:nvSpPr>
          <xdr:spPr>
            <a:xfrm>
              <a:off x="13494503622" y="54915864"/>
              <a:ext cx="5117634" cy="4866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a:t>
              </a:r>
              <a:r>
                <a:rPr lang="he-IL" sz="1100" b="0" i="0">
                  <a:latin typeface="Cambria Math" panose="02040503050406030204" pitchFamily="18" charset="0"/>
                </a:rPr>
                <a:t>23,000</a:t>
              </a:r>
              <a:r>
                <a:rPr lang="en-US" sz="1100" b="0" i="0">
                  <a:latin typeface="Cambria Math" panose="02040503050406030204" pitchFamily="18" charset="0"/>
                </a:rPr>
                <a:t>/(</a:t>
              </a:r>
              <a:r>
                <a:rPr lang="he-IL" sz="1100" b="0" i="0">
                  <a:latin typeface="Cambria Math" panose="02040503050406030204" pitchFamily="18" charset="0"/>
                </a:rPr>
                <a:t>8</a:t>
              </a:r>
              <a:r>
                <a:rPr lang="en-US" sz="1100" b="0" i="0">
                  <a:latin typeface="Cambria Math" panose="02040503050406030204" pitchFamily="18" charset="0"/>
                </a:rPr>
                <a:t>%))/(1+</a:t>
              </a:r>
              <a:r>
                <a:rPr lang="he-IL" sz="1100" b="0" i="0">
                  <a:latin typeface="Cambria Math" panose="02040503050406030204" pitchFamily="18" charset="0"/>
                </a:rPr>
                <a:t>8</a:t>
              </a:r>
              <a:r>
                <a:rPr lang="en-US" sz="1100" b="0" i="0">
                  <a:latin typeface="Cambria Math" panose="02040503050406030204" pitchFamily="18" charset="0"/>
                </a:rPr>
                <a:t>%)^</a:t>
              </a:r>
              <a:r>
                <a:rPr lang="he-IL" sz="1100" b="0" i="0">
                  <a:latin typeface="Cambria Math" panose="02040503050406030204" pitchFamily="18" charset="0"/>
                </a:rPr>
                <a:t>15</a:t>
              </a:r>
              <a:r>
                <a:rPr lang="en-US" sz="1100" b="0" i="0">
                  <a:latin typeface="Cambria Math" panose="02040503050406030204" pitchFamily="18" charset="0"/>
                </a:rPr>
                <a:t> +</a:t>
              </a:r>
              <a:r>
                <a:rPr lang="he-IL" sz="1100" b="0" i="0">
                  <a:latin typeface="Cambria Math" panose="02040503050406030204" pitchFamily="18" charset="0"/>
                </a:rPr>
                <a:t>32,000</a:t>
              </a:r>
              <a:r>
                <a:rPr lang="en-US" sz="1100" b="0" i="0">
                  <a:latin typeface="Cambria Math" panose="02040503050406030204" pitchFamily="18" charset="0"/>
                </a:rPr>
                <a:t>∗(1−1/(1+</a:t>
              </a:r>
              <a:r>
                <a:rPr lang="he-IL" sz="1100" b="0" i="0">
                  <a:latin typeface="Cambria Math" panose="02040503050406030204" pitchFamily="18" charset="0"/>
                </a:rPr>
                <a:t>8</a:t>
              </a:r>
              <a:r>
                <a:rPr lang="en-US" sz="1100" b="0" i="0">
                  <a:latin typeface="Cambria Math" panose="02040503050406030204" pitchFamily="18" charset="0"/>
                </a:rPr>
                <a:t>%)^</a:t>
              </a:r>
              <a:r>
                <a:rPr lang="he-IL" sz="1100" b="0" i="0">
                  <a:latin typeface="Cambria Math" panose="02040503050406030204" pitchFamily="18" charset="0"/>
                </a:rPr>
                <a:t>15</a:t>
              </a:r>
              <a:r>
                <a:rPr lang="en-US" sz="1100" b="0" i="0">
                  <a:latin typeface="Cambria Math" panose="02040503050406030204" pitchFamily="18" charset="0"/>
                </a:rPr>
                <a:t> )/(</a:t>
              </a:r>
              <a:r>
                <a:rPr lang="he-IL" sz="1100" b="0" i="0">
                  <a:latin typeface="Cambria Math" panose="02040503050406030204" pitchFamily="18" charset="0"/>
                </a:rPr>
                <a:t>8</a:t>
              </a:r>
              <a:r>
                <a:rPr lang="en-US" sz="1100" b="0" i="0">
                  <a:latin typeface="Cambria Math" panose="02040503050406030204" pitchFamily="18" charset="0"/>
                </a:rPr>
                <a:t>%)=364,535</a:t>
              </a:r>
              <a:endParaRPr lang="en-US" sz="1100"/>
            </a:p>
          </xdr:txBody>
        </xdr:sp>
      </mc:Fallback>
    </mc:AlternateContent>
    <xdr:clientData/>
  </xdr:oneCellAnchor>
  <xdr:twoCellAnchor>
    <xdr:from>
      <xdr:col>0</xdr:col>
      <xdr:colOff>725237</xdr:colOff>
      <xdr:row>218</xdr:row>
      <xdr:rowOff>80211</xdr:rowOff>
    </xdr:from>
    <xdr:to>
      <xdr:col>7</xdr:col>
      <xdr:colOff>407737</xdr:colOff>
      <xdr:row>218</xdr:row>
      <xdr:rowOff>90237</xdr:rowOff>
    </xdr:to>
    <xdr:cxnSp macro="">
      <xdr:nvCxnSpPr>
        <xdr:cNvPr id="23" name="Straight Arrow Connector 22">
          <a:extLst>
            <a:ext uri="{FF2B5EF4-FFF2-40B4-BE49-F238E27FC236}">
              <a16:creationId xmlns:a16="http://schemas.microsoft.com/office/drawing/2014/main" id="{3BF35258-4FEB-AC2E-6539-1650F7EB2E29}"/>
            </a:ext>
          </a:extLst>
        </xdr:cNvPr>
        <xdr:cNvCxnSpPr/>
      </xdr:nvCxnSpPr>
      <xdr:spPr>
        <a:xfrm>
          <a:off x="13518832500" y="44319658"/>
          <a:ext cx="5524500" cy="1002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387682</xdr:colOff>
      <xdr:row>218</xdr:row>
      <xdr:rowOff>25065</xdr:rowOff>
    </xdr:from>
    <xdr:to>
      <xdr:col>3</xdr:col>
      <xdr:colOff>412749</xdr:colOff>
      <xdr:row>219</xdr:row>
      <xdr:rowOff>100262</xdr:rowOff>
    </xdr:to>
    <xdr:sp macro="" textlink="">
      <xdr:nvSpPr>
        <xdr:cNvPr id="24" name="Left Brace 23">
          <a:extLst>
            <a:ext uri="{FF2B5EF4-FFF2-40B4-BE49-F238E27FC236}">
              <a16:creationId xmlns:a16="http://schemas.microsoft.com/office/drawing/2014/main" id="{E47B2E71-F6D3-324E-34E9-19744B7B16A9}"/>
            </a:ext>
          </a:extLst>
        </xdr:cNvPr>
        <xdr:cNvSpPr/>
      </xdr:nvSpPr>
      <xdr:spPr>
        <a:xfrm rot="16200000">
          <a:off x="13522864752" y="43769880"/>
          <a:ext cx="279065" cy="1676067"/>
        </a:xfrm>
        <a:prstGeom prst="leftBrace">
          <a:avLst/>
        </a:prstGeom>
      </xdr:spPr>
      <xdr:style>
        <a:lnRef idx="2">
          <a:schemeClr val="accent2"/>
        </a:lnRef>
        <a:fillRef idx="0">
          <a:schemeClr val="accent2"/>
        </a:fillRef>
        <a:effectRef idx="1">
          <a:schemeClr val="accent2"/>
        </a:effectRef>
        <a:fontRef idx="minor">
          <a:schemeClr val="tx1"/>
        </a:fontRef>
      </xdr:style>
      <xdr:txBody>
        <a:bodyPr vertOverflow="clip" horzOverflow="clip" rtlCol="0" anchor="t"/>
        <a:lstStyle/>
        <a:p>
          <a:pPr algn="r" rtl="1"/>
          <a:endParaRPr lang="en-US" sz="1100"/>
        </a:p>
      </xdr:txBody>
    </xdr:sp>
    <xdr:clientData/>
  </xdr:twoCellAnchor>
  <xdr:twoCellAnchor>
    <xdr:from>
      <xdr:col>2</xdr:col>
      <xdr:colOff>324184</xdr:colOff>
      <xdr:row>223</xdr:row>
      <xdr:rowOff>53474</xdr:rowOff>
    </xdr:from>
    <xdr:to>
      <xdr:col>2</xdr:col>
      <xdr:colOff>327526</xdr:colOff>
      <xdr:row>225</xdr:row>
      <xdr:rowOff>3342</xdr:rowOff>
    </xdr:to>
    <xdr:cxnSp macro="">
      <xdr:nvCxnSpPr>
        <xdr:cNvPr id="26" name="Straight Connector 25">
          <a:extLst>
            <a:ext uri="{FF2B5EF4-FFF2-40B4-BE49-F238E27FC236}">
              <a16:creationId xmlns:a16="http://schemas.microsoft.com/office/drawing/2014/main" id="{6D213BF1-6A20-F343-AF99-101040994C16}"/>
            </a:ext>
          </a:extLst>
        </xdr:cNvPr>
        <xdr:cNvCxnSpPr/>
      </xdr:nvCxnSpPr>
      <xdr:spPr>
        <a:xfrm>
          <a:off x="13523076974" y="45516132"/>
          <a:ext cx="3342" cy="35760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404395</xdr:colOff>
      <xdr:row>219</xdr:row>
      <xdr:rowOff>143711</xdr:rowOff>
    </xdr:from>
    <xdr:to>
      <xdr:col>4</xdr:col>
      <xdr:colOff>414420</xdr:colOff>
      <xdr:row>224</xdr:row>
      <xdr:rowOff>193842</xdr:rowOff>
    </xdr:to>
    <xdr:cxnSp macro="">
      <xdr:nvCxnSpPr>
        <xdr:cNvPr id="27" name="Straight Connector 26">
          <a:extLst>
            <a:ext uri="{FF2B5EF4-FFF2-40B4-BE49-F238E27FC236}">
              <a16:creationId xmlns:a16="http://schemas.microsoft.com/office/drawing/2014/main" id="{44FF9A44-D572-B0E6-E0D1-07D30804F880}"/>
            </a:ext>
          </a:extLst>
        </xdr:cNvPr>
        <xdr:cNvCxnSpPr/>
      </xdr:nvCxnSpPr>
      <xdr:spPr>
        <a:xfrm>
          <a:off x="13521339080" y="44790895"/>
          <a:ext cx="10025" cy="1069473"/>
        </a:xfrm>
        <a:prstGeom prst="line">
          <a:avLst/>
        </a:prstGeom>
        <a:ln>
          <a:headEnd type="arrow" w="med" len="med"/>
          <a:tailEnd type="none" w="med"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330868</xdr:colOff>
      <xdr:row>224</xdr:row>
      <xdr:rowOff>190501</xdr:rowOff>
    </xdr:from>
    <xdr:to>
      <xdr:col>4</xdr:col>
      <xdr:colOff>407736</xdr:colOff>
      <xdr:row>225</xdr:row>
      <xdr:rowOff>0</xdr:rowOff>
    </xdr:to>
    <xdr:cxnSp macro="">
      <xdr:nvCxnSpPr>
        <xdr:cNvPr id="29" name="Straight Connector 28">
          <a:extLst>
            <a:ext uri="{FF2B5EF4-FFF2-40B4-BE49-F238E27FC236}">
              <a16:creationId xmlns:a16="http://schemas.microsoft.com/office/drawing/2014/main" id="{BDD2F3BD-D166-4CCC-3404-FE2E50D7E420}"/>
            </a:ext>
          </a:extLst>
        </xdr:cNvPr>
        <xdr:cNvCxnSpPr/>
      </xdr:nvCxnSpPr>
      <xdr:spPr>
        <a:xfrm>
          <a:off x="13521345764" y="45857027"/>
          <a:ext cx="1727868" cy="13368"/>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177133</xdr:colOff>
      <xdr:row>225</xdr:row>
      <xdr:rowOff>45784</xdr:rowOff>
    </xdr:from>
    <xdr:ext cx="1865181" cy="348044"/>
    <mc:AlternateContent xmlns:mc="http://schemas.openxmlformats.org/markup-compatibility/2006" xmlns:a14="http://schemas.microsoft.com/office/drawing/2010/main">
      <mc:Choice Requires="a14">
        <xdr:sp macro="" textlink="">
          <xdr:nvSpPr>
            <xdr:cNvPr id="31" name="TextBox 30">
              <a:extLst>
                <a:ext uri="{FF2B5EF4-FFF2-40B4-BE49-F238E27FC236}">
                  <a16:creationId xmlns:a16="http://schemas.microsoft.com/office/drawing/2014/main" id="{3B3C504F-AC16-332E-13B9-A41375788B28}"/>
                </a:ext>
              </a:extLst>
            </xdr:cNvPr>
            <xdr:cNvSpPr txBox="1"/>
          </xdr:nvSpPr>
          <xdr:spPr>
            <a:xfrm>
              <a:off x="13521362186" y="45916179"/>
              <a:ext cx="1865181" cy="3480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𝑝𝑚𝑡</m:t>
                        </m:r>
                      </m:num>
                      <m:den>
                        <m:r>
                          <a:rPr lang="en-US" sz="1100" b="0" i="1">
                            <a:latin typeface="Cambria Math" panose="02040503050406030204" pitchFamily="18" charset="0"/>
                          </a:rPr>
                          <m:t>𝑟</m:t>
                        </m:r>
                      </m:den>
                    </m:f>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e>
                    </m:d>
                  </m:oMath>
                </m:oMathPara>
              </a14:m>
              <a:endParaRPr lang="en-US" sz="1100"/>
            </a:p>
          </xdr:txBody>
        </xdr:sp>
      </mc:Choice>
      <mc:Fallback xmlns="">
        <xdr:sp macro="" textlink="">
          <xdr:nvSpPr>
            <xdr:cNvPr id="31" name="TextBox 30">
              <a:extLst>
                <a:ext uri="{FF2B5EF4-FFF2-40B4-BE49-F238E27FC236}">
                  <a16:creationId xmlns:a16="http://schemas.microsoft.com/office/drawing/2014/main" id="{3B3C504F-AC16-332E-13B9-A41375788B28}"/>
                </a:ext>
              </a:extLst>
            </xdr:cNvPr>
            <xdr:cNvSpPr txBox="1"/>
          </xdr:nvSpPr>
          <xdr:spPr>
            <a:xfrm>
              <a:off x="13521362186" y="45916179"/>
              <a:ext cx="1865181" cy="3480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𝑃𝑉=𝑝𝑚𝑡/𝑟∗(1−1/(1+𝑟)^𝑛 )</a:t>
              </a:r>
              <a:endParaRPr lang="en-US" sz="1100"/>
            </a:p>
          </xdr:txBody>
        </xdr:sp>
      </mc:Fallback>
    </mc:AlternateContent>
    <xdr:clientData/>
  </xdr:oneCellAnchor>
  <xdr:oneCellAnchor>
    <xdr:from>
      <xdr:col>1</xdr:col>
      <xdr:colOff>611605</xdr:colOff>
      <xdr:row>227</xdr:row>
      <xdr:rowOff>59153</xdr:rowOff>
    </xdr:from>
    <xdr:ext cx="2503524" cy="345416"/>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31E1C0F9-FE22-29FE-0003-BED5D31DB1ED}"/>
                </a:ext>
              </a:extLst>
            </xdr:cNvPr>
            <xdr:cNvSpPr txBox="1"/>
          </xdr:nvSpPr>
          <xdr:spPr>
            <a:xfrm>
              <a:off x="13521114871" y="46337285"/>
              <a:ext cx="2503524" cy="3454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f>
                      <m:fPr>
                        <m:ctrlPr>
                          <a:rPr lang="en-US" sz="1100" b="0" i="1">
                            <a:latin typeface="Cambria Math" panose="02040503050406030204" pitchFamily="18" charset="0"/>
                          </a:rPr>
                        </m:ctrlPr>
                      </m:fPr>
                      <m:num>
                        <m:r>
                          <a:rPr lang="en-US" sz="1100" b="0" i="1">
                            <a:latin typeface="Cambria Math" panose="02040503050406030204" pitchFamily="18" charset="0"/>
                          </a:rPr>
                          <m:t>50,000</m:t>
                        </m:r>
                      </m:num>
                      <m:den>
                        <m:r>
                          <a:rPr lang="en-US" sz="1100" b="0" i="1">
                            <a:latin typeface="Cambria Math" panose="02040503050406030204" pitchFamily="18" charset="0"/>
                          </a:rPr>
                          <m:t>3%</m:t>
                        </m:r>
                      </m:den>
                    </m:f>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1+3%</m:t>
                                    </m:r>
                                  </m:e>
                                </m:d>
                              </m:e>
                              <m:sup>
                                <m:r>
                                  <a:rPr lang="en-US" sz="1100" b="0" i="1">
                                    <a:latin typeface="Cambria Math" panose="02040503050406030204" pitchFamily="18" charset="0"/>
                                  </a:rPr>
                                  <m:t>9</m:t>
                                </m:r>
                              </m:sup>
                            </m:sSup>
                          </m:den>
                        </m:f>
                      </m:e>
                    </m:d>
                  </m:oMath>
                </m:oMathPara>
              </a14:m>
              <a:endParaRPr lang="en-US" sz="1100"/>
            </a:p>
          </xdr:txBody>
        </xdr:sp>
      </mc:Choice>
      <mc:Fallback xmlns="">
        <xdr:sp macro="" textlink="">
          <xdr:nvSpPr>
            <xdr:cNvPr id="32" name="TextBox 31">
              <a:extLst>
                <a:ext uri="{FF2B5EF4-FFF2-40B4-BE49-F238E27FC236}">
                  <a16:creationId xmlns:a16="http://schemas.microsoft.com/office/drawing/2014/main" id="{31E1C0F9-FE22-29FE-0003-BED5D31DB1ED}"/>
                </a:ext>
              </a:extLst>
            </xdr:cNvPr>
            <xdr:cNvSpPr txBox="1"/>
          </xdr:nvSpPr>
          <xdr:spPr>
            <a:xfrm>
              <a:off x="13521114871" y="46337285"/>
              <a:ext cx="2503524" cy="3454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50,000/(3%)∗(1−1/(1+3%)^9 )</a:t>
              </a:r>
              <a:endParaRPr lang="en-US" sz="1100"/>
            </a:p>
          </xdr:txBody>
        </xdr:sp>
      </mc:Fallback>
    </mc:AlternateContent>
    <xdr:clientData/>
  </xdr:oneCellAnchor>
  <xdr:twoCellAnchor>
    <xdr:from>
      <xdr:col>4</xdr:col>
      <xdr:colOff>508001</xdr:colOff>
      <xdr:row>219</xdr:row>
      <xdr:rowOff>173792</xdr:rowOff>
    </xdr:from>
    <xdr:to>
      <xdr:col>4</xdr:col>
      <xdr:colOff>792079</xdr:colOff>
      <xdr:row>225</xdr:row>
      <xdr:rowOff>66842</xdr:rowOff>
    </xdr:to>
    <xdr:cxnSp macro="">
      <xdr:nvCxnSpPr>
        <xdr:cNvPr id="33" name="Straight Connector 32">
          <a:extLst>
            <a:ext uri="{FF2B5EF4-FFF2-40B4-BE49-F238E27FC236}">
              <a16:creationId xmlns:a16="http://schemas.microsoft.com/office/drawing/2014/main" id="{244C8E57-DC96-4621-1A1D-01326128BD5A}"/>
            </a:ext>
          </a:extLst>
        </xdr:cNvPr>
        <xdr:cNvCxnSpPr/>
      </xdr:nvCxnSpPr>
      <xdr:spPr>
        <a:xfrm flipH="1">
          <a:off x="13520961421" y="44820976"/>
          <a:ext cx="284078" cy="111626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370975</xdr:colOff>
      <xdr:row>220</xdr:row>
      <xdr:rowOff>16712</xdr:rowOff>
    </xdr:from>
    <xdr:to>
      <xdr:col>6</xdr:col>
      <xdr:colOff>381000</xdr:colOff>
      <xdr:row>225</xdr:row>
      <xdr:rowOff>66843</xdr:rowOff>
    </xdr:to>
    <xdr:cxnSp macro="">
      <xdr:nvCxnSpPr>
        <xdr:cNvPr id="34" name="Straight Connector 33">
          <a:extLst>
            <a:ext uri="{FF2B5EF4-FFF2-40B4-BE49-F238E27FC236}">
              <a16:creationId xmlns:a16="http://schemas.microsoft.com/office/drawing/2014/main" id="{A671E427-2262-55D2-752A-6C6E6B952EA8}"/>
            </a:ext>
          </a:extLst>
        </xdr:cNvPr>
        <xdr:cNvCxnSpPr/>
      </xdr:nvCxnSpPr>
      <xdr:spPr>
        <a:xfrm>
          <a:off x="13519684737" y="44867765"/>
          <a:ext cx="10025" cy="1069473"/>
        </a:xfrm>
        <a:prstGeom prst="line">
          <a:avLst/>
        </a:prstGeom>
        <a:ln>
          <a:headEnd type="arrow" w="med" len="med"/>
          <a:tailEnd type="none" w="med"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792079</xdr:colOff>
      <xdr:row>225</xdr:row>
      <xdr:rowOff>63502</xdr:rowOff>
    </xdr:from>
    <xdr:to>
      <xdr:col>6</xdr:col>
      <xdr:colOff>374316</xdr:colOff>
      <xdr:row>225</xdr:row>
      <xdr:rowOff>73526</xdr:rowOff>
    </xdr:to>
    <xdr:cxnSp macro="">
      <xdr:nvCxnSpPr>
        <xdr:cNvPr id="35" name="Straight Connector 34">
          <a:extLst>
            <a:ext uri="{FF2B5EF4-FFF2-40B4-BE49-F238E27FC236}">
              <a16:creationId xmlns:a16="http://schemas.microsoft.com/office/drawing/2014/main" id="{039AD02A-6D63-C883-4438-03E53E0D78AD}"/>
            </a:ext>
          </a:extLst>
        </xdr:cNvPr>
        <xdr:cNvCxnSpPr/>
      </xdr:nvCxnSpPr>
      <xdr:spPr>
        <a:xfrm>
          <a:off x="13519691421" y="45933897"/>
          <a:ext cx="1270000" cy="10024"/>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oneCellAnchor>
    <xdr:from>
      <xdr:col>4</xdr:col>
      <xdr:colOff>207211</xdr:colOff>
      <xdr:row>225</xdr:row>
      <xdr:rowOff>162760</xdr:rowOff>
    </xdr:from>
    <xdr:ext cx="2503524" cy="177228"/>
    <mc:AlternateContent xmlns:mc="http://schemas.openxmlformats.org/markup-compatibility/2006" xmlns:a14="http://schemas.microsoft.com/office/drawing/2010/main">
      <mc:Choice Requires="a14">
        <xdr:sp macro="" textlink="">
          <xdr:nvSpPr>
            <xdr:cNvPr id="38" name="TextBox 37">
              <a:extLst>
                <a:ext uri="{FF2B5EF4-FFF2-40B4-BE49-F238E27FC236}">
                  <a16:creationId xmlns:a16="http://schemas.microsoft.com/office/drawing/2014/main" id="{86850019-F96F-C1D7-3618-9137EC138166}"/>
                </a:ext>
              </a:extLst>
            </xdr:cNvPr>
            <xdr:cNvSpPr txBox="1"/>
          </xdr:nvSpPr>
          <xdr:spPr>
            <a:xfrm>
              <a:off x="13519042765" y="46033155"/>
              <a:ext cx="2503524"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1+3%</m:t>
                            </m:r>
                          </m:e>
                        </m:d>
                      </m:e>
                      <m:sup>
                        <m:r>
                          <a:rPr lang="en-US" sz="1100" b="0" i="1">
                            <a:latin typeface="Cambria Math" panose="02040503050406030204" pitchFamily="18" charset="0"/>
                          </a:rPr>
                          <m:t>3</m:t>
                        </m:r>
                      </m:sup>
                    </m:sSup>
                  </m:oMath>
                </m:oMathPara>
              </a14:m>
              <a:endParaRPr lang="en-US" sz="1100"/>
            </a:p>
          </xdr:txBody>
        </xdr:sp>
      </mc:Choice>
      <mc:Fallback xmlns="">
        <xdr:sp macro="" textlink="">
          <xdr:nvSpPr>
            <xdr:cNvPr id="38" name="TextBox 37">
              <a:extLst>
                <a:ext uri="{FF2B5EF4-FFF2-40B4-BE49-F238E27FC236}">
                  <a16:creationId xmlns:a16="http://schemas.microsoft.com/office/drawing/2014/main" id="{86850019-F96F-C1D7-3618-9137EC138166}"/>
                </a:ext>
              </a:extLst>
            </xdr:cNvPr>
            <xdr:cNvSpPr txBox="1"/>
          </xdr:nvSpPr>
          <xdr:spPr>
            <a:xfrm>
              <a:off x="13519042765" y="46033155"/>
              <a:ext cx="2503524"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/(1+3%)^3</a:t>
              </a:r>
              <a:endParaRPr lang="en-US" sz="1100"/>
            </a:p>
          </xdr:txBody>
        </xdr:sp>
      </mc:Fallback>
    </mc:AlternateContent>
    <xdr:clientData/>
  </xdr:oneCellAnchor>
  <xdr:twoCellAnchor>
    <xdr:from>
      <xdr:col>2</xdr:col>
      <xdr:colOff>384342</xdr:colOff>
      <xdr:row>229</xdr:row>
      <xdr:rowOff>147053</xdr:rowOff>
    </xdr:from>
    <xdr:to>
      <xdr:col>4</xdr:col>
      <xdr:colOff>36763</xdr:colOff>
      <xdr:row>230</xdr:row>
      <xdr:rowOff>180474</xdr:rowOff>
    </xdr:to>
    <xdr:sp macro="" textlink="">
      <xdr:nvSpPr>
        <xdr:cNvPr id="39" name="Rectangle 38">
          <a:extLst>
            <a:ext uri="{FF2B5EF4-FFF2-40B4-BE49-F238E27FC236}">
              <a16:creationId xmlns:a16="http://schemas.microsoft.com/office/drawing/2014/main" id="{66DC245B-ED32-0614-EDF2-E81BD8DCB040}"/>
            </a:ext>
          </a:extLst>
        </xdr:cNvPr>
        <xdr:cNvSpPr/>
      </xdr:nvSpPr>
      <xdr:spPr>
        <a:xfrm>
          <a:off x="13521716737" y="46832921"/>
          <a:ext cx="1303421" cy="23729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rtl="1"/>
          <a:r>
            <a:rPr lang="he-IL" sz="1100"/>
            <a:t>שלב</a:t>
          </a:r>
          <a:r>
            <a:rPr lang="he-IL" sz="1100" baseline="0"/>
            <a:t> 1</a:t>
          </a:r>
          <a:endParaRPr lang="en-US" sz="1100"/>
        </a:p>
      </xdr:txBody>
    </xdr:sp>
    <xdr:clientData/>
  </xdr:twoCellAnchor>
  <xdr:twoCellAnchor>
    <xdr:from>
      <xdr:col>4</xdr:col>
      <xdr:colOff>788737</xdr:colOff>
      <xdr:row>226</xdr:row>
      <xdr:rowOff>200526</xdr:rowOff>
    </xdr:from>
    <xdr:to>
      <xdr:col>6</xdr:col>
      <xdr:colOff>404395</xdr:colOff>
      <xdr:row>228</xdr:row>
      <xdr:rowOff>30079</xdr:rowOff>
    </xdr:to>
    <xdr:sp macro="" textlink="">
      <xdr:nvSpPr>
        <xdr:cNvPr id="40" name="Rectangle 39">
          <a:extLst>
            <a:ext uri="{FF2B5EF4-FFF2-40B4-BE49-F238E27FC236}">
              <a16:creationId xmlns:a16="http://schemas.microsoft.com/office/drawing/2014/main" id="{3CCB6811-62D5-25B5-45DC-6AAA9BD15F42}"/>
            </a:ext>
          </a:extLst>
        </xdr:cNvPr>
        <xdr:cNvSpPr/>
      </xdr:nvSpPr>
      <xdr:spPr>
        <a:xfrm>
          <a:off x="13519661342" y="46274789"/>
          <a:ext cx="1303421" cy="23729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rtl="1"/>
          <a:r>
            <a:rPr lang="he-IL" sz="1100"/>
            <a:t>שלב</a:t>
          </a:r>
          <a:r>
            <a:rPr lang="he-IL" sz="1100" baseline="0"/>
            <a:t> 2</a:t>
          </a:r>
          <a:endParaRPr lang="en-US" sz="1100"/>
        </a:p>
      </xdr:txBody>
    </xdr:sp>
    <xdr:clientData/>
  </xdr:twoCellAnchor>
  <xdr:oneCellAnchor>
    <xdr:from>
      <xdr:col>2</xdr:col>
      <xdr:colOff>66151</xdr:colOff>
      <xdr:row>231</xdr:row>
      <xdr:rowOff>131297</xdr:rowOff>
    </xdr:from>
    <xdr:ext cx="3720051" cy="488532"/>
    <mc:AlternateContent xmlns:mc="http://schemas.openxmlformats.org/markup-compatibility/2006" xmlns:a14="http://schemas.microsoft.com/office/drawing/2010/main">
      <mc:Choice Requires="a14">
        <xdr:sp macro="" textlink="">
          <xdr:nvSpPr>
            <xdr:cNvPr id="41" name="TextBox 40">
              <a:extLst>
                <a:ext uri="{FF2B5EF4-FFF2-40B4-BE49-F238E27FC236}">
                  <a16:creationId xmlns:a16="http://schemas.microsoft.com/office/drawing/2014/main" id="{C38B2D5E-973C-3E8E-AC17-67A9D0860368}"/>
                </a:ext>
              </a:extLst>
            </xdr:cNvPr>
            <xdr:cNvSpPr txBox="1"/>
          </xdr:nvSpPr>
          <xdr:spPr>
            <a:xfrm>
              <a:off x="13555565867" y="46876056"/>
              <a:ext cx="3720051" cy="4885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50,000</m:t>
                        </m:r>
                      </m:num>
                      <m:den>
                        <m:r>
                          <a:rPr lang="en-US" sz="1100" b="0" i="1">
                            <a:latin typeface="Cambria Math" panose="02040503050406030204" pitchFamily="18" charset="0"/>
                          </a:rPr>
                          <m:t>3%</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1+3%</m:t>
                                        </m:r>
                                      </m:e>
                                    </m:d>
                                  </m:e>
                                  <m:sup>
                                    <m:r>
                                      <a:rPr lang="en-US" sz="1100" b="0" i="1">
                                        <a:latin typeface="Cambria Math" panose="02040503050406030204" pitchFamily="18" charset="0"/>
                                      </a:rPr>
                                      <m:t>9</m:t>
                                    </m:r>
                                  </m:sup>
                                </m:sSup>
                              </m:den>
                            </m:f>
                          </m:e>
                        </m:d>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0">
                                    <a:latin typeface="Cambria Math" panose="02040503050406030204" pitchFamily="18" charset="0"/>
                                  </a:rPr>
                                  <m:t>1+3%</m:t>
                                </m:r>
                              </m:e>
                            </m:d>
                          </m:e>
                          <m:sup>
                            <m:r>
                              <a:rPr lang="en-US" sz="1100" b="0" i="0">
                                <a:latin typeface="Cambria Math" panose="02040503050406030204" pitchFamily="18" charset="0"/>
                              </a:rPr>
                              <m:t>3</m:t>
                            </m:r>
                          </m:sup>
                        </m:sSup>
                      </m:den>
                    </m:f>
                    <m:r>
                      <a:rPr lang="en-US" sz="1100" b="0" i="0">
                        <a:latin typeface="Cambria Math" panose="02040503050406030204" pitchFamily="18" charset="0"/>
                      </a:rPr>
                      <m:t>=356,269.63</m:t>
                    </m:r>
                  </m:oMath>
                </m:oMathPara>
              </a14:m>
              <a:endParaRPr lang="en-US" sz="1100"/>
            </a:p>
          </xdr:txBody>
        </xdr:sp>
      </mc:Choice>
      <mc:Fallback xmlns="">
        <xdr:sp macro="" textlink="">
          <xdr:nvSpPr>
            <xdr:cNvPr id="41" name="TextBox 40">
              <a:extLst>
                <a:ext uri="{FF2B5EF4-FFF2-40B4-BE49-F238E27FC236}">
                  <a16:creationId xmlns:a16="http://schemas.microsoft.com/office/drawing/2014/main" id="{C38B2D5E-973C-3E8E-AC17-67A9D0860368}"/>
                </a:ext>
              </a:extLst>
            </xdr:cNvPr>
            <xdr:cNvSpPr txBox="1"/>
          </xdr:nvSpPr>
          <xdr:spPr>
            <a:xfrm>
              <a:off x="13555565867" y="46876056"/>
              <a:ext cx="3720051" cy="4885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𝑃𝑉=50,000/(3%)∗((1−1/(1+3%)^9 ))/(1+3%)^3 =356,269.63</a:t>
              </a:r>
              <a:endParaRPr lang="en-US" sz="1100"/>
            </a:p>
          </xdr:txBody>
        </xdr:sp>
      </mc:Fallback>
    </mc:AlternateContent>
    <xdr:clientData/>
  </xdr:oneCellAnchor>
  <xdr:twoCellAnchor>
    <xdr:from>
      <xdr:col>3</xdr:col>
      <xdr:colOff>681789</xdr:colOff>
      <xdr:row>240</xdr:row>
      <xdr:rowOff>100264</xdr:rowOff>
    </xdr:from>
    <xdr:to>
      <xdr:col>4</xdr:col>
      <xdr:colOff>90237</xdr:colOff>
      <xdr:row>242</xdr:row>
      <xdr:rowOff>60158</xdr:rowOff>
    </xdr:to>
    <xdr:cxnSp macro="">
      <xdr:nvCxnSpPr>
        <xdr:cNvPr id="43" name="Straight Arrow Connector 42">
          <a:extLst>
            <a:ext uri="{FF2B5EF4-FFF2-40B4-BE49-F238E27FC236}">
              <a16:creationId xmlns:a16="http://schemas.microsoft.com/office/drawing/2014/main" id="{1C3531A1-6C84-40CB-5440-E5E128A30257}"/>
            </a:ext>
          </a:extLst>
        </xdr:cNvPr>
        <xdr:cNvCxnSpPr/>
      </xdr:nvCxnSpPr>
      <xdr:spPr>
        <a:xfrm>
          <a:off x="13521726763" y="49232553"/>
          <a:ext cx="233948" cy="367631"/>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8</xdr:col>
      <xdr:colOff>655651</xdr:colOff>
      <xdr:row>177</xdr:row>
      <xdr:rowOff>164893</xdr:rowOff>
    </xdr:from>
    <xdr:ext cx="1804561" cy="459678"/>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B50D0947-3AF0-8570-CA7D-D93F88619495}"/>
                </a:ext>
              </a:extLst>
            </xdr:cNvPr>
            <xdr:cNvSpPr txBox="1"/>
          </xdr:nvSpPr>
          <xdr:spPr>
            <a:xfrm>
              <a:off x="13524382064" y="35977860"/>
              <a:ext cx="1804561" cy="459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13" name="TextBox 12">
              <a:extLst>
                <a:ext uri="{FF2B5EF4-FFF2-40B4-BE49-F238E27FC236}">
                  <a16:creationId xmlns:a16="http://schemas.microsoft.com/office/drawing/2014/main" id="{B50D0947-3AF0-8570-CA7D-D93F88619495}"/>
                </a:ext>
              </a:extLst>
            </xdr:cNvPr>
            <xdr:cNvSpPr txBox="1"/>
          </xdr:nvSpPr>
          <xdr:spPr>
            <a:xfrm>
              <a:off x="13524382064" y="35977860"/>
              <a:ext cx="1804561" cy="459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𝑃𝑉=𝑃𝑀𝑇∗(1−1/(1+𝑟)^𝑛 )/𝑟</a:t>
              </a:r>
              <a:endParaRPr lang="en-US" sz="1100"/>
            </a:p>
          </xdr:txBody>
        </xdr:sp>
      </mc:Fallback>
    </mc:AlternateContent>
    <xdr:clientData/>
  </xdr:oneCellAnchor>
  <xdr:oneCellAnchor>
    <xdr:from>
      <xdr:col>6</xdr:col>
      <xdr:colOff>671139</xdr:colOff>
      <xdr:row>272</xdr:row>
      <xdr:rowOff>180691</xdr:rowOff>
    </xdr:from>
    <xdr:ext cx="1865181" cy="348044"/>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A28515E8-8709-CF4D-BAD6-E1A514A438ED}"/>
                </a:ext>
              </a:extLst>
            </xdr:cNvPr>
            <xdr:cNvSpPr txBox="1"/>
          </xdr:nvSpPr>
          <xdr:spPr>
            <a:xfrm>
              <a:off x="13525983802" y="55245000"/>
              <a:ext cx="1865181" cy="3480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𝑝𝑚𝑡</m:t>
                        </m:r>
                      </m:num>
                      <m:den>
                        <m:r>
                          <a:rPr lang="en-US" sz="1100" b="0" i="1">
                            <a:latin typeface="Cambria Math" panose="02040503050406030204" pitchFamily="18" charset="0"/>
                          </a:rPr>
                          <m:t>𝑟</m:t>
                        </m:r>
                      </m:den>
                    </m:f>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e>
                    </m:d>
                  </m:oMath>
                </m:oMathPara>
              </a14:m>
              <a:endParaRPr lang="en-US" sz="1100"/>
            </a:p>
          </xdr:txBody>
        </xdr:sp>
      </mc:Choice>
      <mc:Fallback xmlns="">
        <xdr:sp macro="" textlink="">
          <xdr:nvSpPr>
            <xdr:cNvPr id="19" name="TextBox 18">
              <a:extLst>
                <a:ext uri="{FF2B5EF4-FFF2-40B4-BE49-F238E27FC236}">
                  <a16:creationId xmlns:a16="http://schemas.microsoft.com/office/drawing/2014/main" id="{A28515E8-8709-CF4D-BAD6-E1A514A438ED}"/>
                </a:ext>
              </a:extLst>
            </xdr:cNvPr>
            <xdr:cNvSpPr txBox="1"/>
          </xdr:nvSpPr>
          <xdr:spPr>
            <a:xfrm>
              <a:off x="13525983802" y="55245000"/>
              <a:ext cx="1865181" cy="3480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𝑃𝑉=𝑝𝑚𝑡/𝑟∗(1−1/(1+𝑟)^𝑛 )</a:t>
              </a:r>
              <a:endParaRPr lang="en-US" sz="1100"/>
            </a:p>
          </xdr:txBody>
        </xdr:sp>
      </mc:Fallback>
    </mc:AlternateContent>
    <xdr:clientData/>
  </xdr:oneCellAnchor>
  <xdr:oneCellAnchor>
    <xdr:from>
      <xdr:col>6</xdr:col>
      <xdr:colOff>443984</xdr:colOff>
      <xdr:row>275</xdr:row>
      <xdr:rowOff>67114</xdr:rowOff>
    </xdr:from>
    <xdr:ext cx="3233271" cy="341953"/>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3ED424F4-6E7B-41C7-A5BF-23E3E4D8A815}"/>
                </a:ext>
              </a:extLst>
            </xdr:cNvPr>
            <xdr:cNvSpPr txBox="1"/>
          </xdr:nvSpPr>
          <xdr:spPr>
            <a:xfrm>
              <a:off x="13524842867" y="55735447"/>
              <a:ext cx="3233271" cy="3419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10,000</m:t>
                        </m:r>
                      </m:num>
                      <m:den>
                        <m:r>
                          <a:rPr lang="en-US" sz="1100" b="0" i="1">
                            <a:latin typeface="Cambria Math" panose="02040503050406030204" pitchFamily="18" charset="0"/>
                          </a:rPr>
                          <m:t>3%</m:t>
                        </m:r>
                      </m:den>
                    </m:f>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1+3%</m:t>
                                    </m:r>
                                  </m:e>
                                </m:d>
                              </m:e>
                              <m:sup>
                                <m:r>
                                  <a:rPr lang="en-US" sz="1100" b="0" i="1">
                                    <a:latin typeface="Cambria Math" panose="02040503050406030204" pitchFamily="18" charset="0"/>
                                  </a:rPr>
                                  <m:t>20</m:t>
                                </m:r>
                              </m:sup>
                            </m:sSup>
                          </m:den>
                        </m:f>
                      </m:e>
                    </m:d>
                    <m:r>
                      <a:rPr lang="en-US" sz="1100" b="0" i="1">
                        <a:latin typeface="Cambria Math" panose="02040503050406030204" pitchFamily="18" charset="0"/>
                      </a:rPr>
                      <m:t>∗(1+3%)</m:t>
                    </m:r>
                  </m:oMath>
                </m:oMathPara>
              </a14:m>
              <a:endParaRPr lang="en-US" sz="1100"/>
            </a:p>
          </xdr:txBody>
        </xdr:sp>
      </mc:Choice>
      <mc:Fallback xmlns="">
        <xdr:sp macro="" textlink="">
          <xdr:nvSpPr>
            <xdr:cNvPr id="22" name="TextBox 21">
              <a:extLst>
                <a:ext uri="{FF2B5EF4-FFF2-40B4-BE49-F238E27FC236}">
                  <a16:creationId xmlns:a16="http://schemas.microsoft.com/office/drawing/2014/main" id="{3ED424F4-6E7B-41C7-A5BF-23E3E4D8A815}"/>
                </a:ext>
              </a:extLst>
            </xdr:cNvPr>
            <xdr:cNvSpPr txBox="1"/>
          </xdr:nvSpPr>
          <xdr:spPr>
            <a:xfrm>
              <a:off x="13524842867" y="55735447"/>
              <a:ext cx="3233271" cy="3419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𝑃𝑉=10,000/(3%)∗(1−1/(1+3%)^20 )∗(1+3%)</a:t>
              </a:r>
              <a:endParaRPr lang="en-US" sz="1100"/>
            </a:p>
          </xdr:txBody>
        </xdr:sp>
      </mc:Fallback>
    </mc:AlternateContent>
    <xdr:clientData/>
  </xdr:oneCellAnchor>
  <xdr:oneCellAnchor>
    <xdr:from>
      <xdr:col>6</xdr:col>
      <xdr:colOff>520700</xdr:colOff>
      <xdr:row>340</xdr:row>
      <xdr:rowOff>33867</xdr:rowOff>
    </xdr:from>
    <xdr:ext cx="1865181" cy="348044"/>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3F0D5B07-03F9-B147-AB99-65077C210C5F}"/>
                </a:ext>
              </a:extLst>
            </xdr:cNvPr>
            <xdr:cNvSpPr txBox="1"/>
          </xdr:nvSpPr>
          <xdr:spPr>
            <a:xfrm>
              <a:off x="13517678519" y="69439367"/>
              <a:ext cx="1865181" cy="3480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𝑝𝑚𝑡</m:t>
                        </m:r>
                      </m:num>
                      <m:den>
                        <m:r>
                          <a:rPr lang="en-US" sz="1100" b="0" i="1">
                            <a:latin typeface="Cambria Math" panose="02040503050406030204" pitchFamily="18" charset="0"/>
                          </a:rPr>
                          <m:t>𝑟</m:t>
                        </m:r>
                      </m:den>
                    </m:f>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e>
                    </m:d>
                  </m:oMath>
                </m:oMathPara>
              </a14:m>
              <a:endParaRPr lang="en-US" sz="1100"/>
            </a:p>
          </xdr:txBody>
        </xdr:sp>
      </mc:Choice>
      <mc:Fallback xmlns="">
        <xdr:sp macro="" textlink="">
          <xdr:nvSpPr>
            <xdr:cNvPr id="25" name="TextBox 24">
              <a:extLst>
                <a:ext uri="{FF2B5EF4-FFF2-40B4-BE49-F238E27FC236}">
                  <a16:creationId xmlns:a16="http://schemas.microsoft.com/office/drawing/2014/main" id="{3F0D5B07-03F9-B147-AB99-65077C210C5F}"/>
                </a:ext>
              </a:extLst>
            </xdr:cNvPr>
            <xdr:cNvSpPr txBox="1"/>
          </xdr:nvSpPr>
          <xdr:spPr>
            <a:xfrm>
              <a:off x="13517678519" y="69439367"/>
              <a:ext cx="1865181" cy="3480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𝑃𝑉=𝑝𝑚𝑡/𝑟∗(1−1/(1+𝑟)^𝑛 )</a:t>
              </a:r>
              <a:endParaRPr lang="en-US" sz="1100"/>
            </a:p>
          </xdr:txBody>
        </xdr:sp>
      </mc:Fallback>
    </mc:AlternateContent>
    <xdr:clientData/>
  </xdr:oneCellAnchor>
  <xdr:oneCellAnchor>
    <xdr:from>
      <xdr:col>4</xdr:col>
      <xdr:colOff>736600</xdr:colOff>
      <xdr:row>341</xdr:row>
      <xdr:rowOff>165101</xdr:rowOff>
    </xdr:from>
    <xdr:ext cx="3964915" cy="46532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7CC4F3C4-6214-C7C1-F9D0-9387218D74B7}"/>
                </a:ext>
              </a:extLst>
            </xdr:cNvPr>
            <xdr:cNvSpPr txBox="1"/>
          </xdr:nvSpPr>
          <xdr:spPr>
            <a:xfrm>
              <a:off x="13517115485" y="69773801"/>
              <a:ext cx="3964915" cy="465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70,000</m:t>
                        </m:r>
                      </m:num>
                      <m:den>
                        <m:r>
                          <a:rPr lang="en-US" sz="1100" b="0" i="1">
                            <a:latin typeface="Cambria Math" panose="02040503050406030204" pitchFamily="18" charset="0"/>
                          </a:rPr>
                          <m:t>7%</m:t>
                        </m:r>
                      </m:den>
                    </m:f>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1+7%</m:t>
                                    </m:r>
                                  </m:e>
                                </m:d>
                              </m:e>
                              <m:sup>
                                <m:r>
                                  <a:rPr lang="en-US" sz="1100" b="0" i="1">
                                    <a:latin typeface="Cambria Math" panose="02040503050406030204" pitchFamily="18" charset="0"/>
                                  </a:rPr>
                                  <m:t>10</m:t>
                                </m:r>
                              </m:sup>
                            </m:sSup>
                          </m:den>
                        </m:f>
                      </m:e>
                    </m:d>
                    <m:r>
                      <a:rPr lang="en-US" sz="1100" b="0" i="1">
                        <a:latin typeface="Cambria Math" panose="02040503050406030204" pitchFamily="18" charset="0"/>
                      </a:rPr>
                      <m:t>+</m:t>
                    </m:r>
                    <m:f>
                      <m:fPr>
                        <m:ctrlPr>
                          <a:rPr lang="en-US" sz="1100" b="0" i="1">
                            <a:latin typeface="Cambria Math" panose="02040503050406030204" pitchFamily="18" charset="0"/>
                          </a:rPr>
                        </m:ctrlPr>
                      </m:fPr>
                      <m:num>
                        <m:f>
                          <m:fPr>
                            <m:ctrlPr>
                              <a:rPr lang="en-US" sz="1100" b="0" i="1">
                                <a:latin typeface="Cambria Math" panose="02040503050406030204" pitchFamily="18" charset="0"/>
                              </a:rPr>
                            </m:ctrlPr>
                          </m:fPr>
                          <m:num>
                            <m:r>
                              <a:rPr lang="en-US" sz="1100" b="0" i="1">
                                <a:latin typeface="Cambria Math" panose="02040503050406030204" pitchFamily="18" charset="0"/>
                              </a:rPr>
                              <m:t>90,000</m:t>
                            </m:r>
                          </m:num>
                          <m:den>
                            <m:r>
                              <a:rPr lang="en-US" sz="1100" b="0" i="1">
                                <a:latin typeface="Cambria Math" panose="02040503050406030204" pitchFamily="18" charset="0"/>
                              </a:rPr>
                              <m:t>7%</m:t>
                            </m:r>
                          </m:den>
                        </m:f>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1+7%</m:t>
                                </m:r>
                              </m:e>
                            </m:d>
                          </m:e>
                          <m:sup>
                            <m:r>
                              <a:rPr lang="en-US" sz="1100" b="0" i="1">
                                <a:latin typeface="Cambria Math" panose="02040503050406030204" pitchFamily="18" charset="0"/>
                              </a:rPr>
                              <m:t>10</m:t>
                            </m:r>
                          </m:sup>
                        </m:sSup>
                      </m:den>
                    </m:f>
                  </m:oMath>
                </m:oMathPara>
              </a14:m>
              <a:endParaRPr lang="en-US" sz="1100"/>
            </a:p>
          </xdr:txBody>
        </xdr:sp>
      </mc:Choice>
      <mc:Fallback xmlns="">
        <xdr:sp macro="" textlink="">
          <xdr:nvSpPr>
            <xdr:cNvPr id="28" name="TextBox 27">
              <a:extLst>
                <a:ext uri="{FF2B5EF4-FFF2-40B4-BE49-F238E27FC236}">
                  <a16:creationId xmlns:a16="http://schemas.microsoft.com/office/drawing/2014/main" id="{7CC4F3C4-6214-C7C1-F9D0-9387218D74B7}"/>
                </a:ext>
              </a:extLst>
            </xdr:cNvPr>
            <xdr:cNvSpPr txBox="1"/>
          </xdr:nvSpPr>
          <xdr:spPr>
            <a:xfrm>
              <a:off x="13517115485" y="69773801"/>
              <a:ext cx="3964915" cy="465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𝑃𝑉=70,000/(7%)∗(1−1/(1+7%)^10 )+(90,000/(7%))/(1+7%)^10 </a:t>
              </a:r>
              <a:endParaRPr lang="en-US"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4</xdr:col>
      <xdr:colOff>453844</xdr:colOff>
      <xdr:row>51</xdr:row>
      <xdr:rowOff>27154</xdr:rowOff>
    </xdr:from>
    <xdr:ext cx="2301753" cy="327397"/>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043BA49-DCB4-6DD1-1929-A9DCEDA0EB37}"/>
                </a:ext>
              </a:extLst>
            </xdr:cNvPr>
            <xdr:cNvSpPr txBox="1"/>
          </xdr:nvSpPr>
          <xdr:spPr>
            <a:xfrm>
              <a:off x="13490822782" y="10335893"/>
              <a:ext cx="2301753" cy="32739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𝐹𝑉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r>
                          <a:rPr lang="en-US" sz="1100" b="0" i="1">
                            <a:latin typeface="Cambria Math" panose="02040503050406030204" pitchFamily="18" charset="0"/>
                          </a:rPr>
                          <m:t>−1</m:t>
                        </m:r>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2" name="TextBox 1">
              <a:extLst>
                <a:ext uri="{FF2B5EF4-FFF2-40B4-BE49-F238E27FC236}">
                  <a16:creationId xmlns:a16="http://schemas.microsoft.com/office/drawing/2014/main" id="{E043BA49-DCB4-6DD1-1929-A9DCEDA0EB37}"/>
                </a:ext>
              </a:extLst>
            </xdr:cNvPr>
            <xdr:cNvSpPr txBox="1"/>
          </xdr:nvSpPr>
          <xdr:spPr>
            <a:xfrm>
              <a:off x="13490822782" y="10335893"/>
              <a:ext cx="2301753" cy="32739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𝐹𝑉=𝑃𝑀𝑇∗((1+𝑟)^𝑛−1)/𝑟</a:t>
              </a:r>
              <a:endParaRPr lang="en-US" sz="1100"/>
            </a:p>
          </xdr:txBody>
        </xdr:sp>
      </mc:Fallback>
    </mc:AlternateContent>
    <xdr:clientData/>
  </xdr:oneCellAnchor>
  <xdr:oneCellAnchor>
    <xdr:from>
      <xdr:col>3</xdr:col>
      <xdr:colOff>522183</xdr:colOff>
      <xdr:row>53</xdr:row>
      <xdr:rowOff>104515</xdr:rowOff>
    </xdr:from>
    <xdr:ext cx="3110166" cy="34541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72D3D1D-88A5-7D34-982B-F737B6887CBC}"/>
                </a:ext>
              </a:extLst>
            </xdr:cNvPr>
            <xdr:cNvSpPr txBox="1"/>
          </xdr:nvSpPr>
          <xdr:spPr>
            <a:xfrm>
              <a:off x="13513602981" y="10918855"/>
              <a:ext cx="3110166" cy="3454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𝐹𝑉</m:t>
                    </m:r>
                    <m:r>
                      <a:rPr lang="en-US" sz="1100" b="0" i="1">
                        <a:latin typeface="Cambria Math" panose="02040503050406030204" pitchFamily="18" charset="0"/>
                      </a:rPr>
                      <m:t>=4,000∗</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4%</m:t>
                                </m:r>
                              </m:e>
                            </m:d>
                          </m:e>
                          <m:sup>
                            <m:r>
                              <a:rPr lang="he-IL" sz="1100" b="0" i="1">
                                <a:latin typeface="Cambria Math" panose="02040503050406030204" pitchFamily="18" charset="0"/>
                              </a:rPr>
                              <m:t>7</m:t>
                            </m:r>
                          </m:sup>
                        </m:sSup>
                        <m:r>
                          <a:rPr lang="en-US" sz="1100" b="0" i="1">
                            <a:latin typeface="Cambria Math" panose="02040503050406030204" pitchFamily="18" charset="0"/>
                          </a:rPr>
                          <m:t>−1</m:t>
                        </m:r>
                      </m:num>
                      <m:den>
                        <m:r>
                          <a:rPr lang="he-IL" sz="1100" b="0" i="1">
                            <a:latin typeface="Cambria Math" panose="02040503050406030204" pitchFamily="18" charset="0"/>
                          </a:rPr>
                          <m:t>4%</m:t>
                        </m:r>
                      </m:den>
                    </m:f>
                    <m:r>
                      <a:rPr lang="he-IL" sz="1100" b="0" i="1">
                        <a:latin typeface="Cambria Math" panose="02040503050406030204" pitchFamily="18" charset="0"/>
                      </a:rPr>
                      <m:t>=31,593.18</m:t>
                    </m:r>
                  </m:oMath>
                </m:oMathPara>
              </a14:m>
              <a:endParaRPr lang="en-US" sz="1100"/>
            </a:p>
          </xdr:txBody>
        </xdr:sp>
      </mc:Choice>
      <mc:Fallback xmlns="">
        <xdr:sp macro="" textlink="">
          <xdr:nvSpPr>
            <xdr:cNvPr id="3" name="TextBox 2">
              <a:extLst>
                <a:ext uri="{FF2B5EF4-FFF2-40B4-BE49-F238E27FC236}">
                  <a16:creationId xmlns:a16="http://schemas.microsoft.com/office/drawing/2014/main" id="{F72D3D1D-88A5-7D34-982B-F737B6887CBC}"/>
                </a:ext>
              </a:extLst>
            </xdr:cNvPr>
            <xdr:cNvSpPr txBox="1"/>
          </xdr:nvSpPr>
          <xdr:spPr>
            <a:xfrm>
              <a:off x="13513602981" y="10918855"/>
              <a:ext cx="3110166" cy="3454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𝐹𝑉=</a:t>
              </a:r>
              <a:r>
                <a:rPr lang="he-IL" sz="1100" b="0" i="0">
                  <a:latin typeface="Cambria Math" panose="02040503050406030204" pitchFamily="18" charset="0"/>
                </a:rPr>
                <a:t>4,000</a:t>
              </a:r>
              <a:r>
                <a:rPr lang="en-US" sz="1100" b="0" i="0">
                  <a:latin typeface="Cambria Math" panose="02040503050406030204" pitchFamily="18" charset="0"/>
                </a:rPr>
                <a:t>∗((1+</a:t>
              </a:r>
              <a:r>
                <a:rPr lang="he-IL" sz="1100" b="0" i="0">
                  <a:latin typeface="Cambria Math" panose="02040503050406030204" pitchFamily="18" charset="0"/>
                </a:rPr>
                <a:t>4%</a:t>
              </a:r>
              <a:r>
                <a:rPr lang="en-US" sz="1100" b="0" i="0">
                  <a:latin typeface="Cambria Math" panose="02040503050406030204" pitchFamily="18" charset="0"/>
                </a:rPr>
                <a:t>)^</a:t>
              </a:r>
              <a:r>
                <a:rPr lang="he-IL" sz="1100" b="0" i="0">
                  <a:latin typeface="Cambria Math" panose="02040503050406030204" pitchFamily="18" charset="0"/>
                </a:rPr>
                <a:t>7</a:t>
              </a:r>
              <a:r>
                <a:rPr lang="en-US" sz="1100" b="0" i="0">
                  <a:latin typeface="Cambria Math" panose="02040503050406030204" pitchFamily="18" charset="0"/>
                </a:rPr>
                <a:t>−1)/(</a:t>
              </a:r>
              <a:r>
                <a:rPr lang="he-IL" sz="1100" b="0" i="0">
                  <a:latin typeface="Cambria Math" panose="02040503050406030204" pitchFamily="18" charset="0"/>
                </a:rPr>
                <a:t>4%</a:t>
              </a:r>
              <a:r>
                <a:rPr lang="en-US" sz="1100" b="0" i="0">
                  <a:latin typeface="Cambria Math" panose="02040503050406030204" pitchFamily="18" charset="0"/>
                </a:rPr>
                <a:t>)</a:t>
              </a:r>
              <a:r>
                <a:rPr lang="he-IL" sz="1100" b="0" i="0">
                  <a:latin typeface="Cambria Math" panose="02040503050406030204" pitchFamily="18" charset="0"/>
                </a:rPr>
                <a:t>=31,593.18</a:t>
              </a:r>
              <a:endParaRPr lang="en-US" sz="1100"/>
            </a:p>
          </xdr:txBody>
        </xdr:sp>
      </mc:Fallback>
    </mc:AlternateContent>
    <xdr:clientData/>
  </xdr:oneCellAnchor>
  <xdr:twoCellAnchor>
    <xdr:from>
      <xdr:col>4</xdr:col>
      <xdr:colOff>728277</xdr:colOff>
      <xdr:row>73</xdr:row>
      <xdr:rowOff>165028</xdr:rowOff>
    </xdr:from>
    <xdr:to>
      <xdr:col>5</xdr:col>
      <xdr:colOff>104040</xdr:colOff>
      <xdr:row>75</xdr:row>
      <xdr:rowOff>104040</xdr:rowOff>
    </xdr:to>
    <xdr:cxnSp macro="">
      <xdr:nvCxnSpPr>
        <xdr:cNvPr id="5" name="Straight Arrow Connector 4">
          <a:extLst>
            <a:ext uri="{FF2B5EF4-FFF2-40B4-BE49-F238E27FC236}">
              <a16:creationId xmlns:a16="http://schemas.microsoft.com/office/drawing/2014/main" id="{9690F68D-4E50-0543-9111-88E5BF44EBD3}"/>
            </a:ext>
          </a:extLst>
        </xdr:cNvPr>
        <xdr:cNvCxnSpPr/>
      </xdr:nvCxnSpPr>
      <xdr:spPr>
        <a:xfrm flipV="1">
          <a:off x="13515038644" y="15157486"/>
          <a:ext cx="200904" cy="35875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xdr:col>
      <xdr:colOff>825141</xdr:colOff>
      <xdr:row>80</xdr:row>
      <xdr:rowOff>0</xdr:rowOff>
    </xdr:from>
    <xdr:ext cx="2301753" cy="32739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034AAFB-7944-A641-95C4-56C4C189EB2A}"/>
                </a:ext>
              </a:extLst>
            </xdr:cNvPr>
            <xdr:cNvSpPr txBox="1"/>
          </xdr:nvSpPr>
          <xdr:spPr>
            <a:xfrm>
              <a:off x="13512840931" y="16445424"/>
              <a:ext cx="2301753" cy="32739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𝐹𝑉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r>
                          <a:rPr lang="en-US" sz="1100" b="0" i="1">
                            <a:latin typeface="Cambria Math" panose="02040503050406030204" pitchFamily="18" charset="0"/>
                          </a:rPr>
                          <m:t>−1</m:t>
                        </m:r>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6" name="TextBox 5">
              <a:extLst>
                <a:ext uri="{FF2B5EF4-FFF2-40B4-BE49-F238E27FC236}">
                  <a16:creationId xmlns:a16="http://schemas.microsoft.com/office/drawing/2014/main" id="{5034AAFB-7944-A641-95C4-56C4C189EB2A}"/>
                </a:ext>
              </a:extLst>
            </xdr:cNvPr>
            <xdr:cNvSpPr txBox="1"/>
          </xdr:nvSpPr>
          <xdr:spPr>
            <a:xfrm>
              <a:off x="13512840931" y="16445424"/>
              <a:ext cx="2301753" cy="32739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𝐹𝑉=𝑃𝑀𝑇∗((1+𝑟)^𝑛−1)/𝑟</a:t>
              </a:r>
              <a:endParaRPr lang="en-US" sz="1100"/>
            </a:p>
          </xdr:txBody>
        </xdr:sp>
      </mc:Fallback>
    </mc:AlternateContent>
    <xdr:clientData/>
  </xdr:oneCellAnchor>
  <xdr:oneCellAnchor>
    <xdr:from>
      <xdr:col>3</xdr:col>
      <xdr:colOff>789265</xdr:colOff>
      <xdr:row>82</xdr:row>
      <xdr:rowOff>93277</xdr:rowOff>
    </xdr:from>
    <xdr:ext cx="3166358" cy="34637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1455EE9-892E-7221-64A1-8DD2C0526DBF}"/>
                </a:ext>
              </a:extLst>
            </xdr:cNvPr>
            <xdr:cNvSpPr txBox="1"/>
          </xdr:nvSpPr>
          <xdr:spPr>
            <a:xfrm>
              <a:off x="13512837343" y="16947684"/>
              <a:ext cx="3166358" cy="3463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𝐹𝑉</m:t>
                    </m:r>
                    <m:r>
                      <a:rPr lang="en-US" sz="1100" b="0" i="1">
                        <a:latin typeface="Cambria Math" panose="02040503050406030204" pitchFamily="18" charset="0"/>
                      </a:rPr>
                      <m:t>=500∗</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5%</m:t>
                                </m:r>
                              </m:e>
                            </m:d>
                          </m:e>
                          <m:sup>
                            <m:r>
                              <a:rPr lang="he-IL" sz="1100" b="0" i="1">
                                <a:latin typeface="Cambria Math" panose="02040503050406030204" pitchFamily="18" charset="0"/>
                              </a:rPr>
                              <m:t>3</m:t>
                            </m:r>
                          </m:sup>
                        </m:sSup>
                        <m:r>
                          <a:rPr lang="en-US" sz="1100" b="0" i="1">
                            <a:latin typeface="Cambria Math" panose="02040503050406030204" pitchFamily="18" charset="0"/>
                          </a:rPr>
                          <m:t>−1</m:t>
                        </m:r>
                      </m:num>
                      <m:den>
                        <m:r>
                          <a:rPr lang="he-IL" sz="1100" b="0" i="1">
                            <a:latin typeface="Cambria Math" panose="02040503050406030204" pitchFamily="18" charset="0"/>
                          </a:rPr>
                          <m:t>5%</m:t>
                        </m:r>
                      </m:den>
                    </m:f>
                    <m:r>
                      <a:rPr lang="he-IL" sz="1100" b="0" i="1">
                        <a:latin typeface="Cambria Math" panose="02040503050406030204" pitchFamily="18" charset="0"/>
                      </a:rPr>
                      <m:t>∗</m:t>
                    </m:r>
                    <m:sSup>
                      <m:sSupPr>
                        <m:ctrlPr>
                          <a:rPr lang="he-IL"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1+5%</m:t>
                            </m:r>
                          </m:e>
                        </m:d>
                      </m:e>
                      <m:sup>
                        <m:r>
                          <a:rPr lang="he-IL" sz="1100" b="0" i="1">
                            <a:latin typeface="Cambria Math" panose="02040503050406030204" pitchFamily="18" charset="0"/>
                          </a:rPr>
                          <m:t>6</m:t>
                        </m:r>
                      </m:sup>
                    </m:sSup>
                    <m:r>
                      <a:rPr lang="he-IL" sz="1100" b="0" i="1">
                        <a:latin typeface="Cambria Math" panose="02040503050406030204" pitchFamily="18" charset="0"/>
                      </a:rPr>
                      <m:t>=</m:t>
                    </m:r>
                  </m:oMath>
                </m:oMathPara>
              </a14:m>
              <a:endParaRPr lang="en-US" sz="1100"/>
            </a:p>
          </xdr:txBody>
        </xdr:sp>
      </mc:Choice>
      <mc:Fallback xmlns="">
        <xdr:sp macro="" textlink="">
          <xdr:nvSpPr>
            <xdr:cNvPr id="7" name="TextBox 6">
              <a:extLst>
                <a:ext uri="{FF2B5EF4-FFF2-40B4-BE49-F238E27FC236}">
                  <a16:creationId xmlns:a16="http://schemas.microsoft.com/office/drawing/2014/main" id="{E1455EE9-892E-7221-64A1-8DD2C0526DBF}"/>
                </a:ext>
              </a:extLst>
            </xdr:cNvPr>
            <xdr:cNvSpPr txBox="1"/>
          </xdr:nvSpPr>
          <xdr:spPr>
            <a:xfrm>
              <a:off x="13512837343" y="16947684"/>
              <a:ext cx="3166358" cy="3463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𝐹𝑉=</a:t>
              </a:r>
              <a:r>
                <a:rPr lang="he-IL" sz="1100" b="0" i="0">
                  <a:latin typeface="Cambria Math" panose="02040503050406030204" pitchFamily="18" charset="0"/>
                </a:rPr>
                <a:t>500</a:t>
              </a:r>
              <a:r>
                <a:rPr lang="en-US" sz="1100" b="0" i="0">
                  <a:latin typeface="Cambria Math" panose="02040503050406030204" pitchFamily="18" charset="0"/>
                </a:rPr>
                <a:t>∗((1+</a:t>
              </a:r>
              <a:r>
                <a:rPr lang="he-IL" sz="1100" b="0" i="0">
                  <a:latin typeface="Cambria Math" panose="02040503050406030204" pitchFamily="18" charset="0"/>
                </a:rPr>
                <a:t>5%</a:t>
              </a:r>
              <a:r>
                <a:rPr lang="en-US" sz="1100" b="0" i="0">
                  <a:latin typeface="Cambria Math" panose="02040503050406030204" pitchFamily="18" charset="0"/>
                </a:rPr>
                <a:t>)^</a:t>
              </a:r>
              <a:r>
                <a:rPr lang="he-IL" sz="1100" b="0" i="0">
                  <a:latin typeface="Cambria Math" panose="02040503050406030204" pitchFamily="18" charset="0"/>
                </a:rPr>
                <a:t>3</a:t>
              </a:r>
              <a:r>
                <a:rPr lang="en-US" sz="1100" b="0" i="0">
                  <a:latin typeface="Cambria Math" panose="02040503050406030204" pitchFamily="18" charset="0"/>
                </a:rPr>
                <a:t>−1)/(</a:t>
              </a:r>
              <a:r>
                <a:rPr lang="he-IL" sz="1100" b="0" i="0">
                  <a:latin typeface="Cambria Math" panose="02040503050406030204" pitchFamily="18" charset="0"/>
                </a:rPr>
                <a:t>5%</a:t>
              </a:r>
              <a:r>
                <a:rPr lang="en-US" sz="1100" b="0" i="0">
                  <a:latin typeface="Cambria Math" panose="02040503050406030204" pitchFamily="18" charset="0"/>
                </a:rPr>
                <a:t>)</a:t>
              </a:r>
              <a:r>
                <a:rPr lang="he-IL" sz="1100" b="0" i="0">
                  <a:latin typeface="Cambria Math" panose="02040503050406030204" pitchFamily="18" charset="0"/>
                </a:rPr>
                <a:t>∗(1+5%)^6=</a:t>
              </a:r>
              <a:endParaRPr lang="en-US" sz="1100"/>
            </a:p>
          </xdr:txBody>
        </xdr:sp>
      </mc:Fallback>
    </mc:AlternateContent>
    <xdr:clientData/>
  </xdr:oneCellAnchor>
  <xdr:twoCellAnchor>
    <xdr:from>
      <xdr:col>6</xdr:col>
      <xdr:colOff>46639</xdr:colOff>
      <xdr:row>84</xdr:row>
      <xdr:rowOff>104039</xdr:rowOff>
    </xdr:from>
    <xdr:to>
      <xdr:col>6</xdr:col>
      <xdr:colOff>46639</xdr:colOff>
      <xdr:row>85</xdr:row>
      <xdr:rowOff>154266</xdr:rowOff>
    </xdr:to>
    <xdr:cxnSp macro="">
      <xdr:nvCxnSpPr>
        <xdr:cNvPr id="8" name="Straight Arrow Connector 7">
          <a:extLst>
            <a:ext uri="{FF2B5EF4-FFF2-40B4-BE49-F238E27FC236}">
              <a16:creationId xmlns:a16="http://schemas.microsoft.com/office/drawing/2014/main" id="{74EDDB0C-78AC-7E2A-CA82-61E9D006F21C}"/>
            </a:ext>
          </a:extLst>
        </xdr:cNvPr>
        <xdr:cNvCxnSpPr/>
      </xdr:nvCxnSpPr>
      <xdr:spPr>
        <a:xfrm>
          <a:off x="13514270904" y="17367429"/>
          <a:ext cx="0" cy="25471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760565</xdr:colOff>
      <xdr:row>84</xdr:row>
      <xdr:rowOff>75338</xdr:rowOff>
    </xdr:from>
    <xdr:to>
      <xdr:col>4</xdr:col>
      <xdr:colOff>760565</xdr:colOff>
      <xdr:row>85</xdr:row>
      <xdr:rowOff>125565</xdr:rowOff>
    </xdr:to>
    <xdr:cxnSp macro="">
      <xdr:nvCxnSpPr>
        <xdr:cNvPr id="11" name="Straight Arrow Connector 10">
          <a:extLst>
            <a:ext uri="{FF2B5EF4-FFF2-40B4-BE49-F238E27FC236}">
              <a16:creationId xmlns:a16="http://schemas.microsoft.com/office/drawing/2014/main" id="{EBE02049-2D20-FFD2-9FD3-76BF79B3E054}"/>
            </a:ext>
          </a:extLst>
        </xdr:cNvPr>
        <xdr:cNvCxnSpPr/>
      </xdr:nvCxnSpPr>
      <xdr:spPr>
        <a:xfrm>
          <a:off x="13515207260" y="17338728"/>
          <a:ext cx="0" cy="25471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642987</xdr:colOff>
      <xdr:row>103</xdr:row>
      <xdr:rowOff>131792</xdr:rowOff>
    </xdr:from>
    <xdr:to>
      <xdr:col>6</xdr:col>
      <xdr:colOff>83868</xdr:colOff>
      <xdr:row>105</xdr:row>
      <xdr:rowOff>83868</xdr:rowOff>
    </xdr:to>
    <xdr:cxnSp macro="">
      <xdr:nvCxnSpPr>
        <xdr:cNvPr id="15" name="Straight Arrow Connector 14">
          <a:extLst>
            <a:ext uri="{FF2B5EF4-FFF2-40B4-BE49-F238E27FC236}">
              <a16:creationId xmlns:a16="http://schemas.microsoft.com/office/drawing/2014/main" id="{F89355B6-F7FE-A04A-0731-8531D0A614DF}"/>
            </a:ext>
          </a:extLst>
        </xdr:cNvPr>
        <xdr:cNvCxnSpPr/>
      </xdr:nvCxnSpPr>
      <xdr:spPr>
        <a:xfrm flipV="1">
          <a:off x="13539729591" y="21230566"/>
          <a:ext cx="267579" cy="37141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642987</xdr:colOff>
      <xdr:row>103</xdr:row>
      <xdr:rowOff>131792</xdr:rowOff>
    </xdr:from>
    <xdr:to>
      <xdr:col>1</xdr:col>
      <xdr:colOff>83868</xdr:colOff>
      <xdr:row>105</xdr:row>
      <xdr:rowOff>83868</xdr:rowOff>
    </xdr:to>
    <xdr:cxnSp macro="">
      <xdr:nvCxnSpPr>
        <xdr:cNvPr id="16" name="Straight Arrow Connector 15">
          <a:extLst>
            <a:ext uri="{FF2B5EF4-FFF2-40B4-BE49-F238E27FC236}">
              <a16:creationId xmlns:a16="http://schemas.microsoft.com/office/drawing/2014/main" id="{63F83C0C-AB32-8D45-809B-39F63BA54666}"/>
            </a:ext>
          </a:extLst>
        </xdr:cNvPr>
        <xdr:cNvCxnSpPr/>
      </xdr:nvCxnSpPr>
      <xdr:spPr>
        <a:xfrm flipV="1">
          <a:off x="13539729591" y="21230566"/>
          <a:ext cx="267579" cy="37141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790754</xdr:colOff>
      <xdr:row>129</xdr:row>
      <xdr:rowOff>115817</xdr:rowOff>
    </xdr:from>
    <xdr:to>
      <xdr:col>6</xdr:col>
      <xdr:colOff>670942</xdr:colOff>
      <xdr:row>129</xdr:row>
      <xdr:rowOff>139779</xdr:rowOff>
    </xdr:to>
    <xdr:cxnSp macro="">
      <xdr:nvCxnSpPr>
        <xdr:cNvPr id="18" name="Straight Arrow Connector 17">
          <a:extLst>
            <a:ext uri="{FF2B5EF4-FFF2-40B4-BE49-F238E27FC236}">
              <a16:creationId xmlns:a16="http://schemas.microsoft.com/office/drawing/2014/main" id="{1A5B3FBD-7F6A-C16A-926A-BA5B3E9D3840}"/>
            </a:ext>
          </a:extLst>
        </xdr:cNvPr>
        <xdr:cNvCxnSpPr/>
      </xdr:nvCxnSpPr>
      <xdr:spPr>
        <a:xfrm>
          <a:off x="13539142517" y="26330534"/>
          <a:ext cx="4013679" cy="2396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403363</xdr:colOff>
      <xdr:row>129</xdr:row>
      <xdr:rowOff>29954</xdr:rowOff>
    </xdr:from>
    <xdr:to>
      <xdr:col>5</xdr:col>
      <xdr:colOff>453285</xdr:colOff>
      <xdr:row>130</xdr:row>
      <xdr:rowOff>179717</xdr:rowOff>
    </xdr:to>
    <xdr:sp macro="" textlink="">
      <xdr:nvSpPr>
        <xdr:cNvPr id="19" name="Left Brace 18">
          <a:extLst>
            <a:ext uri="{FF2B5EF4-FFF2-40B4-BE49-F238E27FC236}">
              <a16:creationId xmlns:a16="http://schemas.microsoft.com/office/drawing/2014/main" id="{51BBB001-6B51-6F68-A4DE-C587C50B7816}"/>
            </a:ext>
          </a:extLst>
        </xdr:cNvPr>
        <xdr:cNvSpPr/>
      </xdr:nvSpPr>
      <xdr:spPr>
        <a:xfrm rot="16200000">
          <a:off x="13541275160" y="25156383"/>
          <a:ext cx="353442" cy="2530017"/>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1</xdr:col>
      <xdr:colOff>790754</xdr:colOff>
      <xdr:row>133</xdr:row>
      <xdr:rowOff>115817</xdr:rowOff>
    </xdr:from>
    <xdr:to>
      <xdr:col>6</xdr:col>
      <xdr:colOff>670942</xdr:colOff>
      <xdr:row>133</xdr:row>
      <xdr:rowOff>139779</xdr:rowOff>
    </xdr:to>
    <xdr:cxnSp macro="">
      <xdr:nvCxnSpPr>
        <xdr:cNvPr id="20" name="Straight Arrow Connector 19">
          <a:extLst>
            <a:ext uri="{FF2B5EF4-FFF2-40B4-BE49-F238E27FC236}">
              <a16:creationId xmlns:a16="http://schemas.microsoft.com/office/drawing/2014/main" id="{C4481353-B391-A340-A440-8A37B7455685}"/>
            </a:ext>
          </a:extLst>
        </xdr:cNvPr>
        <xdr:cNvCxnSpPr/>
      </xdr:nvCxnSpPr>
      <xdr:spPr>
        <a:xfrm>
          <a:off x="13539142517" y="26534213"/>
          <a:ext cx="4013679" cy="2396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403222</xdr:colOff>
      <xdr:row>133</xdr:row>
      <xdr:rowOff>5992</xdr:rowOff>
    </xdr:from>
    <xdr:to>
      <xdr:col>6</xdr:col>
      <xdr:colOff>405360</xdr:colOff>
      <xdr:row>134</xdr:row>
      <xdr:rowOff>152399</xdr:rowOff>
    </xdr:to>
    <xdr:sp macro="" textlink="">
      <xdr:nvSpPr>
        <xdr:cNvPr id="21" name="Left Brace 20">
          <a:extLst>
            <a:ext uri="{FF2B5EF4-FFF2-40B4-BE49-F238E27FC236}">
              <a16:creationId xmlns:a16="http://schemas.microsoft.com/office/drawing/2014/main" id="{F47F3919-64FE-2349-90BA-3853736BD47F}"/>
            </a:ext>
          </a:extLst>
        </xdr:cNvPr>
        <xdr:cNvSpPr/>
      </xdr:nvSpPr>
      <xdr:spPr>
        <a:xfrm rot="16200000">
          <a:off x="13520850555" y="26119477"/>
          <a:ext cx="349607" cy="2478638"/>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5</xdr:col>
      <xdr:colOff>507201</xdr:colOff>
      <xdr:row>129</xdr:row>
      <xdr:rowOff>123805</xdr:rowOff>
    </xdr:from>
    <xdr:to>
      <xdr:col>6</xdr:col>
      <xdr:colOff>327484</xdr:colOff>
      <xdr:row>131</xdr:row>
      <xdr:rowOff>187704</xdr:rowOff>
    </xdr:to>
    <xdr:cxnSp macro="">
      <xdr:nvCxnSpPr>
        <xdr:cNvPr id="23" name="Straight Arrow Connector 22">
          <a:extLst>
            <a:ext uri="{FF2B5EF4-FFF2-40B4-BE49-F238E27FC236}">
              <a16:creationId xmlns:a16="http://schemas.microsoft.com/office/drawing/2014/main" id="{DC40560F-E001-C665-58D8-B9B7AFCB866D}"/>
            </a:ext>
          </a:extLst>
        </xdr:cNvPr>
        <xdr:cNvCxnSpPr/>
      </xdr:nvCxnSpPr>
      <xdr:spPr>
        <a:xfrm flipH="1">
          <a:off x="13539485975" y="26542201"/>
          <a:ext cx="646981" cy="47125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435314</xdr:colOff>
      <xdr:row>130</xdr:row>
      <xdr:rowOff>27956</xdr:rowOff>
    </xdr:from>
    <xdr:to>
      <xdr:col>3</xdr:col>
      <xdr:colOff>255597</xdr:colOff>
      <xdr:row>132</xdr:row>
      <xdr:rowOff>91855</xdr:rowOff>
    </xdr:to>
    <xdr:cxnSp macro="">
      <xdr:nvCxnSpPr>
        <xdr:cNvPr id="24" name="Straight Arrow Connector 23">
          <a:extLst>
            <a:ext uri="{FF2B5EF4-FFF2-40B4-BE49-F238E27FC236}">
              <a16:creationId xmlns:a16="http://schemas.microsoft.com/office/drawing/2014/main" id="{BDD5B2DB-DA44-99A2-D58A-FBB3B99020E4}"/>
            </a:ext>
          </a:extLst>
        </xdr:cNvPr>
        <xdr:cNvCxnSpPr/>
      </xdr:nvCxnSpPr>
      <xdr:spPr>
        <a:xfrm flipH="1">
          <a:off x="13542037957" y="26650031"/>
          <a:ext cx="646981" cy="47125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642987</xdr:colOff>
      <xdr:row>140</xdr:row>
      <xdr:rowOff>131792</xdr:rowOff>
    </xdr:from>
    <xdr:to>
      <xdr:col>5</xdr:col>
      <xdr:colOff>83868</xdr:colOff>
      <xdr:row>142</xdr:row>
      <xdr:rowOff>83868</xdr:rowOff>
    </xdr:to>
    <xdr:cxnSp macro="">
      <xdr:nvCxnSpPr>
        <xdr:cNvPr id="26" name="Straight Arrow Connector 25">
          <a:extLst>
            <a:ext uri="{FF2B5EF4-FFF2-40B4-BE49-F238E27FC236}">
              <a16:creationId xmlns:a16="http://schemas.microsoft.com/office/drawing/2014/main" id="{FADD4ED6-9636-2D42-9E5D-AF21B7BC88C7}"/>
            </a:ext>
          </a:extLst>
        </xdr:cNvPr>
        <xdr:cNvCxnSpPr/>
      </xdr:nvCxnSpPr>
      <xdr:spPr>
        <a:xfrm flipV="1">
          <a:off x="13530904817" y="21084595"/>
          <a:ext cx="267040" cy="36955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642987</xdr:colOff>
      <xdr:row>160</xdr:row>
      <xdr:rowOff>131792</xdr:rowOff>
    </xdr:from>
    <xdr:to>
      <xdr:col>5</xdr:col>
      <xdr:colOff>83868</xdr:colOff>
      <xdr:row>162</xdr:row>
      <xdr:rowOff>83868</xdr:rowOff>
    </xdr:to>
    <xdr:cxnSp macro="">
      <xdr:nvCxnSpPr>
        <xdr:cNvPr id="28" name="Straight Arrow Connector 27">
          <a:extLst>
            <a:ext uri="{FF2B5EF4-FFF2-40B4-BE49-F238E27FC236}">
              <a16:creationId xmlns:a16="http://schemas.microsoft.com/office/drawing/2014/main" id="{FFCB9507-DC79-FF4D-8391-9C6237093EF6}"/>
            </a:ext>
          </a:extLst>
        </xdr:cNvPr>
        <xdr:cNvCxnSpPr/>
      </xdr:nvCxnSpPr>
      <xdr:spPr>
        <a:xfrm flipV="1">
          <a:off x="13515058816" y="28889758"/>
          <a:ext cx="266022" cy="37182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681790</xdr:colOff>
      <xdr:row>285</xdr:row>
      <xdr:rowOff>120315</xdr:rowOff>
    </xdr:from>
    <xdr:to>
      <xdr:col>4</xdr:col>
      <xdr:colOff>80211</xdr:colOff>
      <xdr:row>287</xdr:row>
      <xdr:rowOff>93579</xdr:rowOff>
    </xdr:to>
    <xdr:cxnSp macro="">
      <xdr:nvCxnSpPr>
        <xdr:cNvPr id="31" name="Straight Arrow Connector 30">
          <a:extLst>
            <a:ext uri="{FF2B5EF4-FFF2-40B4-BE49-F238E27FC236}">
              <a16:creationId xmlns:a16="http://schemas.microsoft.com/office/drawing/2014/main" id="{7F41B53A-9946-410A-FE8A-D8D6DE778ADF}"/>
            </a:ext>
          </a:extLst>
        </xdr:cNvPr>
        <xdr:cNvCxnSpPr/>
      </xdr:nvCxnSpPr>
      <xdr:spPr>
        <a:xfrm flipV="1">
          <a:off x="13521763526" y="45415868"/>
          <a:ext cx="223921" cy="394369"/>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748633</xdr:colOff>
      <xdr:row>285</xdr:row>
      <xdr:rowOff>137026</xdr:rowOff>
    </xdr:from>
    <xdr:to>
      <xdr:col>3</xdr:col>
      <xdr:colOff>147054</xdr:colOff>
      <xdr:row>287</xdr:row>
      <xdr:rowOff>110290</xdr:rowOff>
    </xdr:to>
    <xdr:cxnSp macro="">
      <xdr:nvCxnSpPr>
        <xdr:cNvPr id="32" name="Straight Arrow Connector 31">
          <a:extLst>
            <a:ext uri="{FF2B5EF4-FFF2-40B4-BE49-F238E27FC236}">
              <a16:creationId xmlns:a16="http://schemas.microsoft.com/office/drawing/2014/main" id="{5DAD6269-5B66-B167-33CD-A3608BB8644A}"/>
            </a:ext>
          </a:extLst>
        </xdr:cNvPr>
        <xdr:cNvCxnSpPr/>
      </xdr:nvCxnSpPr>
      <xdr:spPr>
        <a:xfrm flipV="1">
          <a:off x="13522522183" y="45432579"/>
          <a:ext cx="223921" cy="394369"/>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707680</xdr:colOff>
      <xdr:row>298</xdr:row>
      <xdr:rowOff>181624</xdr:rowOff>
    </xdr:from>
    <xdr:ext cx="2160796" cy="331501"/>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D6E09D48-669C-F3B9-3BF3-DAD5A158CBA3}"/>
                </a:ext>
              </a:extLst>
            </xdr:cNvPr>
            <xdr:cNvSpPr txBox="1"/>
          </xdr:nvSpPr>
          <xdr:spPr>
            <a:xfrm>
              <a:off x="13532332488" y="47852528"/>
              <a:ext cx="216079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𝐹𝑉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r>
                          <a:rPr lang="en-US" sz="1100" b="0" i="1">
                            <a:latin typeface="Cambria Math" panose="02040503050406030204" pitchFamily="18" charset="0"/>
                          </a:rPr>
                          <m:t>−1</m:t>
                        </m:r>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33" name="TextBox 32">
              <a:extLst>
                <a:ext uri="{FF2B5EF4-FFF2-40B4-BE49-F238E27FC236}">
                  <a16:creationId xmlns:a16="http://schemas.microsoft.com/office/drawing/2014/main" id="{D6E09D48-669C-F3B9-3BF3-DAD5A158CBA3}"/>
                </a:ext>
              </a:extLst>
            </xdr:cNvPr>
            <xdr:cNvSpPr txBox="1"/>
          </xdr:nvSpPr>
          <xdr:spPr>
            <a:xfrm>
              <a:off x="13532332488" y="47852528"/>
              <a:ext cx="216079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𝐹𝑉=𝑃𝑀𝑇∗((1+𝑟)^𝑛−1)/𝑟</a:t>
              </a:r>
              <a:endParaRPr lang="en-US" sz="1100"/>
            </a:p>
          </xdr:txBody>
        </xdr:sp>
      </mc:Fallback>
    </mc:AlternateContent>
    <xdr:clientData/>
  </xdr:oneCellAnchor>
  <xdr:oneCellAnchor>
    <xdr:from>
      <xdr:col>0</xdr:col>
      <xdr:colOff>313675</xdr:colOff>
      <xdr:row>301</xdr:row>
      <xdr:rowOff>47738</xdr:rowOff>
    </xdr:from>
    <xdr:ext cx="7432061" cy="346377"/>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25FF2013-829F-DD1F-3B1D-F56D20A6859D}"/>
                </a:ext>
              </a:extLst>
            </xdr:cNvPr>
            <xdr:cNvSpPr txBox="1"/>
          </xdr:nvSpPr>
          <xdr:spPr>
            <a:xfrm>
              <a:off x="13529934023" y="48326865"/>
              <a:ext cx="7432061" cy="3463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500,000=</m:t>
                    </m:r>
                    <m:r>
                      <a:rPr lang="en-US" sz="1100" b="0" i="1">
                        <a:latin typeface="Cambria Math" panose="02040503050406030204" pitchFamily="18" charset="0"/>
                      </a:rPr>
                      <m:t>𝑥</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1+4%</m:t>
                                </m:r>
                              </m:e>
                            </m:d>
                          </m:e>
                          <m:sup>
                            <m:r>
                              <a:rPr lang="en-US" sz="1100" b="0" i="1">
                                <a:latin typeface="Cambria Math" panose="02040503050406030204" pitchFamily="18" charset="0"/>
                              </a:rPr>
                              <m:t>3</m:t>
                            </m:r>
                          </m:sup>
                        </m:sSup>
                        <m:r>
                          <a:rPr lang="en-US" sz="1100" b="0" i="1">
                            <a:latin typeface="Cambria Math" panose="02040503050406030204" pitchFamily="18" charset="0"/>
                          </a:rPr>
                          <m:t>−1</m:t>
                        </m:r>
                      </m:num>
                      <m:den>
                        <m:r>
                          <a:rPr lang="en-US" sz="1100" b="0" i="1">
                            <a:latin typeface="Cambria Math" panose="02040503050406030204" pitchFamily="18" charset="0"/>
                          </a:rPr>
                          <m:t>4%</m:t>
                        </m:r>
                      </m:den>
                    </m:f>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1+2%</m:t>
                            </m:r>
                          </m:e>
                        </m:d>
                      </m:e>
                      <m:sup>
                        <m:r>
                          <a:rPr lang="en-US" sz="1100" b="0" i="1">
                            <a:latin typeface="Cambria Math" panose="02040503050406030204" pitchFamily="18" charset="0"/>
                          </a:rPr>
                          <m:t>6</m:t>
                        </m:r>
                      </m:sup>
                    </m:sSup>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1+7%</m:t>
                            </m:r>
                          </m:e>
                        </m:d>
                      </m:e>
                      <m:sup>
                        <m:r>
                          <a:rPr lang="en-US" sz="1100" b="0" i="1">
                            <a:latin typeface="Cambria Math" panose="02040503050406030204" pitchFamily="18" charset="0"/>
                          </a:rPr>
                          <m:t>11</m:t>
                        </m:r>
                      </m:sup>
                    </m:sSup>
                    <m:r>
                      <a:rPr lang="en-US" sz="1100" b="0" i="1">
                        <a:latin typeface="Cambria Math" panose="02040503050406030204" pitchFamily="18" charset="0"/>
                      </a:rPr>
                      <m:t>+</m:t>
                    </m:r>
                    <m:r>
                      <a:rPr lang="en-US" sz="1100" b="0" i="1">
                        <a:latin typeface="Cambria Math" panose="02040503050406030204" pitchFamily="18" charset="0"/>
                      </a:rPr>
                      <m:t>𝑥</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1+2%</m:t>
                                </m:r>
                              </m:e>
                            </m:d>
                          </m:e>
                          <m:sup>
                            <m:r>
                              <a:rPr lang="en-US" sz="1100" b="0" i="1">
                                <a:latin typeface="Cambria Math" panose="02040503050406030204" pitchFamily="18" charset="0"/>
                              </a:rPr>
                              <m:t>6</m:t>
                            </m:r>
                          </m:sup>
                        </m:sSup>
                        <m:r>
                          <a:rPr lang="en-US" sz="1100" b="0" i="1">
                            <a:latin typeface="Cambria Math" panose="02040503050406030204" pitchFamily="18" charset="0"/>
                          </a:rPr>
                          <m:t>−1</m:t>
                        </m:r>
                      </m:num>
                      <m:den>
                        <m:r>
                          <a:rPr lang="en-US" sz="1100" b="0" i="1">
                            <a:latin typeface="Cambria Math" panose="02040503050406030204" pitchFamily="18" charset="0"/>
                          </a:rPr>
                          <m:t>2%</m:t>
                        </m:r>
                      </m:den>
                    </m:f>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1+7%</m:t>
                            </m:r>
                          </m:e>
                        </m:d>
                      </m:e>
                      <m:sup>
                        <m:r>
                          <a:rPr lang="en-US" sz="1100" b="0" i="1">
                            <a:latin typeface="Cambria Math" panose="02040503050406030204" pitchFamily="18" charset="0"/>
                          </a:rPr>
                          <m:t>11</m:t>
                        </m:r>
                      </m:sup>
                    </m:sSup>
                    <m:r>
                      <a:rPr lang="en-US" sz="1100" b="0" i="1">
                        <a:latin typeface="Cambria Math" panose="02040503050406030204" pitchFamily="18" charset="0"/>
                      </a:rPr>
                      <m:t>+</m:t>
                    </m:r>
                    <m:r>
                      <a:rPr lang="en-US" sz="1100" b="0" i="1">
                        <a:latin typeface="Cambria Math" panose="02040503050406030204" pitchFamily="18" charset="0"/>
                      </a:rPr>
                      <m:t>𝑥</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1+7%</m:t>
                                </m:r>
                              </m:e>
                            </m:d>
                          </m:e>
                          <m:sup>
                            <m:r>
                              <a:rPr lang="en-US" sz="1100" b="0" i="1">
                                <a:latin typeface="Cambria Math" panose="02040503050406030204" pitchFamily="18" charset="0"/>
                              </a:rPr>
                              <m:t>11</m:t>
                            </m:r>
                          </m:sup>
                        </m:sSup>
                        <m:r>
                          <a:rPr lang="en-US" sz="1100" b="0" i="1">
                            <a:latin typeface="Cambria Math" panose="02040503050406030204" pitchFamily="18" charset="0"/>
                          </a:rPr>
                          <m:t>−1</m:t>
                        </m:r>
                      </m:num>
                      <m:den>
                        <m:r>
                          <a:rPr lang="en-US" sz="1100" b="0" i="1">
                            <a:latin typeface="Cambria Math" panose="02040503050406030204" pitchFamily="18" charset="0"/>
                          </a:rPr>
                          <m:t>7%</m:t>
                        </m:r>
                      </m:den>
                    </m:f>
                  </m:oMath>
                </m:oMathPara>
              </a14:m>
              <a:endParaRPr lang="en-US" sz="1100"/>
            </a:p>
          </xdr:txBody>
        </xdr:sp>
      </mc:Choice>
      <mc:Fallback xmlns="">
        <xdr:sp macro="" textlink="">
          <xdr:nvSpPr>
            <xdr:cNvPr id="34" name="TextBox 33">
              <a:extLst>
                <a:ext uri="{FF2B5EF4-FFF2-40B4-BE49-F238E27FC236}">
                  <a16:creationId xmlns:a16="http://schemas.microsoft.com/office/drawing/2014/main" id="{25FF2013-829F-DD1F-3B1D-F56D20A6859D}"/>
                </a:ext>
              </a:extLst>
            </xdr:cNvPr>
            <xdr:cNvSpPr txBox="1"/>
          </xdr:nvSpPr>
          <xdr:spPr>
            <a:xfrm>
              <a:off x="13529934023" y="48326865"/>
              <a:ext cx="7432061" cy="3463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500,000=𝑥∗((1+4%)^3−1)/(4%)∗(1+2%)^6∗(1+7%)^11+𝑥∗((1+2%)^6−1)/(2%)∗(1+7%)^11+𝑥∗((1+7%)^11−1)/(7%)</a:t>
              </a:r>
              <a:endParaRPr lang="en-US" sz="1100"/>
            </a:p>
          </xdr:txBody>
        </xdr:sp>
      </mc:Fallback>
    </mc:AlternateContent>
    <xdr:clientData/>
  </xdr:oneCellAnchor>
  <xdr:twoCellAnchor>
    <xdr:from>
      <xdr:col>0</xdr:col>
      <xdr:colOff>476695</xdr:colOff>
      <xdr:row>202</xdr:row>
      <xdr:rowOff>88935</xdr:rowOff>
    </xdr:from>
    <xdr:to>
      <xdr:col>7</xdr:col>
      <xdr:colOff>124510</xdr:colOff>
      <xdr:row>202</xdr:row>
      <xdr:rowOff>99607</xdr:rowOff>
    </xdr:to>
    <xdr:cxnSp macro="">
      <xdr:nvCxnSpPr>
        <xdr:cNvPr id="36" name="Straight Arrow Connector 35">
          <a:extLst>
            <a:ext uri="{FF2B5EF4-FFF2-40B4-BE49-F238E27FC236}">
              <a16:creationId xmlns:a16="http://schemas.microsoft.com/office/drawing/2014/main" id="{D802A5E8-2323-4B4D-A7F1-567D79F9D6F8}"/>
            </a:ext>
          </a:extLst>
        </xdr:cNvPr>
        <xdr:cNvCxnSpPr/>
      </xdr:nvCxnSpPr>
      <xdr:spPr>
        <a:xfrm flipV="1">
          <a:off x="13516328963" y="41305238"/>
          <a:ext cx="5425070" cy="1067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382422</xdr:colOff>
      <xdr:row>202</xdr:row>
      <xdr:rowOff>12451</xdr:rowOff>
    </xdr:from>
    <xdr:to>
      <xdr:col>5</xdr:col>
      <xdr:colOff>410881</xdr:colOff>
      <xdr:row>203</xdr:row>
      <xdr:rowOff>190322</xdr:rowOff>
    </xdr:to>
    <xdr:sp macro="" textlink="">
      <xdr:nvSpPr>
        <xdr:cNvPr id="37" name="Left Brace 36">
          <a:extLst>
            <a:ext uri="{FF2B5EF4-FFF2-40B4-BE49-F238E27FC236}">
              <a16:creationId xmlns:a16="http://schemas.microsoft.com/office/drawing/2014/main" id="{3990A363-FC83-B571-7648-3DBE9C42110E}"/>
            </a:ext>
          </a:extLst>
        </xdr:cNvPr>
        <xdr:cNvSpPr/>
      </xdr:nvSpPr>
      <xdr:spPr>
        <a:xfrm rot="16200000">
          <a:off x="13517929805" y="40992185"/>
          <a:ext cx="380644" cy="853781"/>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1</xdr:col>
      <xdr:colOff>380641</xdr:colOff>
      <xdr:row>201</xdr:row>
      <xdr:rowOff>200995</xdr:rowOff>
    </xdr:from>
    <xdr:to>
      <xdr:col>3</xdr:col>
      <xdr:colOff>396650</xdr:colOff>
      <xdr:row>203</xdr:row>
      <xdr:rowOff>110280</xdr:rowOff>
    </xdr:to>
    <xdr:sp macro="" textlink="">
      <xdr:nvSpPr>
        <xdr:cNvPr id="38" name="Left Brace 37">
          <a:extLst>
            <a:ext uri="{FF2B5EF4-FFF2-40B4-BE49-F238E27FC236}">
              <a16:creationId xmlns:a16="http://schemas.microsoft.com/office/drawing/2014/main" id="{4F867133-3FB2-ADF1-E591-C29537E9AB38}"/>
            </a:ext>
          </a:extLst>
        </xdr:cNvPr>
        <xdr:cNvSpPr/>
      </xdr:nvSpPr>
      <xdr:spPr>
        <a:xfrm rot="16200000">
          <a:off x="13520034023" y="40538613"/>
          <a:ext cx="314832" cy="1666653"/>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6</xdr:col>
      <xdr:colOff>727974</xdr:colOff>
      <xdr:row>245</xdr:row>
      <xdr:rowOff>130561</xdr:rowOff>
    </xdr:from>
    <xdr:to>
      <xdr:col>7</xdr:col>
      <xdr:colOff>94953</xdr:colOff>
      <xdr:row>247</xdr:row>
      <xdr:rowOff>87040</xdr:rowOff>
    </xdr:to>
    <xdr:cxnSp macro="">
      <xdr:nvCxnSpPr>
        <xdr:cNvPr id="47" name="Straight Arrow Connector 46">
          <a:extLst>
            <a:ext uri="{FF2B5EF4-FFF2-40B4-BE49-F238E27FC236}">
              <a16:creationId xmlns:a16="http://schemas.microsoft.com/office/drawing/2014/main" id="{3E80551C-3C0D-4174-001F-6B9C0FC2DA57}"/>
            </a:ext>
          </a:extLst>
        </xdr:cNvPr>
        <xdr:cNvCxnSpPr/>
      </xdr:nvCxnSpPr>
      <xdr:spPr>
        <a:xfrm>
          <a:off x="13541946698" y="50689221"/>
          <a:ext cx="193863" cy="360031"/>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0</xdr:col>
      <xdr:colOff>462629</xdr:colOff>
      <xdr:row>212</xdr:row>
      <xdr:rowOff>60710</xdr:rowOff>
    </xdr:from>
    <xdr:ext cx="2788604" cy="34195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2244CB6-0DC6-4070-7DF0-E9F37D049D87}"/>
                </a:ext>
              </a:extLst>
            </xdr:cNvPr>
            <xdr:cNvSpPr txBox="1"/>
          </xdr:nvSpPr>
          <xdr:spPr>
            <a:xfrm>
              <a:off x="13518675139" y="43593265"/>
              <a:ext cx="2788604" cy="3419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𝑆𝑒𝑟𝑖𝑒𝑠</m:t>
                        </m:r>
                      </m:sub>
                    </m:sSub>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𝑟</m:t>
                        </m:r>
                      </m:den>
                    </m:f>
                    <m:r>
                      <a:rPr lang="en-US" sz="1100" b="0" i="1">
                        <a:latin typeface="Cambria Math" panose="02040503050406030204" pitchFamily="18" charset="0"/>
                      </a:rPr>
                      <m:t>∗</m:t>
                    </m:r>
                    <m:d>
                      <m:dPr>
                        <m:begChr m:val="["/>
                        <m:endChr m:val="]"/>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e>
                    </m:d>
                  </m:oMath>
                </m:oMathPara>
              </a14:m>
              <a:endParaRPr lang="en-US" sz="1100"/>
            </a:p>
          </xdr:txBody>
        </xdr:sp>
      </mc:Choice>
      <mc:Fallback xmlns="">
        <xdr:sp macro="" textlink="">
          <xdr:nvSpPr>
            <xdr:cNvPr id="4" name="TextBox 3">
              <a:extLst>
                <a:ext uri="{FF2B5EF4-FFF2-40B4-BE49-F238E27FC236}">
                  <a16:creationId xmlns:a16="http://schemas.microsoft.com/office/drawing/2014/main" id="{72244CB6-0DC6-4070-7DF0-E9F37D049D87}"/>
                </a:ext>
              </a:extLst>
            </xdr:cNvPr>
            <xdr:cNvSpPr txBox="1"/>
          </xdr:nvSpPr>
          <xdr:spPr>
            <a:xfrm>
              <a:off x="13518675139" y="43593265"/>
              <a:ext cx="2788604" cy="3419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𝑃𝑉_𝑆𝑒𝑟𝑖𝑒𝑠=𝑃𝑀𝑇∗1/𝑟∗[1−1/(1+𝑟)^𝑛 ]</a:t>
              </a:r>
              <a:endParaRPr lang="en-US" sz="1100"/>
            </a:p>
          </xdr:txBody>
        </xdr:sp>
      </mc:Fallback>
    </mc:AlternateContent>
    <xdr:clientData/>
  </xdr:oneCellAnchor>
  <xdr:oneCellAnchor>
    <xdr:from>
      <xdr:col>0</xdr:col>
      <xdr:colOff>107951</xdr:colOff>
      <xdr:row>214</xdr:row>
      <xdr:rowOff>93662</xdr:rowOff>
    </xdr:from>
    <xdr:ext cx="3895725" cy="34195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245E2004-9755-F2B8-7D82-C4C63202BEC2}"/>
                </a:ext>
              </a:extLst>
            </xdr:cNvPr>
            <xdr:cNvSpPr txBox="1"/>
          </xdr:nvSpPr>
          <xdr:spPr>
            <a:xfrm>
              <a:off x="13521204224" y="43197462"/>
              <a:ext cx="3895725" cy="3419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𝑊𝑖𝑡h𝑑𝑟𝑎𝑤𝑙𝑠</m:t>
                        </m:r>
                      </m:sub>
                    </m:sSub>
                    <m:r>
                      <a:rPr lang="en-US" sz="1100" b="0" i="1">
                        <a:latin typeface="Cambria Math" panose="02040503050406030204" pitchFamily="18" charset="0"/>
                      </a:rPr>
                      <m:t>=19,000∗</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6%</m:t>
                        </m:r>
                      </m:den>
                    </m:f>
                    <m:r>
                      <a:rPr lang="en-US" sz="1100" b="0" i="1">
                        <a:latin typeface="Cambria Math" panose="02040503050406030204" pitchFamily="18" charset="0"/>
                      </a:rPr>
                      <m:t>∗</m:t>
                    </m:r>
                    <m:d>
                      <m:dPr>
                        <m:begChr m:val="["/>
                        <m:endChr m:val="]"/>
                        <m:ctrlPr>
                          <a:rPr lang="en-US" sz="1100" b="0" i="1">
                            <a:latin typeface="Cambria Math" panose="02040503050406030204" pitchFamily="18" charset="0"/>
                          </a:rPr>
                        </m:ctrlPr>
                      </m:dPr>
                      <m:e>
                        <m:r>
                          <a:rPr lang="en-US" sz="1100" b="0" i="0">
                            <a:latin typeface="Cambria Math" panose="02040503050406030204" pitchFamily="18" charset="0"/>
                          </a:rPr>
                          <m:t>1−</m:t>
                        </m:r>
                        <m:f>
                          <m:fPr>
                            <m:ctrlPr>
                              <a:rPr lang="en-US" sz="1100" b="0" i="1">
                                <a:latin typeface="Cambria Math" panose="02040503050406030204" pitchFamily="18" charset="0"/>
                              </a:rPr>
                            </m:ctrlPr>
                          </m:fPr>
                          <m:num>
                            <m:r>
                              <a:rPr lang="en-US" sz="1100" b="0" i="0">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1+6%</m:t>
                                    </m:r>
                                  </m:e>
                                </m:d>
                              </m:e>
                              <m:sup>
                                <m:r>
                                  <a:rPr lang="en-US" sz="1100" b="0" i="1">
                                    <a:latin typeface="Cambria Math" panose="02040503050406030204" pitchFamily="18" charset="0"/>
                                  </a:rPr>
                                  <m:t>25</m:t>
                                </m:r>
                              </m:sup>
                            </m:sSup>
                          </m:den>
                        </m:f>
                      </m:e>
                    </m:d>
                    <m:r>
                      <a:rPr lang="en-US" sz="1100" b="0" i="1">
                        <a:latin typeface="Cambria Math" panose="02040503050406030204" pitchFamily="18" charset="0"/>
                      </a:rPr>
                      <m:t>=242,884 </m:t>
                    </m:r>
                  </m:oMath>
                </m:oMathPara>
              </a14:m>
              <a:endParaRPr lang="en-US" sz="1100"/>
            </a:p>
          </xdr:txBody>
        </xdr:sp>
      </mc:Choice>
      <mc:Fallback xmlns="">
        <xdr:sp macro="" textlink="">
          <xdr:nvSpPr>
            <xdr:cNvPr id="9" name="TextBox 8">
              <a:extLst>
                <a:ext uri="{FF2B5EF4-FFF2-40B4-BE49-F238E27FC236}">
                  <a16:creationId xmlns:a16="http://schemas.microsoft.com/office/drawing/2014/main" id="{245E2004-9755-F2B8-7D82-C4C63202BEC2}"/>
                </a:ext>
              </a:extLst>
            </xdr:cNvPr>
            <xdr:cNvSpPr txBox="1"/>
          </xdr:nvSpPr>
          <xdr:spPr>
            <a:xfrm>
              <a:off x="13521204224" y="43197462"/>
              <a:ext cx="3895725" cy="3419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𝑃𝑉_𝑊𝑖𝑡ℎ𝑑𝑟𝑎𝑤𝑙𝑠=19,000∗1/(6%)∗[1−1/(1+6%)^25 ]=242,884 </a:t>
              </a:r>
              <a:endParaRPr lang="en-US" sz="1100"/>
            </a:p>
          </xdr:txBody>
        </xdr:sp>
      </mc:Fallback>
    </mc:AlternateContent>
    <xdr:clientData/>
  </xdr:oneCellAnchor>
  <xdr:twoCellAnchor>
    <xdr:from>
      <xdr:col>1</xdr:col>
      <xdr:colOff>620977</xdr:colOff>
      <xdr:row>207</xdr:row>
      <xdr:rowOff>200317</xdr:rowOff>
    </xdr:from>
    <xdr:to>
      <xdr:col>2</xdr:col>
      <xdr:colOff>108170</xdr:colOff>
      <xdr:row>210</xdr:row>
      <xdr:rowOff>116183</xdr:rowOff>
    </xdr:to>
    <xdr:sp macro="" textlink="">
      <xdr:nvSpPr>
        <xdr:cNvPr id="10" name="Down Arrow 9">
          <a:extLst>
            <a:ext uri="{FF2B5EF4-FFF2-40B4-BE49-F238E27FC236}">
              <a16:creationId xmlns:a16="http://schemas.microsoft.com/office/drawing/2014/main" id="{954DA745-99B0-F119-395A-4151CB65F93F}"/>
            </a:ext>
          </a:extLst>
        </xdr:cNvPr>
        <xdr:cNvSpPr/>
      </xdr:nvSpPr>
      <xdr:spPr>
        <a:xfrm>
          <a:off x="13520167603" y="42711263"/>
          <a:ext cx="312492" cy="528832"/>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5</xdr:col>
      <xdr:colOff>380599</xdr:colOff>
      <xdr:row>208</xdr:row>
      <xdr:rowOff>84134</xdr:rowOff>
    </xdr:from>
    <xdr:to>
      <xdr:col>5</xdr:col>
      <xdr:colOff>693091</xdr:colOff>
      <xdr:row>211</xdr:row>
      <xdr:rowOff>1</xdr:rowOff>
    </xdr:to>
    <xdr:sp macro="" textlink="">
      <xdr:nvSpPr>
        <xdr:cNvPr id="12" name="Down Arrow 11">
          <a:extLst>
            <a:ext uri="{FF2B5EF4-FFF2-40B4-BE49-F238E27FC236}">
              <a16:creationId xmlns:a16="http://schemas.microsoft.com/office/drawing/2014/main" id="{1EB5B19F-AB04-F16C-C939-D11CED6531EB}"/>
            </a:ext>
          </a:extLst>
        </xdr:cNvPr>
        <xdr:cNvSpPr/>
      </xdr:nvSpPr>
      <xdr:spPr>
        <a:xfrm>
          <a:off x="13517042682" y="42799402"/>
          <a:ext cx="312492" cy="528832"/>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5</xdr:col>
      <xdr:colOff>322409</xdr:colOff>
      <xdr:row>214</xdr:row>
      <xdr:rowOff>132823</xdr:rowOff>
    </xdr:from>
    <xdr:ext cx="2788604" cy="33150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4BBE322-74B2-4563-23FB-86D8C76781F0}"/>
                </a:ext>
              </a:extLst>
            </xdr:cNvPr>
            <xdr:cNvSpPr txBox="1"/>
          </xdr:nvSpPr>
          <xdr:spPr>
            <a:xfrm>
              <a:off x="13514624760" y="44074022"/>
              <a:ext cx="278860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𝐹</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𝑆𝐸𝑅𝐼𝐸𝑆</m:t>
                        </m:r>
                      </m:sub>
                    </m:sSub>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r>
                          <a:rPr lang="en-US" sz="1100" b="0" i="1">
                            <a:latin typeface="Cambria Math" panose="02040503050406030204" pitchFamily="18" charset="0"/>
                          </a:rPr>
                          <m:t>−1</m:t>
                        </m:r>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13" name="TextBox 12">
              <a:extLst>
                <a:ext uri="{FF2B5EF4-FFF2-40B4-BE49-F238E27FC236}">
                  <a16:creationId xmlns:a16="http://schemas.microsoft.com/office/drawing/2014/main" id="{C4BBE322-74B2-4563-23FB-86D8C76781F0}"/>
                </a:ext>
              </a:extLst>
            </xdr:cNvPr>
            <xdr:cNvSpPr txBox="1"/>
          </xdr:nvSpPr>
          <xdr:spPr>
            <a:xfrm>
              <a:off x="13514624760" y="44074022"/>
              <a:ext cx="278860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𝐹𝑉_𝑆𝐸𝑅𝐼𝐸𝑆=𝑃𝑀𝑇∗((1+𝑟)^𝑛−1)/𝑟</a:t>
              </a:r>
              <a:endParaRPr lang="en-US" sz="1100"/>
            </a:p>
          </xdr:txBody>
        </xdr:sp>
      </mc:Fallback>
    </mc:AlternateContent>
    <xdr:clientData/>
  </xdr:oneCellAnchor>
  <xdr:oneCellAnchor>
    <xdr:from>
      <xdr:col>4</xdr:col>
      <xdr:colOff>568896</xdr:colOff>
      <xdr:row>216</xdr:row>
      <xdr:rowOff>116799</xdr:rowOff>
    </xdr:from>
    <xdr:ext cx="3647859" cy="346377"/>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802851C6-55D0-5CF2-F44A-0A95576536A9}"/>
                </a:ext>
              </a:extLst>
            </xdr:cNvPr>
            <xdr:cNvSpPr txBox="1"/>
          </xdr:nvSpPr>
          <xdr:spPr>
            <a:xfrm>
              <a:off x="13514408418" y="44466641"/>
              <a:ext cx="3647859" cy="3463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𝐹</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𝐷𝑒𝑝𝑜𝑠𝑖𝑡𝑠</m:t>
                        </m:r>
                      </m:sub>
                    </m:sSub>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1+6%</m:t>
                                </m:r>
                              </m:e>
                            </m:d>
                          </m:e>
                          <m:sup>
                            <m:r>
                              <a:rPr lang="en-US" sz="1100" b="0" i="1">
                                <a:latin typeface="Cambria Math" panose="02040503050406030204" pitchFamily="18" charset="0"/>
                              </a:rPr>
                              <m:t>22</m:t>
                            </m:r>
                          </m:sup>
                        </m:sSup>
                        <m:r>
                          <a:rPr lang="en-US" sz="1100" b="0" i="1">
                            <a:latin typeface="Cambria Math" panose="02040503050406030204" pitchFamily="18" charset="0"/>
                          </a:rPr>
                          <m:t>−1</m:t>
                        </m:r>
                      </m:num>
                      <m:den>
                        <m:r>
                          <a:rPr lang="en-US" sz="1100" b="0" i="1">
                            <a:latin typeface="Cambria Math" panose="02040503050406030204" pitchFamily="18" charset="0"/>
                          </a:rPr>
                          <m:t>6%</m:t>
                        </m:r>
                      </m:den>
                    </m:f>
                    <m:r>
                      <a:rPr lang="en-US" sz="1100" b="0" i="1">
                        <a:latin typeface="Cambria Math" panose="02040503050406030204" pitchFamily="18" charset="0"/>
                      </a:rPr>
                      <m:t>=</m:t>
                    </m:r>
                    <m:r>
                      <a:rPr lang="en-US" sz="1100" b="0" i="1">
                        <a:solidFill>
                          <a:srgbClr val="FF0000"/>
                        </a:solidFill>
                        <a:latin typeface="Cambria Math" panose="02040503050406030204" pitchFamily="18" charset="0"/>
                      </a:rPr>
                      <m:t>𝑃𝑀𝑇</m:t>
                    </m:r>
                    <m:r>
                      <a:rPr lang="en-US" sz="1100" b="0" i="1">
                        <a:solidFill>
                          <a:srgbClr val="FF0000"/>
                        </a:solidFill>
                        <a:latin typeface="Cambria Math" panose="02040503050406030204" pitchFamily="18" charset="0"/>
                      </a:rPr>
                      <m:t>∗43.39</m:t>
                    </m:r>
                  </m:oMath>
                </m:oMathPara>
              </a14:m>
              <a:endParaRPr lang="en-US" sz="1100"/>
            </a:p>
          </xdr:txBody>
        </xdr:sp>
      </mc:Choice>
      <mc:Fallback xmlns="">
        <xdr:sp macro="" textlink="">
          <xdr:nvSpPr>
            <xdr:cNvPr id="14" name="TextBox 13">
              <a:extLst>
                <a:ext uri="{FF2B5EF4-FFF2-40B4-BE49-F238E27FC236}">
                  <a16:creationId xmlns:a16="http://schemas.microsoft.com/office/drawing/2014/main" id="{802851C6-55D0-5CF2-F44A-0A95576536A9}"/>
                </a:ext>
              </a:extLst>
            </xdr:cNvPr>
            <xdr:cNvSpPr txBox="1"/>
          </xdr:nvSpPr>
          <xdr:spPr>
            <a:xfrm>
              <a:off x="13514408418" y="44466641"/>
              <a:ext cx="3647859" cy="3463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𝐹𝑉_𝐷𝑒𝑝𝑜𝑠𝑖𝑡𝑠=𝑃𝑀𝑇∗((1+6%)^22−1)/(6%)=</a:t>
              </a:r>
              <a:r>
                <a:rPr lang="en-US" sz="1100" b="0" i="0">
                  <a:solidFill>
                    <a:srgbClr val="FF0000"/>
                  </a:solidFill>
                  <a:latin typeface="Cambria Math" panose="02040503050406030204" pitchFamily="18" charset="0"/>
                </a:rPr>
                <a:t>𝑃𝑀𝑇∗43.39</a:t>
              </a:r>
              <a:endParaRPr lang="en-US" sz="1100"/>
            </a:p>
          </xdr:txBody>
        </xdr:sp>
      </mc:Fallback>
    </mc:AlternateContent>
    <xdr:clientData/>
  </xdr:oneCellAnchor>
  <xdr:oneCellAnchor>
    <xdr:from>
      <xdr:col>4</xdr:col>
      <xdr:colOff>717129</xdr:colOff>
      <xdr:row>221</xdr:row>
      <xdr:rowOff>120805</xdr:rowOff>
    </xdr:from>
    <xdr:ext cx="3647859" cy="173766"/>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8122342E-34CC-8D49-6619-DF525324CE0E}"/>
                </a:ext>
              </a:extLst>
            </xdr:cNvPr>
            <xdr:cNvSpPr txBox="1"/>
          </xdr:nvSpPr>
          <xdr:spPr>
            <a:xfrm>
              <a:off x="13514260185" y="45492256"/>
              <a:ext cx="36478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solidFill>
                          <a:sysClr val="windowText" lastClr="000000"/>
                        </a:solidFill>
                        <a:latin typeface="Cambria Math" panose="02040503050406030204" pitchFamily="18" charset="0"/>
                      </a:rPr>
                      <m:t>𝑃𝑀𝑇</m:t>
                    </m:r>
                    <m:r>
                      <a:rPr lang="en-US" sz="1100" b="0" i="1">
                        <a:solidFill>
                          <a:sysClr val="windowText" lastClr="000000"/>
                        </a:solidFill>
                        <a:latin typeface="Cambria Math" panose="02040503050406030204" pitchFamily="18" charset="0"/>
                      </a:rPr>
                      <m:t>∗43.39=242,884→</m:t>
                    </m:r>
                    <m:r>
                      <m:rPr>
                        <m:sty m:val="p"/>
                      </m:rPr>
                      <a:rPr lang="en-US" sz="1100" b="0" i="0">
                        <a:solidFill>
                          <a:sysClr val="windowText" lastClr="000000"/>
                        </a:solidFill>
                        <a:latin typeface="Cambria Math" panose="02040503050406030204" pitchFamily="18" charset="0"/>
                      </a:rPr>
                      <m:t>PMT</m:t>
                    </m:r>
                    <m:r>
                      <a:rPr lang="en-US" sz="1100" b="0" i="0">
                        <a:solidFill>
                          <a:sysClr val="windowText" lastClr="000000"/>
                        </a:solidFill>
                        <a:latin typeface="Cambria Math" panose="02040503050406030204" pitchFamily="18" charset="0"/>
                      </a:rPr>
                      <m:t>=5,598</m:t>
                    </m:r>
                  </m:oMath>
                </m:oMathPara>
              </a14:m>
              <a:endParaRPr lang="en-US" sz="1100">
                <a:solidFill>
                  <a:sysClr val="windowText" lastClr="000000"/>
                </a:solidFill>
              </a:endParaRPr>
            </a:p>
          </xdr:txBody>
        </xdr:sp>
      </mc:Choice>
      <mc:Fallback xmlns="">
        <xdr:sp macro="" textlink="">
          <xdr:nvSpPr>
            <xdr:cNvPr id="17" name="TextBox 16">
              <a:extLst>
                <a:ext uri="{FF2B5EF4-FFF2-40B4-BE49-F238E27FC236}">
                  <a16:creationId xmlns:a16="http://schemas.microsoft.com/office/drawing/2014/main" id="{8122342E-34CC-8D49-6619-DF525324CE0E}"/>
                </a:ext>
              </a:extLst>
            </xdr:cNvPr>
            <xdr:cNvSpPr txBox="1"/>
          </xdr:nvSpPr>
          <xdr:spPr>
            <a:xfrm>
              <a:off x="13514260185" y="45492256"/>
              <a:ext cx="36478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solidFill>
                    <a:sysClr val="windowText" lastClr="000000"/>
                  </a:solidFill>
                  <a:latin typeface="Cambria Math" panose="02040503050406030204" pitchFamily="18" charset="0"/>
                </a:rPr>
                <a:t>𝑃𝑀𝑇∗43.39</a:t>
              </a:r>
              <a:r>
                <a:rPr lang="he-IL" sz="1100" b="0" i="0">
                  <a:solidFill>
                    <a:sysClr val="windowText" lastClr="000000"/>
                  </a:solidFill>
                  <a:latin typeface="Cambria Math" panose="02040503050406030204" pitchFamily="18" charset="0"/>
                </a:rPr>
                <a:t>=242,884</a:t>
              </a:r>
              <a:r>
                <a:rPr lang="en-US" sz="1100" b="0" i="0">
                  <a:solidFill>
                    <a:sysClr val="windowText" lastClr="000000"/>
                  </a:solidFill>
                  <a:latin typeface="Cambria Math" panose="02040503050406030204" pitchFamily="18" charset="0"/>
                </a:rPr>
                <a:t>→PMT=5,598</a:t>
              </a:r>
              <a:endParaRPr lang="en-US" sz="1100">
                <a:solidFill>
                  <a:sysClr val="windowText" lastClr="000000"/>
                </a:solidFill>
              </a:endParaRPr>
            </a:p>
          </xdr:txBody>
        </xdr:sp>
      </mc:Fallback>
    </mc:AlternateContent>
    <xdr:clientData/>
  </xdr:oneCellAnchor>
  <xdr:twoCellAnchor>
    <xdr:from>
      <xdr:col>3</xdr:col>
      <xdr:colOff>52083</xdr:colOff>
      <xdr:row>229</xdr:row>
      <xdr:rowOff>104165</xdr:rowOff>
    </xdr:from>
    <xdr:to>
      <xdr:col>4</xdr:col>
      <xdr:colOff>316499</xdr:colOff>
      <xdr:row>229</xdr:row>
      <xdr:rowOff>112177</xdr:rowOff>
    </xdr:to>
    <xdr:cxnSp macro="">
      <xdr:nvCxnSpPr>
        <xdr:cNvPr id="25" name="Straight Connector 24">
          <a:extLst>
            <a:ext uri="{FF2B5EF4-FFF2-40B4-BE49-F238E27FC236}">
              <a16:creationId xmlns:a16="http://schemas.microsoft.com/office/drawing/2014/main" id="{9ED9DD02-8B6D-9038-C0D2-4B394BDE7CC7}"/>
            </a:ext>
          </a:extLst>
        </xdr:cNvPr>
        <xdr:cNvCxnSpPr/>
      </xdr:nvCxnSpPr>
      <xdr:spPr>
        <a:xfrm flipH="1" flipV="1">
          <a:off x="13518308674" y="47110190"/>
          <a:ext cx="1089716" cy="8012"/>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332523</xdr:colOff>
      <xdr:row>231</xdr:row>
      <xdr:rowOff>104165</xdr:rowOff>
    </xdr:from>
    <xdr:to>
      <xdr:col>4</xdr:col>
      <xdr:colOff>769211</xdr:colOff>
      <xdr:row>231</xdr:row>
      <xdr:rowOff>112176</xdr:rowOff>
    </xdr:to>
    <xdr:cxnSp macro="">
      <xdr:nvCxnSpPr>
        <xdr:cNvPr id="27" name="Straight Connector 26">
          <a:extLst>
            <a:ext uri="{FF2B5EF4-FFF2-40B4-BE49-F238E27FC236}">
              <a16:creationId xmlns:a16="http://schemas.microsoft.com/office/drawing/2014/main" id="{912260E3-C551-651B-DA9A-6D1DC35D6B62}"/>
            </a:ext>
          </a:extLst>
        </xdr:cNvPr>
        <xdr:cNvCxnSpPr/>
      </xdr:nvCxnSpPr>
      <xdr:spPr>
        <a:xfrm flipH="1" flipV="1">
          <a:off x="13517855962" y="47518834"/>
          <a:ext cx="436688" cy="801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324511</xdr:colOff>
      <xdr:row>229</xdr:row>
      <xdr:rowOff>104164</xdr:rowOff>
    </xdr:from>
    <xdr:to>
      <xdr:col>4</xdr:col>
      <xdr:colOff>332523</xdr:colOff>
      <xdr:row>231</xdr:row>
      <xdr:rowOff>132208</xdr:rowOff>
    </xdr:to>
    <xdr:cxnSp macro="">
      <xdr:nvCxnSpPr>
        <xdr:cNvPr id="30" name="Straight Connector 29">
          <a:extLst>
            <a:ext uri="{FF2B5EF4-FFF2-40B4-BE49-F238E27FC236}">
              <a16:creationId xmlns:a16="http://schemas.microsoft.com/office/drawing/2014/main" id="{EB3697CF-EDF9-13B7-BB54-FD0ECF3E4A5B}"/>
            </a:ext>
          </a:extLst>
        </xdr:cNvPr>
        <xdr:cNvCxnSpPr/>
      </xdr:nvCxnSpPr>
      <xdr:spPr>
        <a:xfrm flipV="1">
          <a:off x="13518292650" y="47110189"/>
          <a:ext cx="8012" cy="436688"/>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0</xdr:colOff>
      <xdr:row>264</xdr:row>
      <xdr:rowOff>116183</xdr:rowOff>
    </xdr:from>
    <xdr:to>
      <xdr:col>7</xdr:col>
      <xdr:colOff>108170</xdr:colOff>
      <xdr:row>264</xdr:row>
      <xdr:rowOff>116183</xdr:rowOff>
    </xdr:to>
    <xdr:cxnSp macro="">
      <xdr:nvCxnSpPr>
        <xdr:cNvPr id="45" name="Straight Arrow Connector 44">
          <a:extLst>
            <a:ext uri="{FF2B5EF4-FFF2-40B4-BE49-F238E27FC236}">
              <a16:creationId xmlns:a16="http://schemas.microsoft.com/office/drawing/2014/main" id="{EE227377-8F17-94AC-CFC9-3DDBC770E69A}"/>
            </a:ext>
          </a:extLst>
        </xdr:cNvPr>
        <xdr:cNvCxnSpPr/>
      </xdr:nvCxnSpPr>
      <xdr:spPr>
        <a:xfrm>
          <a:off x="13515977003" y="54385647"/>
          <a:ext cx="5949369"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414653</xdr:colOff>
      <xdr:row>264</xdr:row>
      <xdr:rowOff>30047</xdr:rowOff>
    </xdr:from>
    <xdr:to>
      <xdr:col>5</xdr:col>
      <xdr:colOff>358565</xdr:colOff>
      <xdr:row>265</xdr:row>
      <xdr:rowOff>166262</xdr:rowOff>
    </xdr:to>
    <xdr:sp macro="" textlink="">
      <xdr:nvSpPr>
        <xdr:cNvPr id="46" name="Left Brace 45">
          <a:extLst>
            <a:ext uri="{FF2B5EF4-FFF2-40B4-BE49-F238E27FC236}">
              <a16:creationId xmlns:a16="http://schemas.microsoft.com/office/drawing/2014/main" id="{92DB1936-1868-D450-EAC5-A7E362721131}"/>
            </a:ext>
          </a:extLst>
        </xdr:cNvPr>
        <xdr:cNvSpPr/>
      </xdr:nvSpPr>
      <xdr:spPr>
        <a:xfrm rot="16200000">
          <a:off x="13517623596" y="54053123"/>
          <a:ext cx="340536" cy="833312"/>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oneCellAnchor>
    <xdr:from>
      <xdr:col>4</xdr:col>
      <xdr:colOff>128202</xdr:colOff>
      <xdr:row>265</xdr:row>
      <xdr:rowOff>157768</xdr:rowOff>
    </xdr:from>
    <xdr:ext cx="1355968" cy="173766"/>
    <mc:AlternateContent xmlns:mc="http://schemas.openxmlformats.org/markup-compatibility/2006" xmlns:a14="http://schemas.microsoft.com/office/drawing/2010/main">
      <mc:Choice Requires="a14">
        <xdr:sp macro="" textlink="">
          <xdr:nvSpPr>
            <xdr:cNvPr id="48" name="TextBox 47">
              <a:extLst>
                <a:ext uri="{FF2B5EF4-FFF2-40B4-BE49-F238E27FC236}">
                  <a16:creationId xmlns:a16="http://schemas.microsoft.com/office/drawing/2014/main" id="{A47FF40E-F813-ABAA-1C0E-208FC4ED8494}"/>
                </a:ext>
              </a:extLst>
            </xdr:cNvPr>
            <xdr:cNvSpPr txBox="1"/>
          </xdr:nvSpPr>
          <xdr:spPr>
            <a:xfrm>
              <a:off x="13517141003" y="54631553"/>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𝑝𝑚𝑡</m:t>
                    </m:r>
                    <m:r>
                      <a:rPr lang="en-US" sz="1100" b="0" i="1">
                        <a:latin typeface="Cambria Math" panose="02040503050406030204" pitchFamily="18" charset="0"/>
                      </a:rPr>
                      <m:t>=</m:t>
                    </m:r>
                    <m:r>
                      <a:rPr lang="en-US" sz="1100" b="0" i="1">
                        <a:latin typeface="Cambria Math" panose="02040503050406030204" pitchFamily="18" charset="0"/>
                      </a:rPr>
                      <m:t>𝑥</m:t>
                    </m:r>
                  </m:oMath>
                </m:oMathPara>
              </a14:m>
              <a:endParaRPr lang="en-US" sz="1100"/>
            </a:p>
          </xdr:txBody>
        </xdr:sp>
      </mc:Choice>
      <mc:Fallback xmlns="">
        <xdr:sp macro="" textlink="">
          <xdr:nvSpPr>
            <xdr:cNvPr id="48" name="TextBox 47">
              <a:extLst>
                <a:ext uri="{FF2B5EF4-FFF2-40B4-BE49-F238E27FC236}">
                  <a16:creationId xmlns:a16="http://schemas.microsoft.com/office/drawing/2014/main" id="{A47FF40E-F813-ABAA-1C0E-208FC4ED8494}"/>
                </a:ext>
              </a:extLst>
            </xdr:cNvPr>
            <xdr:cNvSpPr txBox="1"/>
          </xdr:nvSpPr>
          <xdr:spPr>
            <a:xfrm>
              <a:off x="13517141003" y="54631553"/>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𝑝𝑚𝑡=𝑥</a:t>
              </a:r>
              <a:endParaRPr lang="en-US" sz="1100"/>
            </a:p>
          </xdr:txBody>
        </xdr:sp>
      </mc:Fallback>
    </mc:AlternateContent>
    <xdr:clientData/>
  </xdr:oneCellAnchor>
  <xdr:oneCellAnchor>
    <xdr:from>
      <xdr:col>4</xdr:col>
      <xdr:colOff>116183</xdr:colOff>
      <xdr:row>266</xdr:row>
      <xdr:rowOff>121711</xdr:rowOff>
    </xdr:from>
    <xdr:ext cx="1355968" cy="173766"/>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C69F3E1F-E811-6EBD-48CF-85E175DA0BF7}"/>
                </a:ext>
              </a:extLst>
            </xdr:cNvPr>
            <xdr:cNvSpPr txBox="1"/>
          </xdr:nvSpPr>
          <xdr:spPr>
            <a:xfrm>
              <a:off x="13517153022" y="54799818"/>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𝑛</m:t>
                    </m:r>
                    <m:r>
                      <a:rPr lang="en-US" sz="1100" b="0" i="1">
                        <a:latin typeface="Cambria Math" panose="02040503050406030204" pitchFamily="18" charset="0"/>
                      </a:rPr>
                      <m:t>=3</m:t>
                    </m:r>
                  </m:oMath>
                </m:oMathPara>
              </a14:m>
              <a:endParaRPr lang="en-US" sz="1100"/>
            </a:p>
          </xdr:txBody>
        </xdr:sp>
      </mc:Choice>
      <mc:Fallback xmlns="">
        <xdr:sp macro="" textlink="">
          <xdr:nvSpPr>
            <xdr:cNvPr id="49" name="TextBox 48">
              <a:extLst>
                <a:ext uri="{FF2B5EF4-FFF2-40B4-BE49-F238E27FC236}">
                  <a16:creationId xmlns:a16="http://schemas.microsoft.com/office/drawing/2014/main" id="{C69F3E1F-E811-6EBD-48CF-85E175DA0BF7}"/>
                </a:ext>
              </a:extLst>
            </xdr:cNvPr>
            <xdr:cNvSpPr txBox="1"/>
          </xdr:nvSpPr>
          <xdr:spPr>
            <a:xfrm>
              <a:off x="13517153022" y="54799818"/>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𝑛=3</a:t>
              </a:r>
              <a:endParaRPr lang="en-US" sz="1100"/>
            </a:p>
          </xdr:txBody>
        </xdr:sp>
      </mc:Fallback>
    </mc:AlternateContent>
    <xdr:clientData/>
  </xdr:oneCellAnchor>
  <xdr:oneCellAnchor>
    <xdr:from>
      <xdr:col>4</xdr:col>
      <xdr:colOff>88138</xdr:colOff>
      <xdr:row>267</xdr:row>
      <xdr:rowOff>101679</xdr:rowOff>
    </xdr:from>
    <xdr:ext cx="1355968" cy="173766"/>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8391F5D0-F1E7-3B4F-E8EE-42997E48216A}"/>
                </a:ext>
              </a:extLst>
            </xdr:cNvPr>
            <xdr:cNvSpPr txBox="1"/>
          </xdr:nvSpPr>
          <xdr:spPr>
            <a:xfrm>
              <a:off x="13517181067" y="54984108"/>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𝑟</m:t>
                    </m:r>
                    <m:r>
                      <a:rPr lang="en-US" sz="1100" b="0" i="1">
                        <a:latin typeface="Cambria Math" panose="02040503050406030204" pitchFamily="18" charset="0"/>
                      </a:rPr>
                      <m:t>=4%</m:t>
                    </m:r>
                  </m:oMath>
                </m:oMathPara>
              </a14:m>
              <a:endParaRPr lang="en-US" sz="1100"/>
            </a:p>
          </xdr:txBody>
        </xdr:sp>
      </mc:Choice>
      <mc:Fallback xmlns="">
        <xdr:sp macro="" textlink="">
          <xdr:nvSpPr>
            <xdr:cNvPr id="50" name="TextBox 49">
              <a:extLst>
                <a:ext uri="{FF2B5EF4-FFF2-40B4-BE49-F238E27FC236}">
                  <a16:creationId xmlns:a16="http://schemas.microsoft.com/office/drawing/2014/main" id="{8391F5D0-F1E7-3B4F-E8EE-42997E48216A}"/>
                </a:ext>
              </a:extLst>
            </xdr:cNvPr>
            <xdr:cNvSpPr txBox="1"/>
          </xdr:nvSpPr>
          <xdr:spPr>
            <a:xfrm>
              <a:off x="13517181067" y="54984108"/>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𝑟=4%</a:t>
              </a:r>
              <a:endParaRPr lang="en-US" sz="1100"/>
            </a:p>
          </xdr:txBody>
        </xdr:sp>
      </mc:Fallback>
    </mc:AlternateContent>
    <xdr:clientData/>
  </xdr:oneCellAnchor>
  <xdr:twoCellAnchor>
    <xdr:from>
      <xdr:col>2</xdr:col>
      <xdr:colOff>406641</xdr:colOff>
      <xdr:row>263</xdr:row>
      <xdr:rowOff>202319</xdr:rowOff>
    </xdr:from>
    <xdr:to>
      <xdr:col>3</xdr:col>
      <xdr:colOff>414653</xdr:colOff>
      <xdr:row>265</xdr:row>
      <xdr:rowOff>134212</xdr:rowOff>
    </xdr:to>
    <xdr:sp macro="" textlink="">
      <xdr:nvSpPr>
        <xdr:cNvPr id="51" name="Left Brace 50">
          <a:extLst>
            <a:ext uri="{FF2B5EF4-FFF2-40B4-BE49-F238E27FC236}">
              <a16:creationId xmlns:a16="http://schemas.microsoft.com/office/drawing/2014/main" id="{507D2890-5F23-E159-971B-C55AE3656268}"/>
            </a:ext>
          </a:extLst>
        </xdr:cNvPr>
        <xdr:cNvSpPr/>
      </xdr:nvSpPr>
      <xdr:spPr>
        <a:xfrm rot="16200000">
          <a:off x="13519282208" y="54021073"/>
          <a:ext cx="340536" cy="833312"/>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oneCellAnchor>
    <xdr:from>
      <xdr:col>2</xdr:col>
      <xdr:colOff>104165</xdr:colOff>
      <xdr:row>265</xdr:row>
      <xdr:rowOff>141743</xdr:rowOff>
    </xdr:from>
    <xdr:ext cx="1355968" cy="173766"/>
    <mc:AlternateContent xmlns:mc="http://schemas.openxmlformats.org/markup-compatibility/2006" xmlns:a14="http://schemas.microsoft.com/office/drawing/2010/main">
      <mc:Choice Requires="a14">
        <xdr:sp macro="" textlink="">
          <xdr:nvSpPr>
            <xdr:cNvPr id="52" name="TextBox 51">
              <a:extLst>
                <a:ext uri="{FF2B5EF4-FFF2-40B4-BE49-F238E27FC236}">
                  <a16:creationId xmlns:a16="http://schemas.microsoft.com/office/drawing/2014/main" id="{A85FEC7B-3733-E4F3-E6A0-4D3C4B6A201C}"/>
                </a:ext>
              </a:extLst>
            </xdr:cNvPr>
            <xdr:cNvSpPr txBox="1"/>
          </xdr:nvSpPr>
          <xdr:spPr>
            <a:xfrm>
              <a:off x="13518815640" y="54615528"/>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𝑝𝑚𝑡</m:t>
                    </m:r>
                    <m:r>
                      <a:rPr lang="en-US" sz="1100" b="0" i="1">
                        <a:latin typeface="Cambria Math" panose="02040503050406030204" pitchFamily="18" charset="0"/>
                      </a:rPr>
                      <m:t>=</m:t>
                    </m:r>
                    <m:r>
                      <a:rPr lang="en-US" sz="1100" b="0" i="1">
                        <a:latin typeface="Cambria Math" panose="02040503050406030204" pitchFamily="18" charset="0"/>
                      </a:rPr>
                      <m:t>𝑥</m:t>
                    </m:r>
                  </m:oMath>
                </m:oMathPara>
              </a14:m>
              <a:endParaRPr lang="en-US" sz="1100"/>
            </a:p>
          </xdr:txBody>
        </xdr:sp>
      </mc:Choice>
      <mc:Fallback xmlns="">
        <xdr:sp macro="" textlink="">
          <xdr:nvSpPr>
            <xdr:cNvPr id="52" name="TextBox 51">
              <a:extLst>
                <a:ext uri="{FF2B5EF4-FFF2-40B4-BE49-F238E27FC236}">
                  <a16:creationId xmlns:a16="http://schemas.microsoft.com/office/drawing/2014/main" id="{A85FEC7B-3733-E4F3-E6A0-4D3C4B6A201C}"/>
                </a:ext>
              </a:extLst>
            </xdr:cNvPr>
            <xdr:cNvSpPr txBox="1"/>
          </xdr:nvSpPr>
          <xdr:spPr>
            <a:xfrm>
              <a:off x="13518815640" y="54615528"/>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𝑝𝑚𝑡=𝑥</a:t>
              </a:r>
              <a:endParaRPr lang="en-US" sz="1100"/>
            </a:p>
          </xdr:txBody>
        </xdr:sp>
      </mc:Fallback>
    </mc:AlternateContent>
    <xdr:clientData/>
  </xdr:oneCellAnchor>
  <xdr:oneCellAnchor>
    <xdr:from>
      <xdr:col>2</xdr:col>
      <xdr:colOff>132209</xdr:colOff>
      <xdr:row>266</xdr:row>
      <xdr:rowOff>141742</xdr:rowOff>
    </xdr:from>
    <xdr:ext cx="1355968" cy="173766"/>
    <mc:AlternateContent xmlns:mc="http://schemas.openxmlformats.org/markup-compatibility/2006" xmlns:a14="http://schemas.microsoft.com/office/drawing/2010/main">
      <mc:Choice Requires="a14">
        <xdr:sp macro="" textlink="">
          <xdr:nvSpPr>
            <xdr:cNvPr id="53" name="TextBox 52">
              <a:extLst>
                <a:ext uri="{FF2B5EF4-FFF2-40B4-BE49-F238E27FC236}">
                  <a16:creationId xmlns:a16="http://schemas.microsoft.com/office/drawing/2014/main" id="{F40AB577-5324-CE95-7186-6676C9B3589D}"/>
                </a:ext>
              </a:extLst>
            </xdr:cNvPr>
            <xdr:cNvSpPr txBox="1"/>
          </xdr:nvSpPr>
          <xdr:spPr>
            <a:xfrm>
              <a:off x="13518787596" y="54819849"/>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𝑛</m:t>
                    </m:r>
                    <m:r>
                      <a:rPr lang="en-US" sz="1100" b="0" i="1">
                        <a:latin typeface="Cambria Math" panose="02040503050406030204" pitchFamily="18" charset="0"/>
                      </a:rPr>
                      <m:t>=6</m:t>
                    </m:r>
                  </m:oMath>
                </m:oMathPara>
              </a14:m>
              <a:endParaRPr lang="en-US" sz="1100"/>
            </a:p>
          </xdr:txBody>
        </xdr:sp>
      </mc:Choice>
      <mc:Fallback xmlns="">
        <xdr:sp macro="" textlink="">
          <xdr:nvSpPr>
            <xdr:cNvPr id="53" name="TextBox 52">
              <a:extLst>
                <a:ext uri="{FF2B5EF4-FFF2-40B4-BE49-F238E27FC236}">
                  <a16:creationId xmlns:a16="http://schemas.microsoft.com/office/drawing/2014/main" id="{F40AB577-5324-CE95-7186-6676C9B3589D}"/>
                </a:ext>
              </a:extLst>
            </xdr:cNvPr>
            <xdr:cNvSpPr txBox="1"/>
          </xdr:nvSpPr>
          <xdr:spPr>
            <a:xfrm>
              <a:off x="13518787596" y="54819849"/>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𝑛=6</a:t>
              </a:r>
              <a:endParaRPr lang="en-US" sz="1100"/>
            </a:p>
          </xdr:txBody>
        </xdr:sp>
      </mc:Fallback>
    </mc:AlternateContent>
    <xdr:clientData/>
  </xdr:oneCellAnchor>
  <xdr:oneCellAnchor>
    <xdr:from>
      <xdr:col>2</xdr:col>
      <xdr:colOff>100157</xdr:colOff>
      <xdr:row>267</xdr:row>
      <xdr:rowOff>109692</xdr:rowOff>
    </xdr:from>
    <xdr:ext cx="1355968" cy="173766"/>
    <mc:AlternateContent xmlns:mc="http://schemas.openxmlformats.org/markup-compatibility/2006" xmlns:a14="http://schemas.microsoft.com/office/drawing/2010/main">
      <mc:Choice Requires="a14">
        <xdr:sp macro="" textlink="">
          <xdr:nvSpPr>
            <xdr:cNvPr id="54" name="TextBox 53">
              <a:extLst>
                <a:ext uri="{FF2B5EF4-FFF2-40B4-BE49-F238E27FC236}">
                  <a16:creationId xmlns:a16="http://schemas.microsoft.com/office/drawing/2014/main" id="{8FD4EB8E-B2E0-43CE-A4AB-F98284801B7A}"/>
                </a:ext>
              </a:extLst>
            </xdr:cNvPr>
            <xdr:cNvSpPr txBox="1"/>
          </xdr:nvSpPr>
          <xdr:spPr>
            <a:xfrm>
              <a:off x="13518819648" y="54992121"/>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𝑟</m:t>
                    </m:r>
                    <m:r>
                      <a:rPr lang="en-US" sz="1100" b="0" i="1">
                        <a:latin typeface="Cambria Math" panose="02040503050406030204" pitchFamily="18" charset="0"/>
                      </a:rPr>
                      <m:t>=2%</m:t>
                    </m:r>
                  </m:oMath>
                </m:oMathPara>
              </a14:m>
              <a:endParaRPr lang="en-US" sz="1100"/>
            </a:p>
          </xdr:txBody>
        </xdr:sp>
      </mc:Choice>
      <mc:Fallback xmlns="">
        <xdr:sp macro="" textlink="">
          <xdr:nvSpPr>
            <xdr:cNvPr id="54" name="TextBox 53">
              <a:extLst>
                <a:ext uri="{FF2B5EF4-FFF2-40B4-BE49-F238E27FC236}">
                  <a16:creationId xmlns:a16="http://schemas.microsoft.com/office/drawing/2014/main" id="{8FD4EB8E-B2E0-43CE-A4AB-F98284801B7A}"/>
                </a:ext>
              </a:extLst>
            </xdr:cNvPr>
            <xdr:cNvSpPr txBox="1"/>
          </xdr:nvSpPr>
          <xdr:spPr>
            <a:xfrm>
              <a:off x="13518819648" y="54992121"/>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𝑟=2%</a:t>
              </a:r>
              <a:endParaRPr lang="en-US" sz="1100"/>
            </a:p>
          </xdr:txBody>
        </xdr:sp>
      </mc:Fallback>
    </mc:AlternateContent>
    <xdr:clientData/>
  </xdr:oneCellAnchor>
  <xdr:twoCellAnchor>
    <xdr:from>
      <xdr:col>0</xdr:col>
      <xdr:colOff>438692</xdr:colOff>
      <xdr:row>264</xdr:row>
      <xdr:rowOff>22034</xdr:rowOff>
    </xdr:from>
    <xdr:to>
      <xdr:col>1</xdr:col>
      <xdr:colOff>446704</xdr:colOff>
      <xdr:row>265</xdr:row>
      <xdr:rowOff>158249</xdr:rowOff>
    </xdr:to>
    <xdr:sp macro="" textlink="">
      <xdr:nvSpPr>
        <xdr:cNvPr id="55" name="Left Brace 54">
          <a:extLst>
            <a:ext uri="{FF2B5EF4-FFF2-40B4-BE49-F238E27FC236}">
              <a16:creationId xmlns:a16="http://schemas.microsoft.com/office/drawing/2014/main" id="{591E5A58-AEE0-0784-9E73-0B88FB6A786D}"/>
            </a:ext>
          </a:extLst>
        </xdr:cNvPr>
        <xdr:cNvSpPr/>
      </xdr:nvSpPr>
      <xdr:spPr>
        <a:xfrm rot="16200000">
          <a:off x="13520900756" y="54045110"/>
          <a:ext cx="340536" cy="833312"/>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oneCellAnchor>
    <xdr:from>
      <xdr:col>0</xdr:col>
      <xdr:colOff>260411</xdr:colOff>
      <xdr:row>265</xdr:row>
      <xdr:rowOff>157768</xdr:rowOff>
    </xdr:from>
    <xdr:ext cx="1355968" cy="173766"/>
    <mc:AlternateContent xmlns:mc="http://schemas.openxmlformats.org/markup-compatibility/2006" xmlns:a14="http://schemas.microsoft.com/office/drawing/2010/main">
      <mc:Choice Requires="a14">
        <xdr:sp macro="" textlink="">
          <xdr:nvSpPr>
            <xdr:cNvPr id="57" name="TextBox 56">
              <a:extLst>
                <a:ext uri="{FF2B5EF4-FFF2-40B4-BE49-F238E27FC236}">
                  <a16:creationId xmlns:a16="http://schemas.microsoft.com/office/drawing/2014/main" id="{3E1584E0-1537-FC0E-D469-BBF316C14D6A}"/>
                </a:ext>
              </a:extLst>
            </xdr:cNvPr>
            <xdr:cNvSpPr txBox="1"/>
          </xdr:nvSpPr>
          <xdr:spPr>
            <a:xfrm>
              <a:off x="13520309993" y="54631553"/>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𝑝𝑚𝑡</m:t>
                    </m:r>
                    <m:r>
                      <a:rPr lang="en-US" sz="1100" b="0" i="1">
                        <a:latin typeface="Cambria Math" panose="02040503050406030204" pitchFamily="18" charset="0"/>
                      </a:rPr>
                      <m:t>=</m:t>
                    </m:r>
                    <m:r>
                      <a:rPr lang="en-US" sz="1100" b="0" i="1">
                        <a:latin typeface="Cambria Math" panose="02040503050406030204" pitchFamily="18" charset="0"/>
                      </a:rPr>
                      <m:t>𝑥</m:t>
                    </m:r>
                  </m:oMath>
                </m:oMathPara>
              </a14:m>
              <a:endParaRPr lang="en-US" sz="1100"/>
            </a:p>
          </xdr:txBody>
        </xdr:sp>
      </mc:Choice>
      <mc:Fallback xmlns="">
        <xdr:sp macro="" textlink="">
          <xdr:nvSpPr>
            <xdr:cNvPr id="57" name="TextBox 56">
              <a:extLst>
                <a:ext uri="{FF2B5EF4-FFF2-40B4-BE49-F238E27FC236}">
                  <a16:creationId xmlns:a16="http://schemas.microsoft.com/office/drawing/2014/main" id="{3E1584E0-1537-FC0E-D469-BBF316C14D6A}"/>
                </a:ext>
              </a:extLst>
            </xdr:cNvPr>
            <xdr:cNvSpPr txBox="1"/>
          </xdr:nvSpPr>
          <xdr:spPr>
            <a:xfrm>
              <a:off x="13520309993" y="54631553"/>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𝑝𝑚𝑡=𝑥</a:t>
              </a:r>
              <a:endParaRPr lang="en-US" sz="1100"/>
            </a:p>
          </xdr:txBody>
        </xdr:sp>
      </mc:Fallback>
    </mc:AlternateContent>
    <xdr:clientData/>
  </xdr:oneCellAnchor>
  <xdr:oneCellAnchor>
    <xdr:from>
      <xdr:col>0</xdr:col>
      <xdr:colOff>268423</xdr:colOff>
      <xdr:row>266</xdr:row>
      <xdr:rowOff>133729</xdr:rowOff>
    </xdr:from>
    <xdr:ext cx="1355968" cy="173766"/>
    <mc:AlternateContent xmlns:mc="http://schemas.openxmlformats.org/markup-compatibility/2006" xmlns:a14="http://schemas.microsoft.com/office/drawing/2010/main">
      <mc:Choice Requires="a14">
        <xdr:sp macro="" textlink="">
          <xdr:nvSpPr>
            <xdr:cNvPr id="58" name="TextBox 57">
              <a:extLst>
                <a:ext uri="{FF2B5EF4-FFF2-40B4-BE49-F238E27FC236}">
                  <a16:creationId xmlns:a16="http://schemas.microsoft.com/office/drawing/2014/main" id="{B4A8256A-1979-07E3-97DF-4B3CE1EECB1D}"/>
                </a:ext>
              </a:extLst>
            </xdr:cNvPr>
            <xdr:cNvSpPr txBox="1"/>
          </xdr:nvSpPr>
          <xdr:spPr>
            <a:xfrm>
              <a:off x="13520301981" y="54811836"/>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𝑛</m:t>
                    </m:r>
                    <m:r>
                      <a:rPr lang="en-US" sz="1100" b="0" i="1">
                        <a:latin typeface="Cambria Math" panose="02040503050406030204" pitchFamily="18" charset="0"/>
                      </a:rPr>
                      <m:t>=11</m:t>
                    </m:r>
                  </m:oMath>
                </m:oMathPara>
              </a14:m>
              <a:endParaRPr lang="en-US" sz="1100"/>
            </a:p>
          </xdr:txBody>
        </xdr:sp>
      </mc:Choice>
      <mc:Fallback xmlns="">
        <xdr:sp macro="" textlink="">
          <xdr:nvSpPr>
            <xdr:cNvPr id="58" name="TextBox 57">
              <a:extLst>
                <a:ext uri="{FF2B5EF4-FFF2-40B4-BE49-F238E27FC236}">
                  <a16:creationId xmlns:a16="http://schemas.microsoft.com/office/drawing/2014/main" id="{B4A8256A-1979-07E3-97DF-4B3CE1EECB1D}"/>
                </a:ext>
              </a:extLst>
            </xdr:cNvPr>
            <xdr:cNvSpPr txBox="1"/>
          </xdr:nvSpPr>
          <xdr:spPr>
            <a:xfrm>
              <a:off x="13520301981" y="54811836"/>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𝑛=11</a:t>
              </a:r>
              <a:endParaRPr lang="en-US" sz="1100"/>
            </a:p>
          </xdr:txBody>
        </xdr:sp>
      </mc:Fallback>
    </mc:AlternateContent>
    <xdr:clientData/>
  </xdr:oneCellAnchor>
  <xdr:oneCellAnchor>
    <xdr:from>
      <xdr:col>0</xdr:col>
      <xdr:colOff>240377</xdr:colOff>
      <xdr:row>267</xdr:row>
      <xdr:rowOff>109692</xdr:rowOff>
    </xdr:from>
    <xdr:ext cx="1355968" cy="173766"/>
    <mc:AlternateContent xmlns:mc="http://schemas.openxmlformats.org/markup-compatibility/2006" xmlns:a14="http://schemas.microsoft.com/office/drawing/2010/main">
      <mc:Choice Requires="a14">
        <xdr:sp macro="" textlink="">
          <xdr:nvSpPr>
            <xdr:cNvPr id="59" name="TextBox 58">
              <a:extLst>
                <a:ext uri="{FF2B5EF4-FFF2-40B4-BE49-F238E27FC236}">
                  <a16:creationId xmlns:a16="http://schemas.microsoft.com/office/drawing/2014/main" id="{C78E9C83-0F3A-5120-E8A2-197493BE764F}"/>
                </a:ext>
              </a:extLst>
            </xdr:cNvPr>
            <xdr:cNvSpPr txBox="1"/>
          </xdr:nvSpPr>
          <xdr:spPr>
            <a:xfrm>
              <a:off x="13520330027" y="54992121"/>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𝑟</m:t>
                    </m:r>
                    <m:r>
                      <a:rPr lang="en-US" sz="1100" b="0" i="1">
                        <a:latin typeface="Cambria Math" panose="02040503050406030204" pitchFamily="18" charset="0"/>
                      </a:rPr>
                      <m:t>=7%</m:t>
                    </m:r>
                  </m:oMath>
                </m:oMathPara>
              </a14:m>
              <a:endParaRPr lang="en-US" sz="1100"/>
            </a:p>
          </xdr:txBody>
        </xdr:sp>
      </mc:Choice>
      <mc:Fallback xmlns="">
        <xdr:sp macro="" textlink="">
          <xdr:nvSpPr>
            <xdr:cNvPr id="59" name="TextBox 58">
              <a:extLst>
                <a:ext uri="{FF2B5EF4-FFF2-40B4-BE49-F238E27FC236}">
                  <a16:creationId xmlns:a16="http://schemas.microsoft.com/office/drawing/2014/main" id="{C78E9C83-0F3A-5120-E8A2-197493BE764F}"/>
                </a:ext>
              </a:extLst>
            </xdr:cNvPr>
            <xdr:cNvSpPr txBox="1"/>
          </xdr:nvSpPr>
          <xdr:spPr>
            <a:xfrm>
              <a:off x="13520330027" y="54992121"/>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𝑟=7%</a:t>
              </a:r>
              <a:endParaRPr lang="en-US" sz="1100"/>
            </a:p>
          </xdr:txBody>
        </xdr:sp>
      </mc:Fallback>
    </mc:AlternateContent>
    <xdr:clientData/>
  </xdr:oneCellAnchor>
  <xdr:twoCellAnchor>
    <xdr:from>
      <xdr:col>0</xdr:col>
      <xdr:colOff>416656</xdr:colOff>
      <xdr:row>264</xdr:row>
      <xdr:rowOff>22034</xdr:rowOff>
    </xdr:from>
    <xdr:to>
      <xdr:col>0</xdr:col>
      <xdr:colOff>438692</xdr:colOff>
      <xdr:row>270</xdr:row>
      <xdr:rowOff>136215</xdr:rowOff>
    </xdr:to>
    <xdr:cxnSp macro="">
      <xdr:nvCxnSpPr>
        <xdr:cNvPr id="61" name="Straight Arrow Connector 60">
          <a:extLst>
            <a:ext uri="{FF2B5EF4-FFF2-40B4-BE49-F238E27FC236}">
              <a16:creationId xmlns:a16="http://schemas.microsoft.com/office/drawing/2014/main" id="{FD6D5E5B-B939-FF51-AE6F-1D86522FD4B1}"/>
            </a:ext>
          </a:extLst>
        </xdr:cNvPr>
        <xdr:cNvCxnSpPr>
          <a:stCxn id="55" idx="2"/>
        </xdr:cNvCxnSpPr>
      </xdr:nvCxnSpPr>
      <xdr:spPr>
        <a:xfrm>
          <a:off x="13521487680" y="54291498"/>
          <a:ext cx="22036" cy="1340111"/>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0</xdr:col>
      <xdr:colOff>0</xdr:colOff>
      <xdr:row>270</xdr:row>
      <xdr:rowOff>157768</xdr:rowOff>
    </xdr:from>
    <xdr:ext cx="1355968" cy="173766"/>
    <mc:AlternateContent xmlns:mc="http://schemas.openxmlformats.org/markup-compatibility/2006" xmlns:a14="http://schemas.microsoft.com/office/drawing/2010/main">
      <mc:Choice Requires="a14">
        <xdr:sp macro="" textlink="">
          <xdr:nvSpPr>
            <xdr:cNvPr id="62" name="TextBox 61">
              <a:extLst>
                <a:ext uri="{FF2B5EF4-FFF2-40B4-BE49-F238E27FC236}">
                  <a16:creationId xmlns:a16="http://schemas.microsoft.com/office/drawing/2014/main" id="{22B0A7DF-B8FB-9B9F-3D4F-B85D7EDFCCBE}"/>
                </a:ext>
              </a:extLst>
            </xdr:cNvPr>
            <xdr:cNvSpPr txBox="1"/>
          </xdr:nvSpPr>
          <xdr:spPr>
            <a:xfrm>
              <a:off x="13520570404" y="55653162"/>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𝐹𝑉</m:t>
                    </m:r>
                    <m:r>
                      <a:rPr lang="en-US" sz="1100" b="0" i="1">
                        <a:latin typeface="Cambria Math" panose="02040503050406030204" pitchFamily="18" charset="0"/>
                      </a:rPr>
                      <m:t>=500,000</m:t>
                    </m:r>
                  </m:oMath>
                </m:oMathPara>
              </a14:m>
              <a:endParaRPr lang="en-US" sz="1100"/>
            </a:p>
          </xdr:txBody>
        </xdr:sp>
      </mc:Choice>
      <mc:Fallback xmlns="">
        <xdr:sp macro="" textlink="">
          <xdr:nvSpPr>
            <xdr:cNvPr id="62" name="TextBox 61">
              <a:extLst>
                <a:ext uri="{FF2B5EF4-FFF2-40B4-BE49-F238E27FC236}">
                  <a16:creationId xmlns:a16="http://schemas.microsoft.com/office/drawing/2014/main" id="{22B0A7DF-B8FB-9B9F-3D4F-B85D7EDFCCBE}"/>
                </a:ext>
              </a:extLst>
            </xdr:cNvPr>
            <xdr:cNvSpPr txBox="1"/>
          </xdr:nvSpPr>
          <xdr:spPr>
            <a:xfrm>
              <a:off x="13520570404" y="55653162"/>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𝐹𝑉=500,000</a:t>
              </a:r>
              <a:endParaRPr lang="en-US" sz="1100"/>
            </a:p>
          </xdr:txBody>
        </xdr:sp>
      </mc:Fallback>
    </mc:AlternateContent>
    <xdr:clientData/>
  </xdr:oneCellAnchor>
  <xdr:oneCellAnchor>
    <xdr:from>
      <xdr:col>7</xdr:col>
      <xdr:colOff>372586</xdr:colOff>
      <xdr:row>267</xdr:row>
      <xdr:rowOff>173792</xdr:rowOff>
    </xdr:from>
    <xdr:ext cx="2493761" cy="327397"/>
    <mc:AlternateContent xmlns:mc="http://schemas.openxmlformats.org/markup-compatibility/2006" xmlns:a14="http://schemas.microsoft.com/office/drawing/2010/main">
      <mc:Choice Requires="a14">
        <xdr:sp macro="" textlink="">
          <xdr:nvSpPr>
            <xdr:cNvPr id="63" name="TextBox 62">
              <a:extLst>
                <a:ext uri="{FF2B5EF4-FFF2-40B4-BE49-F238E27FC236}">
                  <a16:creationId xmlns:a16="http://schemas.microsoft.com/office/drawing/2014/main" id="{78DF3D8D-5E0F-491D-14C8-D11B30A00D34}"/>
                </a:ext>
              </a:extLst>
            </xdr:cNvPr>
            <xdr:cNvSpPr txBox="1"/>
          </xdr:nvSpPr>
          <xdr:spPr>
            <a:xfrm>
              <a:off x="13513218826" y="55056221"/>
              <a:ext cx="2493761" cy="32739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𝐹</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𝑆𝐸𝑅𝐼𝐸𝑆</m:t>
                        </m:r>
                      </m:sub>
                    </m:sSub>
                    <m:r>
                      <a:rPr lang="en-US" sz="1100" b="0" i="1">
                        <a:latin typeface="Cambria Math" panose="02040503050406030204" pitchFamily="18" charset="0"/>
                      </a:rPr>
                      <m:t>=</m:t>
                    </m:r>
                    <m:r>
                      <a:rPr lang="en-US" sz="1100" b="0" i="1">
                        <a:latin typeface="Cambria Math" panose="02040503050406030204" pitchFamily="18" charset="0"/>
                      </a:rPr>
                      <m:t>𝑝𝑚𝑡</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r>
                          <a:rPr lang="en-US" sz="1100" b="0" i="1">
                            <a:latin typeface="Cambria Math" panose="02040503050406030204" pitchFamily="18" charset="0"/>
                          </a:rPr>
                          <m:t>−1</m:t>
                        </m:r>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63" name="TextBox 62">
              <a:extLst>
                <a:ext uri="{FF2B5EF4-FFF2-40B4-BE49-F238E27FC236}">
                  <a16:creationId xmlns:a16="http://schemas.microsoft.com/office/drawing/2014/main" id="{78DF3D8D-5E0F-491D-14C8-D11B30A00D34}"/>
                </a:ext>
              </a:extLst>
            </xdr:cNvPr>
            <xdr:cNvSpPr txBox="1"/>
          </xdr:nvSpPr>
          <xdr:spPr>
            <a:xfrm>
              <a:off x="13513218826" y="55056221"/>
              <a:ext cx="2493761" cy="32739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𝐹𝑉_𝑆𝐸𝑅𝐼𝐸𝑆=𝑝𝑚𝑡∗((1+𝑟)^𝑛−1)/𝑟</a:t>
              </a:r>
              <a:endParaRPr lang="en-US" sz="1100"/>
            </a:p>
          </xdr:txBody>
        </xdr:sp>
      </mc:Fallback>
    </mc:AlternateContent>
    <xdr:clientData/>
  </xdr:oneCellAnchor>
  <xdr:oneCellAnchor>
    <xdr:from>
      <xdr:col>0</xdr:col>
      <xdr:colOff>424669</xdr:colOff>
      <xdr:row>273</xdr:row>
      <xdr:rowOff>161773</xdr:rowOff>
    </xdr:from>
    <xdr:ext cx="7854202" cy="346377"/>
    <mc:AlternateContent xmlns:mc="http://schemas.openxmlformats.org/markup-compatibility/2006" xmlns:a14="http://schemas.microsoft.com/office/drawing/2010/main">
      <mc:Choice Requires="a14">
        <xdr:sp macro="" textlink="">
          <xdr:nvSpPr>
            <xdr:cNvPr id="64" name="TextBox 63">
              <a:extLst>
                <a:ext uri="{FF2B5EF4-FFF2-40B4-BE49-F238E27FC236}">
                  <a16:creationId xmlns:a16="http://schemas.microsoft.com/office/drawing/2014/main" id="{275F59FA-CF4C-AE42-E62E-CBEE8D29010C}"/>
                </a:ext>
              </a:extLst>
            </xdr:cNvPr>
            <xdr:cNvSpPr txBox="1"/>
          </xdr:nvSpPr>
          <xdr:spPr>
            <a:xfrm>
              <a:off x="13513647501" y="56270133"/>
              <a:ext cx="7854202" cy="3463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𝐹</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𝑆𝐸𝑅𝐼𝐸𝑆</m:t>
                        </m:r>
                      </m:sub>
                    </m:sSub>
                    <m:r>
                      <a:rPr lang="en-US" sz="1100" b="0" i="1">
                        <a:latin typeface="Cambria Math" panose="02040503050406030204" pitchFamily="18" charset="0"/>
                      </a:rPr>
                      <m:t>=</m:t>
                    </m:r>
                    <m:r>
                      <a:rPr lang="en-US" sz="1100" b="0" i="1">
                        <a:latin typeface="Cambria Math" panose="02040503050406030204" pitchFamily="18" charset="0"/>
                      </a:rPr>
                      <m:t>𝑥</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1+4%</m:t>
                                </m:r>
                              </m:e>
                            </m:d>
                          </m:e>
                          <m:sup>
                            <m:r>
                              <a:rPr lang="en-US" sz="1100" b="0" i="1">
                                <a:latin typeface="Cambria Math" panose="02040503050406030204" pitchFamily="18" charset="0"/>
                              </a:rPr>
                              <m:t>3</m:t>
                            </m:r>
                          </m:sup>
                        </m:sSup>
                        <m:r>
                          <a:rPr lang="en-US" sz="1100" b="0" i="1">
                            <a:latin typeface="Cambria Math" panose="02040503050406030204" pitchFamily="18" charset="0"/>
                          </a:rPr>
                          <m:t>−1</m:t>
                        </m:r>
                      </m:num>
                      <m:den>
                        <m:r>
                          <a:rPr lang="en-US" sz="1100" b="0" i="1">
                            <a:latin typeface="Cambria Math" panose="02040503050406030204" pitchFamily="18" charset="0"/>
                          </a:rPr>
                          <m:t>4%</m:t>
                        </m:r>
                      </m:den>
                    </m:f>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1+2%</m:t>
                            </m:r>
                          </m:e>
                        </m:d>
                      </m:e>
                      <m:sup>
                        <m:r>
                          <a:rPr lang="en-US" sz="1100" b="0" i="1">
                            <a:latin typeface="Cambria Math" panose="02040503050406030204" pitchFamily="18" charset="0"/>
                          </a:rPr>
                          <m:t>6</m:t>
                        </m:r>
                      </m:sup>
                    </m:sSup>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1+7%</m:t>
                            </m:r>
                          </m:e>
                        </m:d>
                      </m:e>
                      <m:sup>
                        <m:r>
                          <a:rPr lang="en-US" sz="1100" b="0" i="1">
                            <a:latin typeface="Cambria Math" panose="02040503050406030204" pitchFamily="18" charset="0"/>
                          </a:rPr>
                          <m:t>11</m:t>
                        </m:r>
                      </m:sup>
                    </m:sSup>
                    <m:r>
                      <a:rPr lang="en-US" sz="1100" b="0" i="1">
                        <a:latin typeface="Cambria Math" panose="02040503050406030204" pitchFamily="18" charset="0"/>
                      </a:rPr>
                      <m:t>+</m:t>
                    </m:r>
                    <m:r>
                      <a:rPr lang="en-US" sz="1100" b="0" i="1">
                        <a:latin typeface="Cambria Math" panose="02040503050406030204" pitchFamily="18" charset="0"/>
                      </a:rPr>
                      <m:t>𝑥</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1+2%</m:t>
                                </m:r>
                              </m:e>
                            </m:d>
                          </m:e>
                          <m:sup>
                            <m:r>
                              <a:rPr lang="en-US" sz="1100" b="0" i="1">
                                <a:latin typeface="Cambria Math" panose="02040503050406030204" pitchFamily="18" charset="0"/>
                              </a:rPr>
                              <m:t>6</m:t>
                            </m:r>
                          </m:sup>
                        </m:sSup>
                        <m:r>
                          <a:rPr lang="en-US" sz="1100" b="0" i="1">
                            <a:latin typeface="Cambria Math" panose="02040503050406030204" pitchFamily="18" charset="0"/>
                          </a:rPr>
                          <m:t>−1</m:t>
                        </m:r>
                      </m:num>
                      <m:den>
                        <m:r>
                          <a:rPr lang="en-US" sz="1100" b="0" i="1">
                            <a:latin typeface="Cambria Math" panose="02040503050406030204" pitchFamily="18" charset="0"/>
                          </a:rPr>
                          <m:t>2%</m:t>
                        </m:r>
                      </m:den>
                    </m:f>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1+7%</m:t>
                            </m:r>
                          </m:e>
                        </m:d>
                      </m:e>
                      <m:sup>
                        <m:r>
                          <a:rPr lang="en-US" sz="1100" b="0" i="1">
                            <a:latin typeface="Cambria Math" panose="02040503050406030204" pitchFamily="18" charset="0"/>
                          </a:rPr>
                          <m:t>11</m:t>
                        </m:r>
                      </m:sup>
                    </m:sSup>
                    <m:r>
                      <a:rPr lang="en-US" sz="1100" b="0" i="1">
                        <a:latin typeface="Cambria Math" panose="02040503050406030204" pitchFamily="18" charset="0"/>
                      </a:rPr>
                      <m:t>+</m:t>
                    </m:r>
                    <m:r>
                      <a:rPr lang="en-US" sz="1100" b="0" i="1">
                        <a:latin typeface="Cambria Math" panose="02040503050406030204" pitchFamily="18" charset="0"/>
                      </a:rPr>
                      <m:t>𝑥</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1+7%</m:t>
                                </m:r>
                              </m:e>
                            </m:d>
                          </m:e>
                          <m:sup>
                            <m:r>
                              <a:rPr lang="en-US" sz="1100" b="0" i="1">
                                <a:latin typeface="Cambria Math" panose="02040503050406030204" pitchFamily="18" charset="0"/>
                              </a:rPr>
                              <m:t>11</m:t>
                            </m:r>
                          </m:sup>
                        </m:sSup>
                        <m:r>
                          <a:rPr lang="en-US" sz="1100" b="0" i="1">
                            <a:latin typeface="Cambria Math" panose="02040503050406030204" pitchFamily="18" charset="0"/>
                          </a:rPr>
                          <m:t>−1</m:t>
                        </m:r>
                      </m:num>
                      <m:den>
                        <m:r>
                          <a:rPr lang="en-US" sz="1100" b="0" i="1">
                            <a:latin typeface="Cambria Math" panose="02040503050406030204" pitchFamily="18" charset="0"/>
                          </a:rPr>
                          <m:t>7%</m:t>
                        </m:r>
                      </m:den>
                    </m:f>
                    <m:r>
                      <a:rPr lang="en-US" sz="1100" b="0" i="1">
                        <a:latin typeface="Cambria Math" panose="02040503050406030204" pitchFamily="18" charset="0"/>
                      </a:rPr>
                      <m:t>=500,000</m:t>
                    </m:r>
                  </m:oMath>
                </m:oMathPara>
              </a14:m>
              <a:endParaRPr lang="en-US" sz="1100"/>
            </a:p>
          </xdr:txBody>
        </xdr:sp>
      </mc:Choice>
      <mc:Fallback xmlns="">
        <xdr:sp macro="" textlink="">
          <xdr:nvSpPr>
            <xdr:cNvPr id="64" name="TextBox 63">
              <a:extLst>
                <a:ext uri="{FF2B5EF4-FFF2-40B4-BE49-F238E27FC236}">
                  <a16:creationId xmlns:a16="http://schemas.microsoft.com/office/drawing/2014/main" id="{275F59FA-CF4C-AE42-E62E-CBEE8D29010C}"/>
                </a:ext>
              </a:extLst>
            </xdr:cNvPr>
            <xdr:cNvSpPr txBox="1"/>
          </xdr:nvSpPr>
          <xdr:spPr>
            <a:xfrm>
              <a:off x="13513647501" y="56270133"/>
              <a:ext cx="7854202" cy="3463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𝐹𝑉_𝑆𝐸𝑅𝐼𝐸𝑆=𝑥∗((1+4%)^3−1)/(4%)∗(1+2%)^6∗(1+7%)^11+𝑥∗((1+2%)^6−1)/(2%)∗(1+7%)^11+𝑥∗((1+7%)^11−1)/(7%)=500,000</a:t>
              </a:r>
              <a:endParaRPr lang="en-US" sz="1100"/>
            </a:p>
          </xdr:txBody>
        </xdr:sp>
      </mc:Fallback>
    </mc:AlternateContent>
    <xdr:clientData/>
  </xdr:oneCellAnchor>
  <xdr:twoCellAnchor>
    <xdr:from>
      <xdr:col>5</xdr:col>
      <xdr:colOff>421541</xdr:colOff>
      <xdr:row>76</xdr:row>
      <xdr:rowOff>14082</xdr:rowOff>
    </xdr:from>
    <xdr:to>
      <xdr:col>5</xdr:col>
      <xdr:colOff>428625</xdr:colOff>
      <xdr:row>77</xdr:row>
      <xdr:rowOff>195791</xdr:rowOff>
    </xdr:to>
    <xdr:cxnSp macro="">
      <xdr:nvCxnSpPr>
        <xdr:cNvPr id="29" name="Straight Arrow Connector 28">
          <a:extLst>
            <a:ext uri="{FF2B5EF4-FFF2-40B4-BE49-F238E27FC236}">
              <a16:creationId xmlns:a16="http://schemas.microsoft.com/office/drawing/2014/main" id="{87416B1E-6FB7-4D45-7E5D-1236A05FB6AA}"/>
            </a:ext>
          </a:extLst>
        </xdr:cNvPr>
        <xdr:cNvCxnSpPr/>
      </xdr:nvCxnSpPr>
      <xdr:spPr>
        <a:xfrm flipH="1">
          <a:off x="13520589333" y="15423415"/>
          <a:ext cx="7084" cy="38279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8</xdr:col>
      <xdr:colOff>0</xdr:colOff>
      <xdr:row>134</xdr:row>
      <xdr:rowOff>37041</xdr:rowOff>
    </xdr:from>
    <xdr:ext cx="2301753" cy="327397"/>
    <mc:AlternateContent xmlns:mc="http://schemas.openxmlformats.org/markup-compatibility/2006" xmlns:a14="http://schemas.microsoft.com/office/drawing/2010/main">
      <mc:Choice Requires="a14">
        <xdr:sp macro="" textlink="">
          <xdr:nvSpPr>
            <xdr:cNvPr id="39" name="TextBox 38">
              <a:extLst>
                <a:ext uri="{FF2B5EF4-FFF2-40B4-BE49-F238E27FC236}">
                  <a16:creationId xmlns:a16="http://schemas.microsoft.com/office/drawing/2014/main" id="{63651B6B-560C-8443-904B-3C56147041CD}"/>
                </a:ext>
              </a:extLst>
            </xdr:cNvPr>
            <xdr:cNvSpPr txBox="1"/>
          </xdr:nvSpPr>
          <xdr:spPr>
            <a:xfrm>
              <a:off x="13516239705" y="27172708"/>
              <a:ext cx="2301753" cy="32739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𝐹𝑉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r>
                          <a:rPr lang="en-US" sz="1100" b="0" i="1">
                            <a:latin typeface="Cambria Math" panose="02040503050406030204" pitchFamily="18" charset="0"/>
                          </a:rPr>
                          <m:t>−1</m:t>
                        </m:r>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39" name="TextBox 38">
              <a:extLst>
                <a:ext uri="{FF2B5EF4-FFF2-40B4-BE49-F238E27FC236}">
                  <a16:creationId xmlns:a16="http://schemas.microsoft.com/office/drawing/2014/main" id="{63651B6B-560C-8443-904B-3C56147041CD}"/>
                </a:ext>
              </a:extLst>
            </xdr:cNvPr>
            <xdr:cNvSpPr txBox="1"/>
          </xdr:nvSpPr>
          <xdr:spPr>
            <a:xfrm>
              <a:off x="13516239705" y="27172708"/>
              <a:ext cx="2301753" cy="32739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𝐹𝑉=𝑃𝑀𝑇∗((1+𝑟)^𝑛−1)/𝑟</a:t>
              </a:r>
              <a:endParaRPr lang="en-US" sz="1100"/>
            </a:p>
          </xdr:txBody>
        </xdr:sp>
      </mc:Fallback>
    </mc:AlternateContent>
    <xdr:clientData/>
  </xdr:oneCellAnchor>
  <xdr:oneCellAnchor>
    <xdr:from>
      <xdr:col>7</xdr:col>
      <xdr:colOff>502709</xdr:colOff>
      <xdr:row>137</xdr:row>
      <xdr:rowOff>63499</xdr:rowOff>
    </xdr:from>
    <xdr:ext cx="3106087" cy="348750"/>
    <mc:AlternateContent xmlns:mc="http://schemas.openxmlformats.org/markup-compatibility/2006" xmlns:a14="http://schemas.microsoft.com/office/drawing/2010/main">
      <mc:Choice Requires="a14">
        <xdr:sp macro="" textlink="">
          <xdr:nvSpPr>
            <xdr:cNvPr id="40" name="TextBox 39">
              <a:extLst>
                <a:ext uri="{FF2B5EF4-FFF2-40B4-BE49-F238E27FC236}">
                  <a16:creationId xmlns:a16="http://schemas.microsoft.com/office/drawing/2014/main" id="{F85E9C0C-897D-1AC0-AA1D-1182B29EC81D}"/>
                </a:ext>
              </a:extLst>
            </xdr:cNvPr>
            <xdr:cNvSpPr txBox="1"/>
          </xdr:nvSpPr>
          <xdr:spPr>
            <a:xfrm>
              <a:off x="13515758162" y="27802416"/>
              <a:ext cx="3106087" cy="3487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𝐹𝑉</m:t>
                    </m:r>
                    <m:r>
                      <a:rPr lang="en-US" sz="1100" b="0" i="1">
                        <a:latin typeface="Cambria Math" panose="02040503050406030204" pitchFamily="18" charset="0"/>
                      </a:rPr>
                      <m:t>=4,000∗</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1+9%</m:t>
                                </m:r>
                              </m:e>
                            </m:d>
                          </m:e>
                          <m:sup>
                            <m:r>
                              <a:rPr lang="en-US" sz="1100" b="0" i="1">
                                <a:latin typeface="Cambria Math" panose="02040503050406030204" pitchFamily="18" charset="0"/>
                              </a:rPr>
                              <m:t>5</m:t>
                            </m:r>
                          </m:sup>
                        </m:sSup>
                        <m:r>
                          <a:rPr lang="en-US" sz="1100" b="0" i="1">
                            <a:latin typeface="Cambria Math" panose="02040503050406030204" pitchFamily="18" charset="0"/>
                          </a:rPr>
                          <m:t>−1</m:t>
                        </m:r>
                      </m:num>
                      <m:den>
                        <m:r>
                          <a:rPr lang="en-US" sz="1100" b="0" i="1">
                            <a:latin typeface="Cambria Math" panose="02040503050406030204" pitchFamily="18" charset="0"/>
                          </a:rPr>
                          <m:t>9%</m:t>
                        </m:r>
                      </m:den>
                    </m:f>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1+9%</m:t>
                            </m:r>
                          </m:e>
                        </m:d>
                      </m:e>
                      <m:sup>
                        <m:r>
                          <a:rPr lang="en-US" sz="1100" b="0" i="1">
                            <a:latin typeface="Cambria Math" panose="02040503050406030204" pitchFamily="18" charset="0"/>
                          </a:rPr>
                          <m:t>1</m:t>
                        </m:r>
                      </m:sup>
                    </m:sSup>
                    <m:r>
                      <a:rPr lang="en-US" sz="1100" b="0" i="1">
                        <a:latin typeface="Cambria Math" panose="02040503050406030204" pitchFamily="18" charset="0"/>
                      </a:rPr>
                      <m:t>=26,093</m:t>
                    </m:r>
                  </m:oMath>
                </m:oMathPara>
              </a14:m>
              <a:endParaRPr lang="en-US" sz="1100"/>
            </a:p>
          </xdr:txBody>
        </xdr:sp>
      </mc:Choice>
      <mc:Fallback xmlns="">
        <xdr:sp macro="" textlink="">
          <xdr:nvSpPr>
            <xdr:cNvPr id="40" name="TextBox 39">
              <a:extLst>
                <a:ext uri="{FF2B5EF4-FFF2-40B4-BE49-F238E27FC236}">
                  <a16:creationId xmlns:a16="http://schemas.microsoft.com/office/drawing/2014/main" id="{F85E9C0C-897D-1AC0-AA1D-1182B29EC81D}"/>
                </a:ext>
              </a:extLst>
            </xdr:cNvPr>
            <xdr:cNvSpPr txBox="1"/>
          </xdr:nvSpPr>
          <xdr:spPr>
            <a:xfrm>
              <a:off x="13515758162" y="27802416"/>
              <a:ext cx="3106087" cy="3487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𝐹𝑉=4,000∗((1+9%)^5−1)/(9%)∗(1+9%)^1=26,093</a:t>
              </a:r>
              <a:endParaRPr lang="en-US"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215754</xdr:colOff>
      <xdr:row>32</xdr:row>
      <xdr:rowOff>72375</xdr:rowOff>
    </xdr:from>
    <xdr:ext cx="2209676" cy="45967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79D8AA4-3C17-1610-6B23-DED79435B351}"/>
                </a:ext>
              </a:extLst>
            </xdr:cNvPr>
            <xdr:cNvSpPr txBox="1"/>
          </xdr:nvSpPr>
          <xdr:spPr>
            <a:xfrm>
              <a:off x="13491976733" y="3892182"/>
              <a:ext cx="2209676" cy="459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2" name="TextBox 1">
              <a:extLst>
                <a:ext uri="{FF2B5EF4-FFF2-40B4-BE49-F238E27FC236}">
                  <a16:creationId xmlns:a16="http://schemas.microsoft.com/office/drawing/2014/main" id="{F79D8AA4-3C17-1610-6B23-DED79435B351}"/>
                </a:ext>
              </a:extLst>
            </xdr:cNvPr>
            <xdr:cNvSpPr txBox="1"/>
          </xdr:nvSpPr>
          <xdr:spPr>
            <a:xfrm>
              <a:off x="13491976733" y="3892182"/>
              <a:ext cx="2209676" cy="459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𝑃𝑉=𝑃𝑀𝑇∗(1−1/(1+𝑟)^𝑛 )/𝑟</a:t>
              </a:r>
              <a:endParaRPr lang="en-US" sz="1100"/>
            </a:p>
          </xdr:txBody>
        </xdr:sp>
      </mc:Fallback>
    </mc:AlternateContent>
    <xdr:clientData/>
  </xdr:oneCellAnchor>
  <xdr:oneCellAnchor>
    <xdr:from>
      <xdr:col>3</xdr:col>
      <xdr:colOff>132393</xdr:colOff>
      <xdr:row>71</xdr:row>
      <xdr:rowOff>201042</xdr:rowOff>
    </xdr:from>
    <xdr:ext cx="2209676" cy="459678"/>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3621060-7B34-8F4A-BDC7-C26F743BDDDB}"/>
                </a:ext>
              </a:extLst>
            </xdr:cNvPr>
            <xdr:cNvSpPr txBox="1"/>
          </xdr:nvSpPr>
          <xdr:spPr>
            <a:xfrm>
              <a:off x="13492060094" y="15539111"/>
              <a:ext cx="2209676" cy="459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𝐿𝑂𝐴𝑁</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3" name="TextBox 2">
              <a:extLst>
                <a:ext uri="{FF2B5EF4-FFF2-40B4-BE49-F238E27FC236}">
                  <a16:creationId xmlns:a16="http://schemas.microsoft.com/office/drawing/2014/main" id="{B3621060-7B34-8F4A-BDC7-C26F743BDDDB}"/>
                </a:ext>
              </a:extLst>
            </xdr:cNvPr>
            <xdr:cNvSpPr txBox="1"/>
          </xdr:nvSpPr>
          <xdr:spPr>
            <a:xfrm>
              <a:off x="13492060094" y="15539111"/>
              <a:ext cx="2209676" cy="459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𝐿𝑂𝐴𝑁=𝑃𝑀𝑇∗(1−1/(1+𝑟)^𝑛 )/𝑟</a:t>
              </a:r>
              <a:endParaRPr lang="en-US" sz="1100"/>
            </a:p>
          </xdr:txBody>
        </xdr:sp>
      </mc:Fallback>
    </mc:AlternateContent>
    <xdr:clientData/>
  </xdr:oneCellAnchor>
  <xdr:oneCellAnchor>
    <xdr:from>
      <xdr:col>3</xdr:col>
      <xdr:colOff>163616</xdr:colOff>
      <xdr:row>80</xdr:row>
      <xdr:rowOff>92356</xdr:rowOff>
    </xdr:from>
    <xdr:ext cx="2209676" cy="45967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1F1E683-D37C-54F3-2D76-48EE241590BE}"/>
                </a:ext>
              </a:extLst>
            </xdr:cNvPr>
            <xdr:cNvSpPr txBox="1"/>
          </xdr:nvSpPr>
          <xdr:spPr>
            <a:xfrm>
              <a:off x="13520142208" y="19243956"/>
              <a:ext cx="2209676" cy="459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baseline="0">
                        <a:latin typeface="Cambria Math" panose="02040503050406030204" pitchFamily="18" charset="0"/>
                      </a:rPr>
                      <m:t> </m:t>
                    </m:r>
                    <m:r>
                      <a:rPr lang="en-US" sz="1100" b="0" i="1" baseline="0">
                        <a:latin typeface="Cambria Math" panose="02040503050406030204" pitchFamily="18" charset="0"/>
                      </a:rPr>
                      <m:t>𝐵𝐴</m:t>
                    </m:r>
                    <m:sSub>
                      <m:sSubPr>
                        <m:ctrlPr>
                          <a:rPr lang="en-US" sz="1100" b="0" i="1" baseline="0">
                            <a:latin typeface="Cambria Math" panose="02040503050406030204" pitchFamily="18" charset="0"/>
                          </a:rPr>
                        </m:ctrlPr>
                      </m:sSubPr>
                      <m:e>
                        <m:r>
                          <a:rPr lang="en-US" sz="1100" b="0" i="1" baseline="0">
                            <a:latin typeface="Cambria Math" panose="02040503050406030204" pitchFamily="18" charset="0"/>
                          </a:rPr>
                          <m:t>𝐿</m:t>
                        </m:r>
                      </m:e>
                      <m:sub>
                        <m:r>
                          <a:rPr lang="en-US" sz="1100" b="0" i="1" baseline="0">
                            <a:latin typeface="Cambria Math" panose="02040503050406030204" pitchFamily="18" charset="0"/>
                          </a:rPr>
                          <m:t>𝑡</m:t>
                        </m:r>
                      </m:sub>
                    </m:sSub>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r>
                                  <a:rPr lang="en-US" sz="1100" b="0" i="1">
                                    <a:latin typeface="Cambria Math" panose="02040503050406030204" pitchFamily="18" charset="0"/>
                                  </a:rPr>
                                  <m:t>−</m:t>
                                </m:r>
                                <m:r>
                                  <a:rPr lang="en-US" sz="1100" b="0" i="1">
                                    <a:latin typeface="Cambria Math" panose="02040503050406030204" pitchFamily="18" charset="0"/>
                                  </a:rPr>
                                  <m:t>𝑡</m:t>
                                </m:r>
                              </m:sup>
                            </m:sSup>
                          </m:den>
                        </m:f>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4" name="TextBox 3">
              <a:extLst>
                <a:ext uri="{FF2B5EF4-FFF2-40B4-BE49-F238E27FC236}">
                  <a16:creationId xmlns:a16="http://schemas.microsoft.com/office/drawing/2014/main" id="{C1F1E683-D37C-54F3-2D76-48EE241590BE}"/>
                </a:ext>
              </a:extLst>
            </xdr:cNvPr>
            <xdr:cNvSpPr txBox="1"/>
          </xdr:nvSpPr>
          <xdr:spPr>
            <a:xfrm>
              <a:off x="13520142208" y="19243956"/>
              <a:ext cx="2209676" cy="459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baseline="0">
                  <a:latin typeface="Cambria Math" panose="02040503050406030204" pitchFamily="18" charset="0"/>
                </a:rPr>
                <a:t> 𝐵𝐴𝐿_𝑡</a:t>
              </a:r>
              <a:r>
                <a:rPr lang="en-US" sz="1100" b="0" i="0">
                  <a:latin typeface="Cambria Math" panose="02040503050406030204" pitchFamily="18" charset="0"/>
                </a:rPr>
                <a:t>=𝑃𝑀𝑇∗(1−1/(1+𝑟)^(𝑛−𝑡) )/𝑟</a:t>
              </a:r>
              <a:endParaRPr lang="en-US" sz="1100"/>
            </a:p>
          </xdr:txBody>
        </xdr:sp>
      </mc:Fallback>
    </mc:AlternateContent>
    <xdr:clientData/>
  </xdr:oneCellAnchor>
  <xdr:oneCellAnchor>
    <xdr:from>
      <xdr:col>3</xdr:col>
      <xdr:colOff>73553</xdr:colOff>
      <xdr:row>98</xdr:row>
      <xdr:rowOff>137297</xdr:rowOff>
    </xdr:from>
    <xdr:ext cx="2209676" cy="315792"/>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3D44F7A-C9A9-E09A-8658-9AEC86922F23}"/>
                </a:ext>
              </a:extLst>
            </xdr:cNvPr>
            <xdr:cNvSpPr txBox="1"/>
          </xdr:nvSpPr>
          <xdr:spPr>
            <a:xfrm>
              <a:off x="13492118934" y="20932934"/>
              <a:ext cx="2209676"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baseline="0">
                        <a:latin typeface="Cambria Math" panose="02040503050406030204" pitchFamily="18" charset="0"/>
                      </a:rPr>
                      <m:t> </m:t>
                    </m:r>
                    <m:r>
                      <a:rPr lang="en-US" sz="1100" b="0" i="1" baseline="0">
                        <a:latin typeface="Cambria Math" panose="02040503050406030204" pitchFamily="18" charset="0"/>
                      </a:rPr>
                      <m:t>𝐵𝐴</m:t>
                    </m:r>
                    <m:sSub>
                      <m:sSubPr>
                        <m:ctrlPr>
                          <a:rPr lang="en-US" sz="1100" b="0" i="1" baseline="0">
                            <a:latin typeface="Cambria Math" panose="02040503050406030204" pitchFamily="18" charset="0"/>
                          </a:rPr>
                        </m:ctrlPr>
                      </m:sSubPr>
                      <m:e>
                        <m:r>
                          <a:rPr lang="en-US" sz="1100" b="0" i="1" baseline="0">
                            <a:latin typeface="Cambria Math" panose="02040503050406030204" pitchFamily="18" charset="0"/>
                          </a:rPr>
                          <m:t>𝐿</m:t>
                        </m:r>
                      </m:e>
                      <m:sub>
                        <m:r>
                          <a:rPr lang="en-US" sz="1100" b="0" i="1" baseline="0">
                            <a:latin typeface="Cambria Math" panose="02040503050406030204" pitchFamily="18" charset="0"/>
                          </a:rPr>
                          <m:t>𝑡</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𝐿𝑂𝐴𝑁</m:t>
                        </m:r>
                      </m:num>
                      <m:den>
                        <m:r>
                          <a:rPr lang="en-US" sz="1100" b="0" i="1">
                            <a:latin typeface="Cambria Math" panose="02040503050406030204" pitchFamily="18" charset="0"/>
                          </a:rPr>
                          <m:t>𝑛</m:t>
                        </m:r>
                      </m:den>
                    </m:f>
                    <m:r>
                      <a:rPr lang="en-US" sz="1100" b="0" i="1">
                        <a:latin typeface="Cambria Math" panose="02040503050406030204" pitchFamily="18" charset="0"/>
                      </a:rPr>
                      <m:t>∗(</m:t>
                    </m:r>
                    <m:r>
                      <a:rPr lang="en-US" sz="1100" b="0" i="1">
                        <a:latin typeface="Cambria Math" panose="02040503050406030204" pitchFamily="18" charset="0"/>
                      </a:rPr>
                      <m:t>𝑛</m:t>
                    </m:r>
                    <m:r>
                      <a:rPr lang="en-US" sz="1100" b="0" i="1">
                        <a:latin typeface="Cambria Math" panose="02040503050406030204" pitchFamily="18" charset="0"/>
                      </a:rPr>
                      <m:t>−</m:t>
                    </m:r>
                    <m:r>
                      <a:rPr lang="en-US" sz="1100" b="0" i="1">
                        <a:latin typeface="Cambria Math" panose="02040503050406030204" pitchFamily="18" charset="0"/>
                      </a:rPr>
                      <m:t>𝑡</m:t>
                    </m:r>
                    <m:r>
                      <a:rPr lang="en-US" sz="1100" b="0" i="1">
                        <a:latin typeface="Cambria Math" panose="02040503050406030204" pitchFamily="18" charset="0"/>
                      </a:rPr>
                      <m:t>)</m:t>
                    </m:r>
                  </m:oMath>
                </m:oMathPara>
              </a14:m>
              <a:endParaRPr lang="en-US" sz="1100"/>
            </a:p>
          </xdr:txBody>
        </xdr:sp>
      </mc:Choice>
      <mc:Fallback xmlns="">
        <xdr:sp macro="" textlink="">
          <xdr:nvSpPr>
            <xdr:cNvPr id="5" name="TextBox 4">
              <a:extLst>
                <a:ext uri="{FF2B5EF4-FFF2-40B4-BE49-F238E27FC236}">
                  <a16:creationId xmlns:a16="http://schemas.microsoft.com/office/drawing/2014/main" id="{D3D44F7A-C9A9-E09A-8658-9AEC86922F23}"/>
                </a:ext>
              </a:extLst>
            </xdr:cNvPr>
            <xdr:cNvSpPr txBox="1"/>
          </xdr:nvSpPr>
          <xdr:spPr>
            <a:xfrm>
              <a:off x="13492118934" y="20932934"/>
              <a:ext cx="2209676"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baseline="0">
                  <a:latin typeface="Cambria Math" panose="02040503050406030204" pitchFamily="18" charset="0"/>
                </a:rPr>
                <a:t> 𝐵𝐴𝐿_𝑡</a:t>
              </a:r>
              <a:r>
                <a:rPr lang="en-US" sz="1100" b="0" i="0">
                  <a:latin typeface="Cambria Math" panose="02040503050406030204" pitchFamily="18" charset="0"/>
                </a:rPr>
                <a:t>=𝐿𝑂𝐴𝑁/𝑛∗(𝑛−𝑡)</a:t>
              </a:r>
              <a:endParaRPr lang="en-US" sz="1100"/>
            </a:p>
          </xdr:txBody>
        </xdr:sp>
      </mc:Fallback>
    </mc:AlternateContent>
    <xdr:clientData/>
  </xdr:oneCellAnchor>
  <xdr:oneCellAnchor>
    <xdr:from>
      <xdr:col>1</xdr:col>
      <xdr:colOff>320775</xdr:colOff>
      <xdr:row>36</xdr:row>
      <xdr:rowOff>78921</xdr:rowOff>
    </xdr:from>
    <xdr:ext cx="3616873" cy="46935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644B9C7-8784-9884-B9AE-B2190F75AAD4}"/>
                </a:ext>
              </a:extLst>
            </xdr:cNvPr>
            <xdr:cNvSpPr txBox="1"/>
          </xdr:nvSpPr>
          <xdr:spPr>
            <a:xfrm>
              <a:off x="13509503899" y="6396189"/>
              <a:ext cx="3616873" cy="4693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latin typeface="Cambria Math" panose="02040503050406030204" pitchFamily="18" charset="0"/>
                      </a:rPr>
                      <m:t>27,000</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1%</m:t>
                                    </m:r>
                                  </m:e>
                                </m:d>
                              </m:e>
                              <m:sup>
                                <m:r>
                                  <a:rPr lang="he-IL" sz="1100" b="0" i="1">
                                    <a:latin typeface="Cambria Math" panose="02040503050406030204" pitchFamily="18" charset="0"/>
                                  </a:rPr>
                                  <m:t>120</m:t>
                                </m:r>
                              </m:sup>
                            </m:sSup>
                          </m:den>
                        </m:f>
                      </m:num>
                      <m:den>
                        <m:r>
                          <a:rPr lang="he-IL" sz="1100" b="0" i="1">
                            <a:latin typeface="Cambria Math" panose="02040503050406030204" pitchFamily="18" charset="0"/>
                          </a:rPr>
                          <m:t>1%</m:t>
                        </m:r>
                      </m:den>
                    </m:f>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=387.37</m:t>
                    </m:r>
                  </m:oMath>
                </m:oMathPara>
              </a14:m>
              <a:endParaRPr lang="en-US" sz="1100"/>
            </a:p>
          </xdr:txBody>
        </xdr:sp>
      </mc:Choice>
      <mc:Fallback xmlns="">
        <xdr:sp macro="" textlink="">
          <xdr:nvSpPr>
            <xdr:cNvPr id="6" name="TextBox 5">
              <a:extLst>
                <a:ext uri="{FF2B5EF4-FFF2-40B4-BE49-F238E27FC236}">
                  <a16:creationId xmlns:a16="http://schemas.microsoft.com/office/drawing/2014/main" id="{2644B9C7-8784-9884-B9AE-B2190F75AAD4}"/>
                </a:ext>
              </a:extLst>
            </xdr:cNvPr>
            <xdr:cNvSpPr txBox="1"/>
          </xdr:nvSpPr>
          <xdr:spPr>
            <a:xfrm>
              <a:off x="13509503899" y="6396189"/>
              <a:ext cx="3616873" cy="4693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27,000</a:t>
              </a:r>
              <a:r>
                <a:rPr lang="en-US" sz="1100" b="0" i="0">
                  <a:latin typeface="Cambria Math" panose="02040503050406030204" pitchFamily="18" charset="0"/>
                </a:rPr>
                <a:t>=𝑃𝑀𝑇∗(1−1/(1+</a:t>
              </a:r>
              <a:r>
                <a:rPr lang="he-IL" sz="1100" b="0" i="0">
                  <a:latin typeface="Cambria Math" panose="02040503050406030204" pitchFamily="18" charset="0"/>
                </a:rPr>
                <a:t>1%)</a:t>
              </a:r>
              <a:r>
                <a:rPr lang="en-US" sz="1100" b="0" i="0">
                  <a:latin typeface="Cambria Math" panose="02040503050406030204" pitchFamily="18" charset="0"/>
                </a:rPr>
                <a:t>^</a:t>
              </a:r>
              <a:r>
                <a:rPr lang="he-IL" sz="1100" b="0" i="0">
                  <a:latin typeface="Cambria Math" panose="02040503050406030204" pitchFamily="18" charset="0"/>
                </a:rPr>
                <a:t>120 </a:t>
              </a:r>
              <a:r>
                <a:rPr lang="en-US" sz="1100" b="0" i="0">
                  <a:latin typeface="Cambria Math" panose="02040503050406030204" pitchFamily="18" charset="0"/>
                </a:rPr>
                <a:t>)/(</a:t>
              </a:r>
              <a:r>
                <a:rPr lang="he-IL" sz="1100" b="0" i="0">
                  <a:latin typeface="Cambria Math" panose="02040503050406030204" pitchFamily="18" charset="0"/>
                </a:rPr>
                <a:t>1%</a:t>
              </a:r>
              <a:r>
                <a:rPr lang="en-US" sz="1100" b="0" i="0">
                  <a:latin typeface="Cambria Math" panose="02040503050406030204" pitchFamily="18" charset="0"/>
                </a:rPr>
                <a:t>)→𝑃𝑀𝑇=</a:t>
              </a:r>
              <a:r>
                <a:rPr lang="he-IL" sz="1100" b="0" i="0">
                  <a:latin typeface="Cambria Math" panose="02040503050406030204" pitchFamily="18" charset="0"/>
                </a:rPr>
                <a:t>387.37</a:t>
              </a:r>
              <a:endParaRPr lang="en-US" sz="1100"/>
            </a:p>
          </xdr:txBody>
        </xdr:sp>
      </mc:Fallback>
    </mc:AlternateContent>
    <xdr:clientData/>
  </xdr:oneCellAnchor>
  <xdr:oneCellAnchor>
    <xdr:from>
      <xdr:col>1</xdr:col>
      <xdr:colOff>349250</xdr:colOff>
      <xdr:row>74</xdr:row>
      <xdr:rowOff>121667</xdr:rowOff>
    </xdr:from>
    <xdr:ext cx="3767644" cy="46935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6B5CD167-1D92-930C-1D03-41578A09F277}"/>
                </a:ext>
              </a:extLst>
            </xdr:cNvPr>
            <xdr:cNvSpPr txBox="1"/>
          </xdr:nvSpPr>
          <xdr:spPr>
            <a:xfrm>
              <a:off x="13520049606" y="18054067"/>
              <a:ext cx="3767644" cy="4693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latin typeface="Cambria Math" panose="02040503050406030204" pitchFamily="18" charset="0"/>
                      </a:rPr>
                      <m:t>4,000</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0.5%</m:t>
                                    </m:r>
                                  </m:e>
                                </m:d>
                              </m:e>
                              <m:sup>
                                <m:r>
                                  <a:rPr lang="he-IL" sz="1100" b="0" i="1">
                                    <a:latin typeface="Cambria Math" panose="02040503050406030204" pitchFamily="18" charset="0"/>
                                  </a:rPr>
                                  <m:t>60</m:t>
                                </m:r>
                              </m:sup>
                            </m:sSup>
                          </m:den>
                        </m:f>
                      </m:num>
                      <m:den>
                        <m:r>
                          <a:rPr lang="he-IL" sz="1100" b="0" i="1">
                            <a:latin typeface="Cambria Math" panose="02040503050406030204" pitchFamily="18" charset="0"/>
                          </a:rPr>
                          <m:t>0.5%</m:t>
                        </m:r>
                      </m:den>
                    </m:f>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=77.33</m:t>
                    </m:r>
                  </m:oMath>
                </m:oMathPara>
              </a14:m>
              <a:endParaRPr lang="en-US" sz="1100"/>
            </a:p>
          </xdr:txBody>
        </xdr:sp>
      </mc:Choice>
      <mc:Fallback xmlns="">
        <xdr:sp macro="" textlink="">
          <xdr:nvSpPr>
            <xdr:cNvPr id="7" name="TextBox 6">
              <a:extLst>
                <a:ext uri="{FF2B5EF4-FFF2-40B4-BE49-F238E27FC236}">
                  <a16:creationId xmlns:a16="http://schemas.microsoft.com/office/drawing/2014/main" id="{6B5CD167-1D92-930C-1D03-41578A09F277}"/>
                </a:ext>
              </a:extLst>
            </xdr:cNvPr>
            <xdr:cNvSpPr txBox="1"/>
          </xdr:nvSpPr>
          <xdr:spPr>
            <a:xfrm>
              <a:off x="13520049606" y="18054067"/>
              <a:ext cx="3767644" cy="4693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4,000</a:t>
              </a:r>
              <a:r>
                <a:rPr lang="en-US" sz="1100" b="0" i="0">
                  <a:latin typeface="Cambria Math" panose="02040503050406030204" pitchFamily="18" charset="0"/>
                </a:rPr>
                <a:t>=𝑃𝑀𝑇∗(1−1/(1+</a:t>
              </a:r>
              <a:r>
                <a:rPr lang="he-IL" sz="1100" b="0" i="0">
                  <a:latin typeface="Cambria Math" panose="02040503050406030204" pitchFamily="18" charset="0"/>
                </a:rPr>
                <a:t>0.5%</a:t>
              </a:r>
              <a:r>
                <a:rPr lang="en-US" sz="1100" b="0" i="0">
                  <a:latin typeface="Cambria Math" panose="02040503050406030204" pitchFamily="18" charset="0"/>
                </a:rPr>
                <a:t>)^</a:t>
              </a:r>
              <a:r>
                <a:rPr lang="he-IL" sz="1100" b="0" i="0">
                  <a:latin typeface="Cambria Math" panose="02040503050406030204" pitchFamily="18" charset="0"/>
                </a:rPr>
                <a:t>60</a:t>
              </a:r>
              <a:r>
                <a:rPr lang="en-US" sz="1100" b="0" i="0">
                  <a:latin typeface="Cambria Math" panose="02040503050406030204" pitchFamily="18" charset="0"/>
                </a:rPr>
                <a:t> )/(</a:t>
              </a:r>
              <a:r>
                <a:rPr lang="he-IL" sz="1100" b="0" i="0">
                  <a:latin typeface="Cambria Math" panose="02040503050406030204" pitchFamily="18" charset="0"/>
                </a:rPr>
                <a:t>0.5%</a:t>
              </a:r>
              <a:r>
                <a:rPr lang="en-US" sz="1100" b="0" i="0">
                  <a:latin typeface="Cambria Math" panose="02040503050406030204" pitchFamily="18" charset="0"/>
                </a:rPr>
                <a:t>)→𝑃𝑀𝑇=77.33</a:t>
              </a:r>
              <a:endParaRPr lang="en-US" sz="1100"/>
            </a:p>
          </xdr:txBody>
        </xdr:sp>
      </mc:Fallback>
    </mc:AlternateContent>
    <xdr:clientData/>
  </xdr:oneCellAnchor>
  <xdr:oneCellAnchor>
    <xdr:from>
      <xdr:col>1</xdr:col>
      <xdr:colOff>622301</xdr:colOff>
      <xdr:row>83</xdr:row>
      <xdr:rowOff>25681</xdr:rowOff>
    </xdr:from>
    <xdr:ext cx="3405167" cy="46935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C5181CDB-3BC0-63C9-BD97-431A805CB78F}"/>
                </a:ext>
              </a:extLst>
            </xdr:cNvPr>
            <xdr:cNvSpPr txBox="1"/>
          </xdr:nvSpPr>
          <xdr:spPr>
            <a:xfrm>
              <a:off x="13520139032" y="19786881"/>
              <a:ext cx="3405167" cy="4693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baseline="0">
                        <a:latin typeface="Cambria Math" panose="02040503050406030204" pitchFamily="18" charset="0"/>
                      </a:rPr>
                      <m:t> </m:t>
                    </m:r>
                    <m:r>
                      <a:rPr lang="en-US" sz="1100" b="0" i="1" baseline="0">
                        <a:latin typeface="Cambria Math" panose="02040503050406030204" pitchFamily="18" charset="0"/>
                      </a:rPr>
                      <m:t>𝐵𝐴</m:t>
                    </m:r>
                    <m:sSub>
                      <m:sSubPr>
                        <m:ctrlPr>
                          <a:rPr lang="en-US" sz="1100" b="0" i="1" baseline="0">
                            <a:latin typeface="Cambria Math" panose="02040503050406030204" pitchFamily="18" charset="0"/>
                          </a:rPr>
                        </m:ctrlPr>
                      </m:sSubPr>
                      <m:e>
                        <m:r>
                          <a:rPr lang="en-US" sz="1100" b="0" i="1" baseline="0">
                            <a:latin typeface="Cambria Math" panose="02040503050406030204" pitchFamily="18" charset="0"/>
                          </a:rPr>
                          <m:t>𝐿</m:t>
                        </m:r>
                      </m:e>
                      <m:sub>
                        <m:r>
                          <a:rPr lang="en-US" sz="1100" b="0" i="1" baseline="0">
                            <a:latin typeface="Cambria Math" panose="02040503050406030204" pitchFamily="18" charset="0"/>
                          </a:rPr>
                          <m:t>26</m:t>
                        </m:r>
                      </m:sub>
                    </m:sSub>
                    <m:r>
                      <a:rPr lang="en-US" sz="1100" b="0" i="1">
                        <a:latin typeface="Cambria Math" panose="02040503050406030204" pitchFamily="18" charset="0"/>
                      </a:rPr>
                      <m:t>=77.33∗</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1+0.5%</m:t>
                                    </m:r>
                                  </m:e>
                                </m:d>
                              </m:e>
                              <m:sup>
                                <m:r>
                                  <a:rPr lang="en-US" sz="1100" b="0" i="1">
                                    <a:latin typeface="Cambria Math" panose="02040503050406030204" pitchFamily="18" charset="0"/>
                                  </a:rPr>
                                  <m:t>60−26</m:t>
                                </m:r>
                              </m:sup>
                            </m:sSup>
                          </m:den>
                        </m:f>
                      </m:num>
                      <m:den>
                        <m:r>
                          <a:rPr lang="en-US" sz="1100" b="0" i="1">
                            <a:latin typeface="Cambria Math" panose="02040503050406030204" pitchFamily="18" charset="0"/>
                          </a:rPr>
                          <m:t>0.5%</m:t>
                        </m:r>
                      </m:den>
                    </m:f>
                    <m:r>
                      <a:rPr lang="en-US" sz="1100" b="0" i="1">
                        <a:latin typeface="Cambria Math" panose="02040503050406030204" pitchFamily="18" charset="0"/>
                      </a:rPr>
                      <m:t>=2,412.39</m:t>
                    </m:r>
                  </m:oMath>
                </m:oMathPara>
              </a14:m>
              <a:endParaRPr lang="en-US" sz="1100"/>
            </a:p>
          </xdr:txBody>
        </xdr:sp>
      </mc:Choice>
      <mc:Fallback xmlns="">
        <xdr:sp macro="" textlink="">
          <xdr:nvSpPr>
            <xdr:cNvPr id="8" name="TextBox 7">
              <a:extLst>
                <a:ext uri="{FF2B5EF4-FFF2-40B4-BE49-F238E27FC236}">
                  <a16:creationId xmlns:a16="http://schemas.microsoft.com/office/drawing/2014/main" id="{C5181CDB-3BC0-63C9-BD97-431A805CB78F}"/>
                </a:ext>
              </a:extLst>
            </xdr:cNvPr>
            <xdr:cNvSpPr txBox="1"/>
          </xdr:nvSpPr>
          <xdr:spPr>
            <a:xfrm>
              <a:off x="13520139032" y="19786881"/>
              <a:ext cx="3405167" cy="4693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baseline="0">
                  <a:latin typeface="Cambria Math" panose="02040503050406030204" pitchFamily="18" charset="0"/>
                </a:rPr>
                <a:t> 𝐵𝐴𝐿_26</a:t>
              </a:r>
              <a:r>
                <a:rPr lang="en-US" sz="1100" b="0" i="0">
                  <a:latin typeface="Cambria Math" panose="02040503050406030204" pitchFamily="18" charset="0"/>
                </a:rPr>
                <a:t>=77.33∗(1−1/(1+0.5%)^(60−26) )/(0.5%)=2,412.39</a:t>
              </a:r>
              <a:endParaRPr lang="en-US" sz="1100"/>
            </a:p>
          </xdr:txBody>
        </xdr:sp>
      </mc:Fallback>
    </mc:AlternateContent>
    <xdr:clientData/>
  </xdr:oneCellAnchor>
  <xdr:twoCellAnchor>
    <xdr:from>
      <xdr:col>4</xdr:col>
      <xdr:colOff>377825</xdr:colOff>
      <xdr:row>100</xdr:row>
      <xdr:rowOff>111125</xdr:rowOff>
    </xdr:from>
    <xdr:to>
      <xdr:col>4</xdr:col>
      <xdr:colOff>381000</xdr:colOff>
      <xdr:row>102</xdr:row>
      <xdr:rowOff>57150</xdr:rowOff>
    </xdr:to>
    <xdr:cxnSp macro="">
      <xdr:nvCxnSpPr>
        <xdr:cNvPr id="10" name="Straight Arrow Connector 9">
          <a:extLst>
            <a:ext uri="{FF2B5EF4-FFF2-40B4-BE49-F238E27FC236}">
              <a16:creationId xmlns:a16="http://schemas.microsoft.com/office/drawing/2014/main" id="{3C7A669F-AB30-4846-5B7A-5CC8C64D3447}"/>
            </a:ext>
          </a:extLst>
        </xdr:cNvPr>
        <xdr:cNvCxnSpPr/>
      </xdr:nvCxnSpPr>
      <xdr:spPr>
        <a:xfrm flipH="1">
          <a:off x="13521309000" y="23352125"/>
          <a:ext cx="3175" cy="35242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196850</xdr:colOff>
      <xdr:row>100</xdr:row>
      <xdr:rowOff>47625</xdr:rowOff>
    </xdr:from>
    <xdr:to>
      <xdr:col>3</xdr:col>
      <xdr:colOff>650875</xdr:colOff>
      <xdr:row>102</xdr:row>
      <xdr:rowOff>3175</xdr:rowOff>
    </xdr:to>
    <xdr:cxnSp macro="">
      <xdr:nvCxnSpPr>
        <xdr:cNvPr id="11" name="Straight Arrow Connector 10">
          <a:extLst>
            <a:ext uri="{FF2B5EF4-FFF2-40B4-BE49-F238E27FC236}">
              <a16:creationId xmlns:a16="http://schemas.microsoft.com/office/drawing/2014/main" id="{687445D0-5FDE-0665-ADF6-63B513A9AC01}"/>
            </a:ext>
          </a:extLst>
        </xdr:cNvPr>
        <xdr:cNvCxnSpPr/>
      </xdr:nvCxnSpPr>
      <xdr:spPr>
        <a:xfrm>
          <a:off x="13521864625" y="23288625"/>
          <a:ext cx="454025" cy="36195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809625</xdr:colOff>
      <xdr:row>102</xdr:row>
      <xdr:rowOff>117475</xdr:rowOff>
    </xdr:from>
    <xdr:to>
      <xdr:col>2</xdr:col>
      <xdr:colOff>796925</xdr:colOff>
      <xdr:row>102</xdr:row>
      <xdr:rowOff>130175</xdr:rowOff>
    </xdr:to>
    <xdr:cxnSp macro="">
      <xdr:nvCxnSpPr>
        <xdr:cNvPr id="13" name="Straight Arrow Connector 12">
          <a:extLst>
            <a:ext uri="{FF2B5EF4-FFF2-40B4-BE49-F238E27FC236}">
              <a16:creationId xmlns:a16="http://schemas.microsoft.com/office/drawing/2014/main" id="{3C2CED9F-10C1-E117-C5AB-66A5AF5D7192}"/>
            </a:ext>
          </a:extLst>
        </xdr:cNvPr>
        <xdr:cNvCxnSpPr/>
      </xdr:nvCxnSpPr>
      <xdr:spPr>
        <a:xfrm flipV="1">
          <a:off x="13522544075" y="23764875"/>
          <a:ext cx="812800" cy="1270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749828</xdr:colOff>
      <xdr:row>106</xdr:row>
      <xdr:rowOff>134122</xdr:rowOff>
    </xdr:from>
    <xdr:ext cx="2209676" cy="321435"/>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87A1C012-C74D-8159-00A9-4FC88768825A}"/>
                </a:ext>
              </a:extLst>
            </xdr:cNvPr>
            <xdr:cNvSpPr txBox="1"/>
          </xdr:nvSpPr>
          <xdr:spPr>
            <a:xfrm>
              <a:off x="13520381496" y="24594322"/>
              <a:ext cx="2209676" cy="3214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baseline="0">
                        <a:latin typeface="Cambria Math" panose="02040503050406030204" pitchFamily="18" charset="0"/>
                      </a:rPr>
                      <m:t> </m:t>
                    </m:r>
                    <m:r>
                      <a:rPr lang="en-US" sz="1100" b="0" i="1" baseline="0">
                        <a:latin typeface="Cambria Math" panose="02040503050406030204" pitchFamily="18" charset="0"/>
                      </a:rPr>
                      <m:t>𝐵𝐴</m:t>
                    </m:r>
                    <m:sSub>
                      <m:sSubPr>
                        <m:ctrlPr>
                          <a:rPr lang="en-US" sz="1100" b="0" i="1" baseline="0">
                            <a:latin typeface="Cambria Math" panose="02040503050406030204" pitchFamily="18" charset="0"/>
                          </a:rPr>
                        </m:ctrlPr>
                      </m:sSubPr>
                      <m:e>
                        <m:r>
                          <a:rPr lang="en-US" sz="1100" b="0" i="1" baseline="0">
                            <a:latin typeface="Cambria Math" panose="02040503050406030204" pitchFamily="18" charset="0"/>
                          </a:rPr>
                          <m:t>𝐿</m:t>
                        </m:r>
                      </m:e>
                      <m:sub>
                        <m:r>
                          <a:rPr lang="he-IL" sz="1100" b="0" i="1" baseline="0">
                            <a:latin typeface="Cambria Math" panose="02040503050406030204" pitchFamily="18" charset="0"/>
                          </a:rPr>
                          <m:t>54</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he-IL" sz="1100" b="0" i="1">
                            <a:latin typeface="Cambria Math" panose="02040503050406030204" pitchFamily="18" charset="0"/>
                          </a:rPr>
                          <m:t>500,000</m:t>
                        </m:r>
                      </m:num>
                      <m:den>
                        <m:r>
                          <a:rPr lang="he-IL" sz="1100" b="0" i="1">
                            <a:latin typeface="Cambria Math" panose="02040503050406030204" pitchFamily="18" charset="0"/>
                          </a:rPr>
                          <m:t>96</m:t>
                        </m:r>
                      </m:den>
                    </m:f>
                    <m:r>
                      <a:rPr lang="en-US" sz="1100" b="0" i="1">
                        <a:latin typeface="Cambria Math" panose="02040503050406030204" pitchFamily="18" charset="0"/>
                      </a:rPr>
                      <m:t>∗</m:t>
                    </m:r>
                    <m:d>
                      <m:dPr>
                        <m:ctrlPr>
                          <a:rPr lang="en-US" sz="1100" b="0" i="1">
                            <a:latin typeface="Cambria Math" panose="02040503050406030204" pitchFamily="18" charset="0"/>
                          </a:rPr>
                        </m:ctrlPr>
                      </m:dPr>
                      <m:e>
                        <m:r>
                          <a:rPr lang="he-IL" sz="1100" b="0" i="1">
                            <a:latin typeface="Cambria Math" panose="02040503050406030204" pitchFamily="18" charset="0"/>
                          </a:rPr>
                          <m:t>96</m:t>
                        </m:r>
                        <m:r>
                          <a:rPr lang="en-US" sz="1100" b="0" i="1">
                            <a:latin typeface="Cambria Math" panose="02040503050406030204" pitchFamily="18" charset="0"/>
                          </a:rPr>
                          <m:t>−</m:t>
                        </m:r>
                        <m:r>
                          <a:rPr lang="he-IL" sz="1100" b="0" i="1">
                            <a:latin typeface="Cambria Math" panose="02040503050406030204" pitchFamily="18" charset="0"/>
                          </a:rPr>
                          <m:t>54</m:t>
                        </m:r>
                      </m:e>
                    </m:d>
                    <m:r>
                      <a:rPr lang="he-IL" sz="1100" b="0" i="1">
                        <a:latin typeface="Cambria Math" panose="02040503050406030204" pitchFamily="18" charset="0"/>
                      </a:rPr>
                      <m:t>=</m:t>
                    </m:r>
                  </m:oMath>
                </m:oMathPara>
              </a14:m>
              <a:endParaRPr lang="en-US" sz="1100"/>
            </a:p>
          </xdr:txBody>
        </xdr:sp>
      </mc:Choice>
      <mc:Fallback xmlns="">
        <xdr:sp macro="" textlink="">
          <xdr:nvSpPr>
            <xdr:cNvPr id="15" name="TextBox 14">
              <a:extLst>
                <a:ext uri="{FF2B5EF4-FFF2-40B4-BE49-F238E27FC236}">
                  <a16:creationId xmlns:a16="http://schemas.microsoft.com/office/drawing/2014/main" id="{87A1C012-C74D-8159-00A9-4FC88768825A}"/>
                </a:ext>
              </a:extLst>
            </xdr:cNvPr>
            <xdr:cNvSpPr txBox="1"/>
          </xdr:nvSpPr>
          <xdr:spPr>
            <a:xfrm>
              <a:off x="13520381496" y="24594322"/>
              <a:ext cx="2209676" cy="3214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baseline="0">
                  <a:latin typeface="Cambria Math" panose="02040503050406030204" pitchFamily="18" charset="0"/>
                </a:rPr>
                <a:t> 𝐵𝐴𝐿_</a:t>
              </a:r>
              <a:r>
                <a:rPr lang="he-IL" sz="1100" b="0" i="0" baseline="0">
                  <a:latin typeface="Cambria Math" panose="02040503050406030204" pitchFamily="18" charset="0"/>
                </a:rPr>
                <a:t>54</a:t>
              </a:r>
              <a:r>
                <a:rPr lang="en-US" sz="1100" b="0" i="0">
                  <a:latin typeface="Cambria Math" panose="02040503050406030204" pitchFamily="18" charset="0"/>
                </a:rPr>
                <a:t>=</a:t>
              </a:r>
              <a:r>
                <a:rPr lang="he-IL" sz="1100" b="0" i="0">
                  <a:latin typeface="Cambria Math" panose="02040503050406030204" pitchFamily="18" charset="0"/>
                </a:rPr>
                <a:t>500,000</a:t>
              </a:r>
              <a:r>
                <a:rPr lang="en-US" sz="1100" b="0" i="0">
                  <a:latin typeface="Cambria Math" panose="02040503050406030204" pitchFamily="18" charset="0"/>
                </a:rPr>
                <a:t>/</a:t>
              </a:r>
              <a:r>
                <a:rPr lang="he-IL" sz="1100" b="0" i="0">
                  <a:latin typeface="Cambria Math" panose="02040503050406030204" pitchFamily="18" charset="0"/>
                </a:rPr>
                <a:t>96</a:t>
              </a:r>
              <a:r>
                <a:rPr lang="en-US" sz="1100" b="0" i="0">
                  <a:latin typeface="Cambria Math" panose="02040503050406030204" pitchFamily="18" charset="0"/>
                </a:rPr>
                <a:t>∗(</a:t>
              </a:r>
              <a:r>
                <a:rPr lang="he-IL" sz="1100" b="0" i="0">
                  <a:latin typeface="Cambria Math" panose="02040503050406030204" pitchFamily="18" charset="0"/>
                </a:rPr>
                <a:t>96</a:t>
              </a:r>
              <a:r>
                <a:rPr lang="en-US" sz="1100" b="0" i="0">
                  <a:latin typeface="Cambria Math" panose="02040503050406030204" pitchFamily="18" charset="0"/>
                </a:rPr>
                <a:t>−</a:t>
              </a:r>
              <a:r>
                <a:rPr lang="he-IL" sz="1100" b="0" i="0">
                  <a:latin typeface="Cambria Math" panose="02040503050406030204" pitchFamily="18" charset="0"/>
                </a:rPr>
                <a:t>54</a:t>
              </a:r>
              <a:r>
                <a:rPr lang="en-US" sz="1100" b="0" i="0">
                  <a:latin typeface="Cambria Math" panose="02040503050406030204" pitchFamily="18" charset="0"/>
                </a:rPr>
                <a:t>)</a:t>
              </a:r>
              <a:r>
                <a:rPr lang="he-IL" sz="1100" b="0" i="0">
                  <a:latin typeface="Cambria Math" panose="02040503050406030204" pitchFamily="18" charset="0"/>
                </a:rPr>
                <a:t>=</a:t>
              </a:r>
              <a:endParaRPr lang="en-US" sz="1100"/>
            </a:p>
          </xdr:txBody>
        </xdr:sp>
      </mc:Fallback>
    </mc:AlternateContent>
    <xdr:clientData/>
  </xdr:oneCellAnchor>
  <xdr:twoCellAnchor>
    <xdr:from>
      <xdr:col>5</xdr:col>
      <xdr:colOff>790575</xdr:colOff>
      <xdr:row>194</xdr:row>
      <xdr:rowOff>184150</xdr:rowOff>
    </xdr:from>
    <xdr:to>
      <xdr:col>6</xdr:col>
      <xdr:colOff>101600</xdr:colOff>
      <xdr:row>196</xdr:row>
      <xdr:rowOff>82550</xdr:rowOff>
    </xdr:to>
    <xdr:cxnSp macro="">
      <xdr:nvCxnSpPr>
        <xdr:cNvPr id="17" name="Straight Arrow Connector 16">
          <a:extLst>
            <a:ext uri="{FF2B5EF4-FFF2-40B4-BE49-F238E27FC236}">
              <a16:creationId xmlns:a16="http://schemas.microsoft.com/office/drawing/2014/main" id="{D45BC340-AC88-17CA-D72B-23DC1A1055CF}"/>
            </a:ext>
          </a:extLst>
        </xdr:cNvPr>
        <xdr:cNvCxnSpPr/>
      </xdr:nvCxnSpPr>
      <xdr:spPr>
        <a:xfrm flipV="1">
          <a:off x="13520000900" y="42170350"/>
          <a:ext cx="136525" cy="30480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212725</xdr:colOff>
      <xdr:row>226</xdr:row>
      <xdr:rowOff>196850</xdr:rowOff>
    </xdr:from>
    <xdr:to>
      <xdr:col>6</xdr:col>
      <xdr:colOff>854075</xdr:colOff>
      <xdr:row>226</xdr:row>
      <xdr:rowOff>196850</xdr:rowOff>
    </xdr:to>
    <xdr:cxnSp macro="">
      <xdr:nvCxnSpPr>
        <xdr:cNvPr id="19" name="Straight Arrow Connector 18">
          <a:extLst>
            <a:ext uri="{FF2B5EF4-FFF2-40B4-BE49-F238E27FC236}">
              <a16:creationId xmlns:a16="http://schemas.microsoft.com/office/drawing/2014/main" id="{E42F1E1F-72C2-3318-69A5-74A733CDF171}"/>
            </a:ext>
          </a:extLst>
        </xdr:cNvPr>
        <xdr:cNvCxnSpPr/>
      </xdr:nvCxnSpPr>
      <xdr:spPr>
        <a:xfrm>
          <a:off x="13519248425" y="44443650"/>
          <a:ext cx="4768850"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438150</xdr:colOff>
      <xdr:row>225</xdr:row>
      <xdr:rowOff>30784</xdr:rowOff>
    </xdr:from>
    <xdr:to>
      <xdr:col>4</xdr:col>
      <xdr:colOff>396875</xdr:colOff>
      <xdr:row>226</xdr:row>
      <xdr:rowOff>19050</xdr:rowOff>
    </xdr:to>
    <xdr:sp macro="" textlink="">
      <xdr:nvSpPr>
        <xdr:cNvPr id="21" name="Freeform 20">
          <a:extLst>
            <a:ext uri="{FF2B5EF4-FFF2-40B4-BE49-F238E27FC236}">
              <a16:creationId xmlns:a16="http://schemas.microsoft.com/office/drawing/2014/main" id="{47266D4D-A40B-96A7-2190-D71E7C4B9A36}"/>
            </a:ext>
          </a:extLst>
        </xdr:cNvPr>
        <xdr:cNvSpPr/>
      </xdr:nvSpPr>
      <xdr:spPr>
        <a:xfrm>
          <a:off x="13521356625" y="44074384"/>
          <a:ext cx="1609725" cy="191466"/>
        </a:xfrm>
        <a:custGeom>
          <a:avLst/>
          <a:gdLst>
            <a:gd name="connsiteX0" fmla="*/ 0 w 1609725"/>
            <a:gd name="connsiteY0" fmla="*/ 131141 h 191466"/>
            <a:gd name="connsiteX1" fmla="*/ 762000 w 1609725"/>
            <a:gd name="connsiteY1" fmla="*/ 966 h 191466"/>
            <a:gd name="connsiteX2" fmla="*/ 1609725 w 1609725"/>
            <a:gd name="connsiteY2" fmla="*/ 191466 h 191466"/>
          </a:gdLst>
          <a:ahLst/>
          <a:cxnLst>
            <a:cxn ang="0">
              <a:pos x="connsiteX0" y="connsiteY0"/>
            </a:cxn>
            <a:cxn ang="0">
              <a:pos x="connsiteX1" y="connsiteY1"/>
            </a:cxn>
            <a:cxn ang="0">
              <a:pos x="connsiteX2" y="connsiteY2"/>
            </a:cxn>
          </a:cxnLst>
          <a:rect l="l" t="t" r="r" b="b"/>
          <a:pathLst>
            <a:path w="1609725" h="191466">
              <a:moveTo>
                <a:pt x="0" y="131141"/>
              </a:moveTo>
              <a:cubicBezTo>
                <a:pt x="246856" y="61026"/>
                <a:pt x="493713" y="-9088"/>
                <a:pt x="762000" y="966"/>
              </a:cubicBezTo>
              <a:cubicBezTo>
                <a:pt x="1030287" y="11020"/>
                <a:pt x="1445683" y="150191"/>
                <a:pt x="1609725" y="191466"/>
              </a:cubicBezTo>
            </a:path>
          </a:pathLst>
        </a:cu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4</xdr:col>
      <xdr:colOff>44451</xdr:colOff>
      <xdr:row>235</xdr:row>
      <xdr:rowOff>134936</xdr:rowOff>
    </xdr:from>
    <xdr:ext cx="1604329" cy="33592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75228DE6-9BFC-6673-E35B-032B3EAC4475}"/>
                </a:ext>
              </a:extLst>
            </xdr:cNvPr>
            <xdr:cNvSpPr txBox="1"/>
          </xdr:nvSpPr>
          <xdr:spPr>
            <a:xfrm>
              <a:off x="13520104720" y="46210536"/>
              <a:ext cx="1604329" cy="335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200</m:t>
                        </m:r>
                      </m:num>
                      <m:den>
                        <m:r>
                          <a:rPr lang="en-US" sz="1100" b="0" i="1">
                            <a:latin typeface="Cambria Math" panose="02040503050406030204" pitchFamily="18" charset="0"/>
                          </a:rPr>
                          <m:t>1,000</m:t>
                        </m:r>
                      </m:den>
                    </m:f>
                    <m:r>
                      <a:rPr lang="en-US" sz="1100" b="0" i="1">
                        <a:latin typeface="Cambria Math" panose="02040503050406030204" pitchFamily="18" charset="0"/>
                      </a:rPr>
                      <m:t>=20%</m:t>
                    </m:r>
                  </m:oMath>
                </m:oMathPara>
              </a14:m>
              <a:endParaRPr lang="en-US" sz="1100"/>
            </a:p>
          </xdr:txBody>
        </xdr:sp>
      </mc:Choice>
      <mc:Fallback xmlns="">
        <xdr:sp macro="" textlink="">
          <xdr:nvSpPr>
            <xdr:cNvPr id="22" name="TextBox 21">
              <a:extLst>
                <a:ext uri="{FF2B5EF4-FFF2-40B4-BE49-F238E27FC236}">
                  <a16:creationId xmlns:a16="http://schemas.microsoft.com/office/drawing/2014/main" id="{75228DE6-9BFC-6673-E35B-032B3EAC4475}"/>
                </a:ext>
              </a:extLst>
            </xdr:cNvPr>
            <xdr:cNvSpPr txBox="1"/>
          </xdr:nvSpPr>
          <xdr:spPr>
            <a:xfrm>
              <a:off x="13520104720" y="46210536"/>
              <a:ext cx="1604329" cy="335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𝑟_𝑒=200/1,000=20%</a:t>
              </a:r>
              <a:endParaRPr lang="en-US" sz="1100"/>
            </a:p>
          </xdr:txBody>
        </xdr:sp>
      </mc:Fallback>
    </mc:AlternateContent>
    <xdr:clientData/>
  </xdr:oneCellAnchor>
  <xdr:oneCellAnchor>
    <xdr:from>
      <xdr:col>4</xdr:col>
      <xdr:colOff>95251</xdr:colOff>
      <xdr:row>237</xdr:row>
      <xdr:rowOff>173036</xdr:rowOff>
    </xdr:from>
    <xdr:ext cx="1604329" cy="345607"/>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EEEFD4F9-884B-902D-63CF-129C30757EAD}"/>
                </a:ext>
              </a:extLst>
            </xdr:cNvPr>
            <xdr:cNvSpPr txBox="1"/>
          </xdr:nvSpPr>
          <xdr:spPr>
            <a:xfrm>
              <a:off x="13520053920" y="46655036"/>
              <a:ext cx="1604329" cy="3456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𝑡</m:t>
                            </m:r>
                          </m:sub>
                        </m:sSub>
                        <m:r>
                          <a:rPr lang="en-US" sz="1100" b="0" i="1">
                            <a:latin typeface="Cambria Math" panose="02040503050406030204" pitchFamily="18" charset="0"/>
                          </a:rPr>
                          <m:t>−</m:t>
                        </m:r>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0</m:t>
                            </m:r>
                          </m:sub>
                        </m:sSub>
                      </m:num>
                      <m:den>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0</m:t>
                            </m:r>
                          </m:sub>
                        </m:sSub>
                      </m:den>
                    </m:f>
                    <m:r>
                      <a:rPr lang="en-US" sz="1100" b="0" i="1">
                        <a:latin typeface="Cambria Math" panose="02040503050406030204" pitchFamily="18" charset="0"/>
                      </a:rPr>
                      <m:t>=</m:t>
                    </m:r>
                    <m:f>
                      <m:fPr>
                        <m:ctrlPr>
                          <a:rPr lang="en-US" sz="1100" b="0" i="1">
                            <a:solidFill>
                              <a:srgbClr val="FF0000"/>
                            </a:solidFill>
                            <a:latin typeface="Cambria Math" panose="02040503050406030204" pitchFamily="18" charset="0"/>
                          </a:rPr>
                        </m:ctrlPr>
                      </m:fPr>
                      <m:num>
                        <m:sSub>
                          <m:sSubPr>
                            <m:ctrlPr>
                              <a:rPr lang="en-US" sz="1100" b="0" i="1">
                                <a:solidFill>
                                  <a:srgbClr val="FF0000"/>
                                </a:solidFill>
                                <a:latin typeface="Cambria Math" panose="02040503050406030204" pitchFamily="18" charset="0"/>
                              </a:rPr>
                            </m:ctrlPr>
                          </m:sSubPr>
                          <m:e>
                            <m:r>
                              <a:rPr lang="en-US" sz="1100" b="0" i="1">
                                <a:solidFill>
                                  <a:srgbClr val="FF0000"/>
                                </a:solidFill>
                                <a:latin typeface="Cambria Math" panose="02040503050406030204" pitchFamily="18" charset="0"/>
                              </a:rPr>
                              <m:t>𝑃</m:t>
                            </m:r>
                          </m:e>
                          <m:sub>
                            <m:r>
                              <a:rPr lang="en-US" sz="1100" b="0" i="1">
                                <a:solidFill>
                                  <a:srgbClr val="FF0000"/>
                                </a:solidFill>
                                <a:latin typeface="Cambria Math" panose="02040503050406030204" pitchFamily="18" charset="0"/>
                              </a:rPr>
                              <m:t>𝑡</m:t>
                            </m:r>
                          </m:sub>
                        </m:sSub>
                      </m:num>
                      <m:den>
                        <m:sSub>
                          <m:sSubPr>
                            <m:ctrlPr>
                              <a:rPr lang="en-US" sz="1100" b="0" i="1">
                                <a:solidFill>
                                  <a:srgbClr val="FF0000"/>
                                </a:solidFill>
                                <a:latin typeface="Cambria Math" panose="02040503050406030204" pitchFamily="18" charset="0"/>
                              </a:rPr>
                            </m:ctrlPr>
                          </m:sSubPr>
                          <m:e>
                            <m:r>
                              <a:rPr lang="en-US" sz="1100" b="0" i="1">
                                <a:solidFill>
                                  <a:srgbClr val="FF0000"/>
                                </a:solidFill>
                                <a:latin typeface="Cambria Math" panose="02040503050406030204" pitchFamily="18" charset="0"/>
                              </a:rPr>
                              <m:t>𝑃</m:t>
                            </m:r>
                          </m:e>
                          <m:sub>
                            <m:r>
                              <a:rPr lang="en-US" sz="1100" b="0" i="1">
                                <a:solidFill>
                                  <a:srgbClr val="FF0000"/>
                                </a:solidFill>
                                <a:latin typeface="Cambria Math" panose="02040503050406030204" pitchFamily="18" charset="0"/>
                              </a:rPr>
                              <m:t>0</m:t>
                            </m:r>
                          </m:sub>
                        </m:sSub>
                      </m:den>
                    </m:f>
                    <m:r>
                      <a:rPr lang="en-US" sz="1100" b="0" i="1">
                        <a:solidFill>
                          <a:srgbClr val="FF0000"/>
                        </a:solidFill>
                        <a:latin typeface="Cambria Math" panose="02040503050406030204" pitchFamily="18" charset="0"/>
                      </a:rPr>
                      <m:t>−1</m:t>
                    </m:r>
                  </m:oMath>
                </m:oMathPara>
              </a14:m>
              <a:endParaRPr lang="en-US" sz="1100"/>
            </a:p>
          </xdr:txBody>
        </xdr:sp>
      </mc:Choice>
      <mc:Fallback xmlns="">
        <xdr:sp macro="" textlink="">
          <xdr:nvSpPr>
            <xdr:cNvPr id="23" name="TextBox 22">
              <a:extLst>
                <a:ext uri="{FF2B5EF4-FFF2-40B4-BE49-F238E27FC236}">
                  <a16:creationId xmlns:a16="http://schemas.microsoft.com/office/drawing/2014/main" id="{EEEFD4F9-884B-902D-63CF-129C30757EAD}"/>
                </a:ext>
              </a:extLst>
            </xdr:cNvPr>
            <xdr:cNvSpPr txBox="1"/>
          </xdr:nvSpPr>
          <xdr:spPr>
            <a:xfrm>
              <a:off x="13520053920" y="46655036"/>
              <a:ext cx="1604329" cy="3456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𝑟_𝑒=(𝑃_𝑡−𝑃_0)/𝑃_0 =</a:t>
              </a:r>
              <a:r>
                <a:rPr lang="en-US" sz="1100" b="0" i="0">
                  <a:solidFill>
                    <a:srgbClr val="FF0000"/>
                  </a:solidFill>
                  <a:latin typeface="Cambria Math" panose="02040503050406030204" pitchFamily="18" charset="0"/>
                </a:rPr>
                <a:t>𝑃_𝑡/𝑃_0 −1</a:t>
              </a:r>
              <a:endParaRPr lang="en-US" sz="1100"/>
            </a:p>
          </xdr:txBody>
        </xdr:sp>
      </mc:Fallback>
    </mc:AlternateContent>
    <xdr:clientData/>
  </xdr:oneCellAnchor>
  <xdr:oneCellAnchor>
    <xdr:from>
      <xdr:col>4</xdr:col>
      <xdr:colOff>165101</xdr:colOff>
      <xdr:row>243</xdr:row>
      <xdr:rowOff>17461</xdr:rowOff>
    </xdr:from>
    <xdr:ext cx="1604329" cy="335926"/>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31B05978-E34A-6CA9-A69D-64799A13BD68}"/>
                </a:ext>
              </a:extLst>
            </xdr:cNvPr>
            <xdr:cNvSpPr txBox="1"/>
          </xdr:nvSpPr>
          <xdr:spPr>
            <a:xfrm>
              <a:off x="13519984070" y="47718661"/>
              <a:ext cx="1604329" cy="335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solidFill>
                              <a:srgbClr val="FF0000"/>
                            </a:solidFill>
                            <a:latin typeface="Cambria Math" panose="02040503050406030204" pitchFamily="18" charset="0"/>
                          </a:rPr>
                        </m:ctrlPr>
                      </m:fPr>
                      <m:num>
                        <m:r>
                          <a:rPr lang="he-IL" sz="1100" b="0" i="1">
                            <a:solidFill>
                              <a:srgbClr val="FF0000"/>
                            </a:solidFill>
                            <a:latin typeface="Cambria Math" panose="02040503050406030204" pitchFamily="18" charset="0"/>
                          </a:rPr>
                          <m:t>1,200</m:t>
                        </m:r>
                      </m:num>
                      <m:den>
                        <m:r>
                          <a:rPr lang="he-IL" sz="1100" b="0" i="1">
                            <a:solidFill>
                              <a:srgbClr val="FF0000"/>
                            </a:solidFill>
                            <a:latin typeface="Cambria Math" panose="02040503050406030204" pitchFamily="18" charset="0"/>
                          </a:rPr>
                          <m:t>1,000</m:t>
                        </m:r>
                      </m:den>
                    </m:f>
                    <m:r>
                      <a:rPr lang="en-US" sz="1100" b="0" i="1">
                        <a:solidFill>
                          <a:srgbClr val="FF0000"/>
                        </a:solidFill>
                        <a:latin typeface="Cambria Math" panose="02040503050406030204" pitchFamily="18" charset="0"/>
                      </a:rPr>
                      <m:t>−1</m:t>
                    </m:r>
                    <m:r>
                      <a:rPr lang="he-IL" sz="1100" b="0" i="1">
                        <a:solidFill>
                          <a:srgbClr val="FF0000"/>
                        </a:solidFill>
                        <a:latin typeface="Cambria Math" panose="02040503050406030204" pitchFamily="18" charset="0"/>
                      </a:rPr>
                      <m:t>=20%</m:t>
                    </m:r>
                  </m:oMath>
                </m:oMathPara>
              </a14:m>
              <a:endParaRPr lang="en-US" sz="1100"/>
            </a:p>
          </xdr:txBody>
        </xdr:sp>
      </mc:Choice>
      <mc:Fallback xmlns="">
        <xdr:sp macro="" textlink="">
          <xdr:nvSpPr>
            <xdr:cNvPr id="24" name="TextBox 23">
              <a:extLst>
                <a:ext uri="{FF2B5EF4-FFF2-40B4-BE49-F238E27FC236}">
                  <a16:creationId xmlns:a16="http://schemas.microsoft.com/office/drawing/2014/main" id="{31B05978-E34A-6CA9-A69D-64799A13BD68}"/>
                </a:ext>
              </a:extLst>
            </xdr:cNvPr>
            <xdr:cNvSpPr txBox="1"/>
          </xdr:nvSpPr>
          <xdr:spPr>
            <a:xfrm>
              <a:off x="13519984070" y="47718661"/>
              <a:ext cx="1604329" cy="335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a:t>
              </a:r>
              <a:r>
                <a:rPr lang="he-IL" sz="1100" b="0" i="0">
                  <a:solidFill>
                    <a:srgbClr val="FF0000"/>
                  </a:solidFill>
                  <a:latin typeface="Cambria Math" panose="02040503050406030204" pitchFamily="18" charset="0"/>
                </a:rPr>
                <a:t>1,200</a:t>
              </a:r>
              <a:r>
                <a:rPr lang="en-US" sz="1100" b="0" i="0">
                  <a:solidFill>
                    <a:srgbClr val="FF0000"/>
                  </a:solidFill>
                  <a:latin typeface="Cambria Math" panose="02040503050406030204" pitchFamily="18" charset="0"/>
                </a:rPr>
                <a:t>/</a:t>
              </a:r>
              <a:r>
                <a:rPr lang="he-IL" sz="1100" b="0" i="0">
                  <a:solidFill>
                    <a:srgbClr val="FF0000"/>
                  </a:solidFill>
                  <a:latin typeface="Cambria Math" panose="02040503050406030204" pitchFamily="18" charset="0"/>
                </a:rPr>
                <a:t>1,000</a:t>
              </a:r>
              <a:r>
                <a:rPr lang="en-US" sz="1100" b="0" i="0">
                  <a:solidFill>
                    <a:srgbClr val="FF0000"/>
                  </a:solidFill>
                  <a:latin typeface="Cambria Math" panose="02040503050406030204" pitchFamily="18" charset="0"/>
                </a:rPr>
                <a:t>−1</a:t>
              </a:r>
              <a:r>
                <a:rPr lang="he-IL" sz="1100" b="0" i="0">
                  <a:solidFill>
                    <a:srgbClr val="FF0000"/>
                  </a:solidFill>
                  <a:latin typeface="Cambria Math" panose="02040503050406030204" pitchFamily="18" charset="0"/>
                </a:rPr>
                <a:t>=20%</a:t>
              </a:r>
              <a:endParaRPr lang="en-US" sz="1100"/>
            </a:p>
          </xdr:txBody>
        </xdr:sp>
      </mc:Fallback>
    </mc:AlternateContent>
    <xdr:clientData/>
  </xdr:oneCellAnchor>
  <xdr:oneCellAnchor>
    <xdr:from>
      <xdr:col>3</xdr:col>
      <xdr:colOff>102111</xdr:colOff>
      <xdr:row>250</xdr:row>
      <xdr:rowOff>63411</xdr:rowOff>
    </xdr:from>
    <xdr:ext cx="2224028" cy="227178"/>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790D0492-2204-E47F-C3A8-05160BFEE83F}"/>
                </a:ext>
              </a:extLst>
            </xdr:cNvPr>
            <xdr:cNvSpPr txBox="1"/>
          </xdr:nvSpPr>
          <xdr:spPr>
            <a:xfrm>
              <a:off x="13490103245" y="46791128"/>
              <a:ext cx="2224028" cy="2271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𝑞𝑢𝑎𝑟𝑡𝑒𝑟</m:t>
                                </m:r>
                              </m:sub>
                            </m:sSub>
                          </m:e>
                        </m:d>
                      </m:e>
                      <m:sup>
                        <m:r>
                          <a:rPr lang="en-US" sz="1100" b="0" i="1">
                            <a:latin typeface="Cambria Math" panose="02040503050406030204" pitchFamily="18" charset="0"/>
                          </a:rPr>
                          <m:t>4</m:t>
                        </m:r>
                      </m:sup>
                    </m:sSup>
                    <m:r>
                      <a:rPr lang="en-US" sz="1100" b="0" i="1">
                        <a:latin typeface="Cambria Math" panose="02040503050406030204" pitchFamily="18" charset="0"/>
                      </a:rPr>
                      <m:t>−1</m:t>
                    </m:r>
                  </m:oMath>
                </m:oMathPara>
              </a14:m>
              <a:endParaRPr lang="en-US" sz="1100"/>
            </a:p>
          </xdr:txBody>
        </xdr:sp>
      </mc:Choice>
      <mc:Fallback xmlns="">
        <xdr:sp macro="" textlink="">
          <xdr:nvSpPr>
            <xdr:cNvPr id="25" name="TextBox 24">
              <a:extLst>
                <a:ext uri="{FF2B5EF4-FFF2-40B4-BE49-F238E27FC236}">
                  <a16:creationId xmlns:a16="http://schemas.microsoft.com/office/drawing/2014/main" id="{790D0492-2204-E47F-C3A8-05160BFEE83F}"/>
                </a:ext>
              </a:extLst>
            </xdr:cNvPr>
            <xdr:cNvSpPr txBox="1"/>
          </xdr:nvSpPr>
          <xdr:spPr>
            <a:xfrm>
              <a:off x="13490103245" y="46791128"/>
              <a:ext cx="2224028" cy="2271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(𝑎𝑛𝑛𝑢𝑎𝑙)=(1+𝑟_𝑞𝑢𝑎𝑟𝑡𝑒𝑟 )^4−1</a:t>
              </a:r>
              <a:endParaRPr lang="en-US" sz="1100"/>
            </a:p>
          </xdr:txBody>
        </xdr:sp>
      </mc:Fallback>
    </mc:AlternateContent>
    <xdr:clientData/>
  </xdr:oneCellAnchor>
  <xdr:oneCellAnchor>
    <xdr:from>
      <xdr:col>3</xdr:col>
      <xdr:colOff>109764</xdr:colOff>
      <xdr:row>252</xdr:row>
      <xdr:rowOff>29050</xdr:rowOff>
    </xdr:from>
    <xdr:ext cx="2224028" cy="176523"/>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BCED7B6F-2B2F-B92F-A856-33E2BFD8010A}"/>
                </a:ext>
              </a:extLst>
            </xdr:cNvPr>
            <xdr:cNvSpPr txBox="1"/>
          </xdr:nvSpPr>
          <xdr:spPr>
            <a:xfrm>
              <a:off x="13490095592" y="47161695"/>
              <a:ext cx="2224028" cy="1765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1+20%</m:t>
                            </m:r>
                          </m:e>
                        </m:d>
                      </m:e>
                      <m:sup>
                        <m:r>
                          <a:rPr lang="en-US" sz="1100" b="0" i="1">
                            <a:latin typeface="Cambria Math" panose="02040503050406030204" pitchFamily="18" charset="0"/>
                          </a:rPr>
                          <m:t>4</m:t>
                        </m:r>
                      </m:sup>
                    </m:sSup>
                    <m:r>
                      <a:rPr lang="en-US" sz="1100" b="0" i="1">
                        <a:latin typeface="Cambria Math" panose="02040503050406030204" pitchFamily="18" charset="0"/>
                      </a:rPr>
                      <m:t>−1=</m:t>
                    </m:r>
                  </m:oMath>
                </m:oMathPara>
              </a14:m>
              <a:endParaRPr lang="en-US" sz="1100"/>
            </a:p>
          </xdr:txBody>
        </xdr:sp>
      </mc:Choice>
      <mc:Fallback xmlns="">
        <xdr:sp macro="" textlink="">
          <xdr:nvSpPr>
            <xdr:cNvPr id="26" name="TextBox 25">
              <a:extLst>
                <a:ext uri="{FF2B5EF4-FFF2-40B4-BE49-F238E27FC236}">
                  <a16:creationId xmlns:a16="http://schemas.microsoft.com/office/drawing/2014/main" id="{BCED7B6F-2B2F-B92F-A856-33E2BFD8010A}"/>
                </a:ext>
              </a:extLst>
            </xdr:cNvPr>
            <xdr:cNvSpPr txBox="1"/>
          </xdr:nvSpPr>
          <xdr:spPr>
            <a:xfrm>
              <a:off x="13490095592" y="47161695"/>
              <a:ext cx="2224028" cy="1765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(𝑎𝑛𝑛𝑢𝑎𝑙)=(1+20%)^4−1=</a:t>
              </a:r>
              <a:endParaRPr lang="en-US" sz="1100"/>
            </a:p>
          </xdr:txBody>
        </xdr:sp>
      </mc:Fallback>
    </mc:AlternateContent>
    <xdr:clientData/>
  </xdr:oneCellAnchor>
  <xdr:oneCellAnchor>
    <xdr:from>
      <xdr:col>3</xdr:col>
      <xdr:colOff>532890</xdr:colOff>
      <xdr:row>258</xdr:row>
      <xdr:rowOff>160249</xdr:rowOff>
    </xdr:from>
    <xdr:ext cx="2224028" cy="262572"/>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C9EB33ED-5D9E-0684-1C7D-589B7DA516FC}"/>
                </a:ext>
              </a:extLst>
            </xdr:cNvPr>
            <xdr:cNvSpPr txBox="1"/>
          </xdr:nvSpPr>
          <xdr:spPr>
            <a:xfrm>
              <a:off x="13535503710" y="51164470"/>
              <a:ext cx="2224028" cy="2625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he-IL" sz="1100" b="0" i="1">
                                    <a:latin typeface="Cambria Math" panose="02040503050406030204" pitchFamily="18" charset="0"/>
                                  </a:rPr>
                                  <m:t>2.5</m:t>
                                </m:r>
                                <m:r>
                                  <a:rPr lang="en-US" sz="1100" b="0" i="1">
                                    <a:latin typeface="Cambria Math" panose="02040503050406030204" pitchFamily="18" charset="0"/>
                                  </a:rPr>
                                  <m:t>𝑌</m:t>
                                </m:r>
                              </m:sub>
                            </m:sSub>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2.5</m:t>
                            </m:r>
                          </m:den>
                        </m:f>
                      </m:sup>
                    </m:sSup>
                    <m:r>
                      <a:rPr lang="en-US" sz="1100" b="0" i="1">
                        <a:latin typeface="Cambria Math" panose="02040503050406030204" pitchFamily="18" charset="0"/>
                      </a:rPr>
                      <m:t>−1</m:t>
                    </m:r>
                  </m:oMath>
                </m:oMathPara>
              </a14:m>
              <a:endParaRPr lang="en-US" sz="1100"/>
            </a:p>
          </xdr:txBody>
        </xdr:sp>
      </mc:Choice>
      <mc:Fallback xmlns="">
        <xdr:sp macro="" textlink="">
          <xdr:nvSpPr>
            <xdr:cNvPr id="27" name="TextBox 26">
              <a:extLst>
                <a:ext uri="{FF2B5EF4-FFF2-40B4-BE49-F238E27FC236}">
                  <a16:creationId xmlns:a16="http://schemas.microsoft.com/office/drawing/2014/main" id="{C9EB33ED-5D9E-0684-1C7D-589B7DA516FC}"/>
                </a:ext>
              </a:extLst>
            </xdr:cNvPr>
            <xdr:cNvSpPr txBox="1"/>
          </xdr:nvSpPr>
          <xdr:spPr>
            <a:xfrm>
              <a:off x="13535503710" y="51164470"/>
              <a:ext cx="2224028" cy="2625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(𝑎𝑛𝑛𝑢𝑎𝑙)=(1+𝑟_</a:t>
              </a:r>
              <a:r>
                <a:rPr lang="he-IL" sz="1100" b="0" i="0">
                  <a:latin typeface="Cambria Math" panose="02040503050406030204" pitchFamily="18" charset="0"/>
                </a:rPr>
                <a:t>2.5</a:t>
              </a:r>
              <a:r>
                <a:rPr lang="en-US" sz="1100" b="0" i="0">
                  <a:latin typeface="Cambria Math" panose="02040503050406030204" pitchFamily="18" charset="0"/>
                </a:rPr>
                <a:t>𝑌 )^(1/2.5)−1</a:t>
              </a:r>
              <a:endParaRPr lang="en-US" sz="1100"/>
            </a:p>
          </xdr:txBody>
        </xdr:sp>
      </mc:Fallback>
    </mc:AlternateContent>
    <xdr:clientData/>
  </xdr:oneCellAnchor>
  <xdr:twoCellAnchor>
    <xdr:from>
      <xdr:col>1</xdr:col>
      <xdr:colOff>315905</xdr:colOff>
      <xdr:row>293</xdr:row>
      <xdr:rowOff>3191</xdr:rowOff>
    </xdr:from>
    <xdr:to>
      <xdr:col>6</xdr:col>
      <xdr:colOff>31909</xdr:colOff>
      <xdr:row>293</xdr:row>
      <xdr:rowOff>22337</xdr:rowOff>
    </xdr:to>
    <xdr:cxnSp macro="">
      <xdr:nvCxnSpPr>
        <xdr:cNvPr id="35" name="Straight Arrow Connector 34">
          <a:extLst>
            <a:ext uri="{FF2B5EF4-FFF2-40B4-BE49-F238E27FC236}">
              <a16:creationId xmlns:a16="http://schemas.microsoft.com/office/drawing/2014/main" id="{3F0B91FB-CCBB-827F-C1DC-2EDA9F1BB019}"/>
            </a:ext>
          </a:extLst>
        </xdr:cNvPr>
        <xdr:cNvCxnSpPr/>
      </xdr:nvCxnSpPr>
      <xdr:spPr>
        <a:xfrm>
          <a:off x="13535749347" y="57861583"/>
          <a:ext cx="3848291" cy="1914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727538</xdr:colOff>
      <xdr:row>297</xdr:row>
      <xdr:rowOff>90048</xdr:rowOff>
    </xdr:from>
    <xdr:ext cx="1946415" cy="318036"/>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D59DD89B-5263-CA6E-DB9E-7DAB03691053}"/>
                </a:ext>
              </a:extLst>
            </xdr:cNvPr>
            <xdr:cNvSpPr txBox="1"/>
          </xdr:nvSpPr>
          <xdr:spPr>
            <a:xfrm>
              <a:off x="13536413132" y="58765324"/>
              <a:ext cx="1946415"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100</m:t>
                        </m:r>
                      </m:num>
                      <m:den>
                        <m:r>
                          <a:rPr lang="en-US" sz="1100" b="0" i="1">
                            <a:latin typeface="Cambria Math" panose="02040503050406030204" pitchFamily="18" charset="0"/>
                          </a:rPr>
                          <m:t>90</m:t>
                        </m:r>
                      </m:den>
                    </m:f>
                    <m:r>
                      <a:rPr lang="en-US" sz="1100" b="0" i="1">
                        <a:latin typeface="Cambria Math" panose="02040503050406030204" pitchFamily="18" charset="0"/>
                      </a:rPr>
                      <m:t>−1=11.11%</m:t>
                    </m:r>
                  </m:oMath>
                </m:oMathPara>
              </a14:m>
              <a:endParaRPr lang="en-US" sz="1100"/>
            </a:p>
          </xdr:txBody>
        </xdr:sp>
      </mc:Choice>
      <mc:Fallback xmlns="">
        <xdr:sp macro="" textlink="">
          <xdr:nvSpPr>
            <xdr:cNvPr id="36" name="TextBox 35">
              <a:extLst>
                <a:ext uri="{FF2B5EF4-FFF2-40B4-BE49-F238E27FC236}">
                  <a16:creationId xmlns:a16="http://schemas.microsoft.com/office/drawing/2014/main" id="{D59DD89B-5263-CA6E-DB9E-7DAB03691053}"/>
                </a:ext>
              </a:extLst>
            </xdr:cNvPr>
            <xdr:cNvSpPr txBox="1"/>
          </xdr:nvSpPr>
          <xdr:spPr>
            <a:xfrm>
              <a:off x="13536413132" y="58765324"/>
              <a:ext cx="1946415"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𝑟_𝑒=100/90−1=11.11%</a:t>
              </a:r>
              <a:endParaRPr lang="en-US" sz="1100"/>
            </a:p>
          </xdr:txBody>
        </xdr:sp>
      </mc:Fallback>
    </mc:AlternateContent>
    <xdr:clientData/>
  </xdr:oneCellAnchor>
  <xdr:oneCellAnchor>
    <xdr:from>
      <xdr:col>2</xdr:col>
      <xdr:colOff>0</xdr:colOff>
      <xdr:row>301</xdr:row>
      <xdr:rowOff>0</xdr:rowOff>
    </xdr:from>
    <xdr:ext cx="3197271" cy="324641"/>
    <mc:AlternateContent xmlns:mc="http://schemas.openxmlformats.org/markup-compatibility/2006" xmlns:a14="http://schemas.microsoft.com/office/drawing/2010/main">
      <mc:Choice Requires="a14">
        <xdr:sp macro="" textlink="">
          <xdr:nvSpPr>
            <xdr:cNvPr id="38" name="TextBox 37">
              <a:extLst>
                <a:ext uri="{FF2B5EF4-FFF2-40B4-BE49-F238E27FC236}">
                  <a16:creationId xmlns:a16="http://schemas.microsoft.com/office/drawing/2014/main" id="{342824D9-88B6-7D4A-A339-0EDDBE7A60C2}"/>
                </a:ext>
              </a:extLst>
            </xdr:cNvPr>
            <xdr:cNvSpPr txBox="1"/>
          </xdr:nvSpPr>
          <xdr:spPr>
            <a:xfrm>
              <a:off x="13535889814" y="59492161"/>
              <a:ext cx="3197271"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1−</m:t>
                        </m:r>
                        <m:r>
                          <a:rPr lang="en-US" sz="1100" b="0" i="1">
                            <a:latin typeface="Cambria Math" panose="02040503050406030204" pitchFamily="18" charset="0"/>
                          </a:rPr>
                          <m:t>𝑑</m:t>
                        </m:r>
                      </m:den>
                    </m:f>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1−10%</m:t>
                        </m:r>
                      </m:den>
                    </m:f>
                    <m:r>
                      <a:rPr lang="en-US" sz="1100" b="0" i="1">
                        <a:latin typeface="Cambria Math" panose="02040503050406030204" pitchFamily="18" charset="0"/>
                      </a:rPr>
                      <m:t>−1=11.11%</m:t>
                    </m:r>
                  </m:oMath>
                </m:oMathPara>
              </a14:m>
              <a:endParaRPr lang="en-US" sz="1100"/>
            </a:p>
          </xdr:txBody>
        </xdr:sp>
      </mc:Choice>
      <mc:Fallback xmlns="">
        <xdr:sp macro="" textlink="">
          <xdr:nvSpPr>
            <xdr:cNvPr id="38" name="TextBox 37">
              <a:extLst>
                <a:ext uri="{FF2B5EF4-FFF2-40B4-BE49-F238E27FC236}">
                  <a16:creationId xmlns:a16="http://schemas.microsoft.com/office/drawing/2014/main" id="{342824D9-88B6-7D4A-A339-0EDDBE7A60C2}"/>
                </a:ext>
              </a:extLst>
            </xdr:cNvPr>
            <xdr:cNvSpPr txBox="1"/>
          </xdr:nvSpPr>
          <xdr:spPr>
            <a:xfrm>
              <a:off x="13535889814" y="59492161"/>
              <a:ext cx="3197271"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1/(1−𝑑)−1=1/(1−10%)−1=11.11%</a:t>
              </a:r>
              <a:endParaRPr lang="en-US" sz="1100"/>
            </a:p>
          </xdr:txBody>
        </xdr:sp>
      </mc:Fallback>
    </mc:AlternateContent>
    <xdr:clientData/>
  </xdr:oneCellAnchor>
  <xdr:oneCellAnchor>
    <xdr:from>
      <xdr:col>4</xdr:col>
      <xdr:colOff>303141</xdr:colOff>
      <xdr:row>333</xdr:row>
      <xdr:rowOff>93239</xdr:rowOff>
    </xdr:from>
    <xdr:ext cx="1700712" cy="173766"/>
    <mc:AlternateContent xmlns:mc="http://schemas.openxmlformats.org/markup-compatibility/2006" xmlns:a14="http://schemas.microsoft.com/office/drawing/2010/main">
      <mc:Choice Requires="a14">
        <xdr:sp macro="" textlink="">
          <xdr:nvSpPr>
            <xdr:cNvPr id="39" name="TextBox 38">
              <a:extLst>
                <a:ext uri="{FF2B5EF4-FFF2-40B4-BE49-F238E27FC236}">
                  <a16:creationId xmlns:a16="http://schemas.microsoft.com/office/drawing/2014/main" id="{0FE9AFEA-81EB-F2BA-D786-88833D731F85}"/>
                </a:ext>
              </a:extLst>
            </xdr:cNvPr>
            <xdr:cNvSpPr txBox="1"/>
          </xdr:nvSpPr>
          <xdr:spPr>
            <a:xfrm>
              <a:off x="13535430318" y="63899571"/>
              <a:ext cx="1700712"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en-US"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39" name="TextBox 38">
              <a:extLst>
                <a:ext uri="{FF2B5EF4-FFF2-40B4-BE49-F238E27FC236}">
                  <a16:creationId xmlns:a16="http://schemas.microsoft.com/office/drawing/2014/main" id="{0FE9AFEA-81EB-F2BA-D786-88833D731F85}"/>
                </a:ext>
              </a:extLst>
            </xdr:cNvPr>
            <xdr:cNvSpPr txBox="1"/>
          </xdr:nvSpPr>
          <xdr:spPr>
            <a:xfrm>
              <a:off x="13535430318" y="63899571"/>
              <a:ext cx="1700712"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𝑟)^𝑚−1</a:t>
              </a:r>
              <a:endParaRPr lang="en-US" sz="1100"/>
            </a:p>
          </xdr:txBody>
        </xdr:sp>
      </mc:Fallback>
    </mc:AlternateContent>
    <xdr:clientData/>
  </xdr:oneCellAnchor>
  <xdr:oneCellAnchor>
    <xdr:from>
      <xdr:col>1</xdr:col>
      <xdr:colOff>146784</xdr:colOff>
      <xdr:row>332</xdr:row>
      <xdr:rowOff>195349</xdr:rowOff>
    </xdr:from>
    <xdr:ext cx="1700712" cy="340158"/>
    <mc:AlternateContent xmlns:mc="http://schemas.openxmlformats.org/markup-compatibility/2006" xmlns:a14="http://schemas.microsoft.com/office/drawing/2010/main">
      <mc:Choice Requires="a14">
        <xdr:sp macro="" textlink="">
          <xdr:nvSpPr>
            <xdr:cNvPr id="40" name="TextBox 39">
              <a:extLst>
                <a:ext uri="{FF2B5EF4-FFF2-40B4-BE49-F238E27FC236}">
                  <a16:creationId xmlns:a16="http://schemas.microsoft.com/office/drawing/2014/main" id="{BA363857-13DE-A319-CD5C-0309534ED4C2}"/>
                </a:ext>
              </a:extLst>
            </xdr:cNvPr>
            <xdr:cNvSpPr txBox="1"/>
          </xdr:nvSpPr>
          <xdr:spPr>
            <a:xfrm>
              <a:off x="13538066047" y="63797460"/>
              <a:ext cx="1700712"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en-US"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𝑅</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40" name="TextBox 39">
              <a:extLst>
                <a:ext uri="{FF2B5EF4-FFF2-40B4-BE49-F238E27FC236}">
                  <a16:creationId xmlns:a16="http://schemas.microsoft.com/office/drawing/2014/main" id="{BA363857-13DE-A319-CD5C-0309534ED4C2}"/>
                </a:ext>
              </a:extLst>
            </xdr:cNvPr>
            <xdr:cNvSpPr txBox="1"/>
          </xdr:nvSpPr>
          <xdr:spPr>
            <a:xfrm>
              <a:off x="13538066047" y="63797460"/>
              <a:ext cx="1700712"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𝑅/𝑛)^𝑚−1</a:t>
              </a:r>
              <a:endParaRPr lang="en-US" sz="1100"/>
            </a:p>
          </xdr:txBody>
        </xdr:sp>
      </mc:Fallback>
    </mc:AlternateContent>
    <xdr:clientData/>
  </xdr:oneCellAnchor>
  <xdr:twoCellAnchor>
    <xdr:from>
      <xdr:col>2</xdr:col>
      <xdr:colOff>92537</xdr:colOff>
      <xdr:row>335</xdr:row>
      <xdr:rowOff>31909</xdr:rowOff>
    </xdr:from>
    <xdr:to>
      <xdr:col>2</xdr:col>
      <xdr:colOff>92537</xdr:colOff>
      <xdr:row>336</xdr:row>
      <xdr:rowOff>121256</xdr:rowOff>
    </xdr:to>
    <xdr:cxnSp macro="">
      <xdr:nvCxnSpPr>
        <xdr:cNvPr id="42" name="Straight Arrow Connector 41">
          <a:extLst>
            <a:ext uri="{FF2B5EF4-FFF2-40B4-BE49-F238E27FC236}">
              <a16:creationId xmlns:a16="http://schemas.microsoft.com/office/drawing/2014/main" id="{84B67063-A89F-6176-339B-9480AE2A6577}"/>
            </a:ext>
          </a:extLst>
        </xdr:cNvPr>
        <xdr:cNvCxnSpPr/>
      </xdr:nvCxnSpPr>
      <xdr:spPr>
        <a:xfrm>
          <a:off x="13538994548" y="64246683"/>
          <a:ext cx="0" cy="29356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xdr:col>
      <xdr:colOff>121256</xdr:colOff>
      <xdr:row>336</xdr:row>
      <xdr:rowOff>173013</xdr:rowOff>
    </xdr:from>
    <xdr:ext cx="1700712" cy="354649"/>
    <mc:AlternateContent xmlns:mc="http://schemas.openxmlformats.org/markup-compatibility/2006" xmlns:a14="http://schemas.microsoft.com/office/drawing/2010/main">
      <mc:Choice Requires="a14">
        <xdr:sp macro="" textlink="">
          <xdr:nvSpPr>
            <xdr:cNvPr id="43" name="TextBox 42">
              <a:extLst>
                <a:ext uri="{FF2B5EF4-FFF2-40B4-BE49-F238E27FC236}">
                  <a16:creationId xmlns:a16="http://schemas.microsoft.com/office/drawing/2014/main" id="{466435D1-DEC2-43CE-8BF5-FECFEF8533AE}"/>
                </a:ext>
              </a:extLst>
            </xdr:cNvPr>
            <xdr:cNvSpPr txBox="1"/>
          </xdr:nvSpPr>
          <xdr:spPr>
            <a:xfrm>
              <a:off x="13538091575" y="64592008"/>
              <a:ext cx="1700712" cy="3546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en-US" sz="1100" b="0" i="1">
                            <a:solidFill>
                              <a:sysClr val="windowText" lastClr="000000"/>
                            </a:solidFill>
                            <a:latin typeface="Cambria Math" panose="02040503050406030204" pitchFamily="18" charset="0"/>
                          </a:rPr>
                        </m:ctrlPr>
                      </m:sSupPr>
                      <m:e>
                        <m:d>
                          <m:dPr>
                            <m:ctrlPr>
                              <a:rPr lang="he-IL" sz="1100" b="0" i="1">
                                <a:solidFill>
                                  <a:sysClr val="windowText" lastClr="000000"/>
                                </a:solidFill>
                                <a:latin typeface="Cambria Math" panose="02040503050406030204" pitchFamily="18" charset="0"/>
                              </a:rPr>
                            </m:ctrlPr>
                          </m:dPr>
                          <m:e>
                            <m:r>
                              <a:rPr lang="he-IL" sz="1100" b="0" i="1">
                                <a:solidFill>
                                  <a:sysClr val="windowText" lastClr="000000"/>
                                </a:solidFill>
                                <a:latin typeface="Cambria Math" panose="02040503050406030204" pitchFamily="18" charset="0"/>
                              </a:rPr>
                              <m:t>1+</m:t>
                            </m:r>
                            <m:f>
                              <m:fPr>
                                <m:ctrlPr>
                                  <a:rPr lang="en-US" sz="1100" b="0" i="1">
                                    <a:solidFill>
                                      <a:sysClr val="windowText" lastClr="000000"/>
                                    </a:solidFill>
                                    <a:latin typeface="Cambria Math" panose="02040503050406030204" pitchFamily="18" charset="0"/>
                                  </a:rPr>
                                </m:ctrlPr>
                              </m:fPr>
                              <m:num>
                                <m:r>
                                  <a:rPr lang="he-IL" sz="1100" b="0" i="1">
                                    <a:solidFill>
                                      <a:sysClr val="windowText" lastClr="000000"/>
                                    </a:solidFill>
                                    <a:latin typeface="Cambria Math" panose="02040503050406030204" pitchFamily="18" charset="0"/>
                                  </a:rPr>
                                  <m:t>20%</m:t>
                                </m:r>
                              </m:num>
                              <m:den>
                                <m:r>
                                  <a:rPr lang="he-IL" sz="1100" b="0" i="1">
                                    <a:solidFill>
                                      <a:sysClr val="windowText" lastClr="000000"/>
                                    </a:solidFill>
                                    <a:latin typeface="Cambria Math" panose="02040503050406030204" pitchFamily="18" charset="0"/>
                                  </a:rPr>
                                  <m:t>12</m:t>
                                </m:r>
                              </m:den>
                            </m:f>
                          </m:e>
                        </m:d>
                      </m:e>
                      <m:sup>
                        <m:r>
                          <a:rPr lang="he-IL" sz="1100" b="0" i="1">
                            <a:solidFill>
                              <a:sysClr val="windowText" lastClr="000000"/>
                            </a:solidFill>
                            <a:latin typeface="Cambria Math" panose="02040503050406030204" pitchFamily="18" charset="0"/>
                          </a:rPr>
                          <m:t>12</m:t>
                        </m:r>
                      </m:sup>
                    </m:sSup>
                    <m:r>
                      <a:rPr lang="en-US" sz="1100" b="0" i="1">
                        <a:solidFill>
                          <a:sysClr val="windowText" lastClr="000000"/>
                        </a:solidFill>
                        <a:latin typeface="Cambria Math" panose="02040503050406030204" pitchFamily="18" charset="0"/>
                      </a:rPr>
                      <m:t>−1</m:t>
                    </m:r>
                    <m:r>
                      <a:rPr lang="he-IL" sz="1100" b="0" i="1">
                        <a:solidFill>
                          <a:sysClr val="windowText" lastClr="000000"/>
                        </a:solidFill>
                        <a:latin typeface="Cambria Math" panose="02040503050406030204" pitchFamily="18" charset="0"/>
                      </a:rPr>
                      <m:t>=</m:t>
                    </m:r>
                  </m:oMath>
                </m:oMathPara>
              </a14:m>
              <a:endParaRPr lang="en-US" sz="1100"/>
            </a:p>
          </xdr:txBody>
        </xdr:sp>
      </mc:Choice>
      <mc:Fallback xmlns="">
        <xdr:sp macro="" textlink="">
          <xdr:nvSpPr>
            <xdr:cNvPr id="43" name="TextBox 42">
              <a:extLst>
                <a:ext uri="{FF2B5EF4-FFF2-40B4-BE49-F238E27FC236}">
                  <a16:creationId xmlns:a16="http://schemas.microsoft.com/office/drawing/2014/main" id="{466435D1-DEC2-43CE-8BF5-FECFEF8533AE}"/>
                </a:ext>
              </a:extLst>
            </xdr:cNvPr>
            <xdr:cNvSpPr txBox="1"/>
          </xdr:nvSpPr>
          <xdr:spPr>
            <a:xfrm>
              <a:off x="13538091575" y="64592008"/>
              <a:ext cx="1700712" cy="3546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solidFill>
                    <a:sysClr val="windowText" lastClr="000000"/>
                  </a:solidFill>
                  <a:latin typeface="Cambria Math" panose="02040503050406030204" pitchFamily="18" charset="0"/>
                </a:rPr>
                <a:t>(1+</a:t>
              </a:r>
              <a:r>
                <a:rPr lang="en-US" sz="1100" b="0" i="0">
                  <a:solidFill>
                    <a:sysClr val="windowText" lastClr="000000"/>
                  </a:solidFill>
                  <a:latin typeface="Cambria Math" panose="02040503050406030204" pitchFamily="18" charset="0"/>
                </a:rPr>
                <a:t>(</a:t>
              </a:r>
              <a:r>
                <a:rPr lang="he-IL" sz="1100" b="0" i="0">
                  <a:solidFill>
                    <a:sysClr val="windowText" lastClr="000000"/>
                  </a:solidFill>
                  <a:latin typeface="Cambria Math" panose="02040503050406030204" pitchFamily="18" charset="0"/>
                </a:rPr>
                <a:t>20%</a:t>
              </a:r>
              <a:r>
                <a:rPr lang="en-US" sz="1100" b="0" i="0">
                  <a:solidFill>
                    <a:sysClr val="windowText" lastClr="000000"/>
                  </a:solidFill>
                  <a:latin typeface="Cambria Math" panose="02040503050406030204" pitchFamily="18" charset="0"/>
                </a:rPr>
                <a:t>)/</a:t>
              </a:r>
              <a:r>
                <a:rPr lang="he-IL" sz="1100" b="0" i="0">
                  <a:solidFill>
                    <a:sysClr val="windowText" lastClr="000000"/>
                  </a:solidFill>
                  <a:latin typeface="Cambria Math" panose="02040503050406030204" pitchFamily="18" charset="0"/>
                </a:rPr>
                <a:t>12)</a:t>
              </a:r>
              <a:r>
                <a:rPr lang="en-US" sz="1100" b="0" i="0">
                  <a:solidFill>
                    <a:sysClr val="windowText" lastClr="000000"/>
                  </a:solidFill>
                  <a:latin typeface="Cambria Math" panose="02040503050406030204" pitchFamily="18" charset="0"/>
                </a:rPr>
                <a:t>^</a:t>
              </a:r>
              <a:r>
                <a:rPr lang="he-IL" sz="1100" b="0" i="0">
                  <a:solidFill>
                    <a:sysClr val="windowText" lastClr="000000"/>
                  </a:solidFill>
                  <a:latin typeface="Cambria Math" panose="02040503050406030204" pitchFamily="18" charset="0"/>
                </a:rPr>
                <a:t>12</a:t>
              </a:r>
              <a:r>
                <a:rPr lang="en-US" sz="1100" b="0" i="0">
                  <a:solidFill>
                    <a:sysClr val="windowText" lastClr="000000"/>
                  </a:solidFill>
                  <a:latin typeface="Cambria Math" panose="02040503050406030204" pitchFamily="18" charset="0"/>
                </a:rPr>
                <a:t>−1</a:t>
              </a:r>
              <a:r>
                <a:rPr lang="he-IL" sz="1100" b="0" i="0">
                  <a:solidFill>
                    <a:sysClr val="windowText" lastClr="000000"/>
                  </a:solidFill>
                  <a:latin typeface="Cambria Math" panose="02040503050406030204" pitchFamily="18" charset="0"/>
                </a:rPr>
                <a:t>=</a:t>
              </a:r>
              <a:endParaRPr lang="en-US" sz="1100"/>
            </a:p>
          </xdr:txBody>
        </xdr:sp>
      </mc:Fallback>
    </mc:AlternateContent>
    <xdr:clientData/>
  </xdr:oneCellAnchor>
  <xdr:twoCellAnchor>
    <xdr:from>
      <xdr:col>8</xdr:col>
      <xdr:colOff>450942</xdr:colOff>
      <xdr:row>264</xdr:row>
      <xdr:rowOff>110435</xdr:rowOff>
    </xdr:from>
    <xdr:to>
      <xdr:col>12</xdr:col>
      <xdr:colOff>197863</xdr:colOff>
      <xdr:row>264</xdr:row>
      <xdr:rowOff>128841</xdr:rowOff>
    </xdr:to>
    <xdr:cxnSp macro="">
      <xdr:nvCxnSpPr>
        <xdr:cNvPr id="14" name="Straight Arrow Connector 13">
          <a:extLst>
            <a:ext uri="{FF2B5EF4-FFF2-40B4-BE49-F238E27FC236}">
              <a16:creationId xmlns:a16="http://schemas.microsoft.com/office/drawing/2014/main" id="{635DCACD-61B8-974D-E13E-7ECFC0537764}"/>
            </a:ext>
          </a:extLst>
        </xdr:cNvPr>
        <xdr:cNvCxnSpPr/>
      </xdr:nvCxnSpPr>
      <xdr:spPr>
        <a:xfrm>
          <a:off x="13484754166" y="49700254"/>
          <a:ext cx="3041558" cy="1840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411830</xdr:colOff>
      <xdr:row>261</xdr:row>
      <xdr:rowOff>154149</xdr:rowOff>
    </xdr:from>
    <xdr:to>
      <xdr:col>11</xdr:col>
      <xdr:colOff>404927</xdr:colOff>
      <xdr:row>262</xdr:row>
      <xdr:rowOff>197863</xdr:rowOff>
    </xdr:to>
    <xdr:sp macro="" textlink="">
      <xdr:nvSpPr>
        <xdr:cNvPr id="16" name="Left Brace 15">
          <a:extLst>
            <a:ext uri="{FF2B5EF4-FFF2-40B4-BE49-F238E27FC236}">
              <a16:creationId xmlns:a16="http://schemas.microsoft.com/office/drawing/2014/main" id="{E6FA64CA-E7BD-41F5-AF1E-2874748D79FB}"/>
            </a:ext>
          </a:extLst>
        </xdr:cNvPr>
        <xdr:cNvSpPr/>
      </xdr:nvSpPr>
      <xdr:spPr>
        <a:xfrm rot="5400000">
          <a:off x="13486060978" y="48432555"/>
          <a:ext cx="259982" cy="1640416"/>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oneCellAnchor>
    <xdr:from>
      <xdr:col>9</xdr:col>
      <xdr:colOff>352588</xdr:colOff>
      <xdr:row>261</xdr:row>
      <xdr:rowOff>9040</xdr:rowOff>
    </xdr:from>
    <xdr:ext cx="1718031" cy="173766"/>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9F4813A8-0D60-6E67-A667-14F31780DC0A}"/>
                </a:ext>
              </a:extLst>
            </xdr:cNvPr>
            <xdr:cNvSpPr txBox="1"/>
          </xdr:nvSpPr>
          <xdr:spPr>
            <a:xfrm>
              <a:off x="13515491881" y="54150728"/>
              <a:ext cx="1718031"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𝑅</m:t>
                    </m:r>
                    <m:r>
                      <a:rPr lang="en-US" sz="1100" b="0" i="1">
                        <a:latin typeface="Cambria Math" panose="02040503050406030204" pitchFamily="18" charset="0"/>
                      </a:rPr>
                      <m:t>=10%</m:t>
                    </m:r>
                  </m:oMath>
                </m:oMathPara>
              </a14:m>
              <a:endParaRPr lang="en-US" sz="1100"/>
            </a:p>
          </xdr:txBody>
        </xdr:sp>
      </mc:Choice>
      <mc:Fallback xmlns="">
        <xdr:sp macro="" textlink="">
          <xdr:nvSpPr>
            <xdr:cNvPr id="18" name="TextBox 17">
              <a:extLst>
                <a:ext uri="{FF2B5EF4-FFF2-40B4-BE49-F238E27FC236}">
                  <a16:creationId xmlns:a16="http://schemas.microsoft.com/office/drawing/2014/main" id="{9F4813A8-0D60-6E67-A667-14F31780DC0A}"/>
                </a:ext>
              </a:extLst>
            </xdr:cNvPr>
            <xdr:cNvSpPr txBox="1"/>
          </xdr:nvSpPr>
          <xdr:spPr>
            <a:xfrm>
              <a:off x="13515491881" y="54150728"/>
              <a:ext cx="1718031"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𝑅=10%</a:t>
              </a:r>
              <a:endParaRPr lang="en-US" sz="1100"/>
            </a:p>
          </xdr:txBody>
        </xdr:sp>
      </mc:Fallback>
    </mc:AlternateContent>
    <xdr:clientData/>
  </xdr:oneCellAnchor>
  <xdr:twoCellAnchor>
    <xdr:from>
      <xdr:col>10</xdr:col>
      <xdr:colOff>386522</xdr:colOff>
      <xdr:row>264</xdr:row>
      <xdr:rowOff>121942</xdr:rowOff>
    </xdr:from>
    <xdr:to>
      <xdr:col>11</xdr:col>
      <xdr:colOff>423334</xdr:colOff>
      <xdr:row>265</xdr:row>
      <xdr:rowOff>165655</xdr:rowOff>
    </xdr:to>
    <xdr:sp macro="" textlink="">
      <xdr:nvSpPr>
        <xdr:cNvPr id="20" name="Left Brace 19">
          <a:extLst>
            <a:ext uri="{FF2B5EF4-FFF2-40B4-BE49-F238E27FC236}">
              <a16:creationId xmlns:a16="http://schemas.microsoft.com/office/drawing/2014/main" id="{0A35CD9B-5C30-4BA1-72BC-7CC18A53D549}"/>
            </a:ext>
          </a:extLst>
        </xdr:cNvPr>
        <xdr:cNvSpPr/>
      </xdr:nvSpPr>
      <xdr:spPr>
        <a:xfrm rot="16200000">
          <a:off x="13485659501" y="49404614"/>
          <a:ext cx="246177" cy="860472"/>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9</xdr:col>
      <xdr:colOff>335903</xdr:colOff>
      <xdr:row>264</xdr:row>
      <xdr:rowOff>126543</xdr:rowOff>
    </xdr:from>
    <xdr:to>
      <xdr:col>10</xdr:col>
      <xdr:colOff>372716</xdr:colOff>
      <xdr:row>265</xdr:row>
      <xdr:rowOff>170256</xdr:rowOff>
    </xdr:to>
    <xdr:sp macro="" textlink="">
      <xdr:nvSpPr>
        <xdr:cNvPr id="44" name="Left Brace 43">
          <a:extLst>
            <a:ext uri="{FF2B5EF4-FFF2-40B4-BE49-F238E27FC236}">
              <a16:creationId xmlns:a16="http://schemas.microsoft.com/office/drawing/2014/main" id="{518E2886-F221-2F9B-99E2-843D4A4E40C2}"/>
            </a:ext>
          </a:extLst>
        </xdr:cNvPr>
        <xdr:cNvSpPr/>
      </xdr:nvSpPr>
      <xdr:spPr>
        <a:xfrm rot="16200000">
          <a:off x="13486533779" y="49409215"/>
          <a:ext cx="246177" cy="860472"/>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oneCellAnchor>
    <xdr:from>
      <xdr:col>7</xdr:col>
      <xdr:colOff>496959</xdr:colOff>
      <xdr:row>264</xdr:row>
      <xdr:rowOff>150189</xdr:rowOff>
    </xdr:from>
    <xdr:ext cx="1718031" cy="173766"/>
    <mc:AlternateContent xmlns:mc="http://schemas.openxmlformats.org/markup-compatibility/2006" xmlns:a14="http://schemas.microsoft.com/office/drawing/2010/main">
      <mc:Choice Requires="a14">
        <xdr:sp macro="" textlink="">
          <xdr:nvSpPr>
            <xdr:cNvPr id="46" name="TextBox 45">
              <a:extLst>
                <a:ext uri="{FF2B5EF4-FFF2-40B4-BE49-F238E27FC236}">
                  <a16:creationId xmlns:a16="http://schemas.microsoft.com/office/drawing/2014/main" id="{686CDE6A-97FA-3A3B-8647-AB4ECCF313D1}"/>
                </a:ext>
              </a:extLst>
            </xdr:cNvPr>
            <xdr:cNvSpPr txBox="1"/>
          </xdr:nvSpPr>
          <xdr:spPr>
            <a:xfrm>
              <a:off x="13486855336" y="49740008"/>
              <a:ext cx="1718031"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d>
                      <m:dPr>
                        <m:ctrlPr>
                          <a:rPr lang="en-US" sz="1100" b="0" i="1">
                            <a:latin typeface="Cambria Math" panose="02040503050406030204" pitchFamily="18" charset="0"/>
                          </a:rPr>
                        </m:ctrlPr>
                      </m:dPr>
                      <m:e>
                        <m:r>
                          <a:rPr lang="en-US" sz="1100" b="0" i="1">
                            <a:latin typeface="Cambria Math" panose="02040503050406030204" pitchFamily="18" charset="0"/>
                          </a:rPr>
                          <m:t>1+5%</m:t>
                        </m:r>
                      </m:e>
                    </m:d>
                    <m:r>
                      <a:rPr lang="en-US" sz="1100" b="0" i="1">
                        <a:latin typeface="Cambria Math" panose="02040503050406030204" pitchFamily="18" charset="0"/>
                      </a:rPr>
                      <m:t>∗(1+5%)</m:t>
                    </m:r>
                  </m:oMath>
                </m:oMathPara>
              </a14:m>
              <a:endParaRPr lang="en-US" sz="1100"/>
            </a:p>
          </xdr:txBody>
        </xdr:sp>
      </mc:Choice>
      <mc:Fallback xmlns="">
        <xdr:sp macro="" textlink="">
          <xdr:nvSpPr>
            <xdr:cNvPr id="46" name="TextBox 45">
              <a:extLst>
                <a:ext uri="{FF2B5EF4-FFF2-40B4-BE49-F238E27FC236}">
                  <a16:creationId xmlns:a16="http://schemas.microsoft.com/office/drawing/2014/main" id="{686CDE6A-97FA-3A3B-8647-AB4ECCF313D1}"/>
                </a:ext>
              </a:extLst>
            </xdr:cNvPr>
            <xdr:cNvSpPr txBox="1"/>
          </xdr:nvSpPr>
          <xdr:spPr>
            <a:xfrm>
              <a:off x="13486855336" y="49740008"/>
              <a:ext cx="1718031"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(1+5%)∗(1+5%)</a:t>
              </a:r>
              <a:endParaRPr lang="en-US" sz="1100"/>
            </a:p>
          </xdr:txBody>
        </xdr:sp>
      </mc:Fallback>
    </mc:AlternateContent>
    <xdr:clientData/>
  </xdr:oneCellAnchor>
  <xdr:twoCellAnchor>
    <xdr:from>
      <xdr:col>8</xdr:col>
      <xdr:colOff>280688</xdr:colOff>
      <xdr:row>273</xdr:row>
      <xdr:rowOff>496957</xdr:rowOff>
    </xdr:from>
    <xdr:to>
      <xdr:col>12</xdr:col>
      <xdr:colOff>27609</xdr:colOff>
      <xdr:row>273</xdr:row>
      <xdr:rowOff>515363</xdr:rowOff>
    </xdr:to>
    <xdr:cxnSp macro="">
      <xdr:nvCxnSpPr>
        <xdr:cNvPr id="54" name="Straight Arrow Connector 53">
          <a:extLst>
            <a:ext uri="{FF2B5EF4-FFF2-40B4-BE49-F238E27FC236}">
              <a16:creationId xmlns:a16="http://schemas.microsoft.com/office/drawing/2014/main" id="{1066442A-43FF-102C-990F-DB475B5BB29E}"/>
            </a:ext>
          </a:extLst>
        </xdr:cNvPr>
        <xdr:cNvCxnSpPr/>
      </xdr:nvCxnSpPr>
      <xdr:spPr>
        <a:xfrm>
          <a:off x="13484924420" y="53123732"/>
          <a:ext cx="3041558" cy="1840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888079</xdr:colOff>
      <xdr:row>333</xdr:row>
      <xdr:rowOff>0</xdr:rowOff>
    </xdr:from>
    <xdr:ext cx="3197271" cy="324641"/>
    <mc:AlternateContent xmlns:mc="http://schemas.openxmlformats.org/markup-compatibility/2006" xmlns:a14="http://schemas.microsoft.com/office/drawing/2010/main">
      <mc:Choice Requires="a14">
        <xdr:sp macro="" textlink="">
          <xdr:nvSpPr>
            <xdr:cNvPr id="57" name="TextBox 56">
              <a:extLst>
                <a:ext uri="{FF2B5EF4-FFF2-40B4-BE49-F238E27FC236}">
                  <a16:creationId xmlns:a16="http://schemas.microsoft.com/office/drawing/2014/main" id="{1C7BA5E6-5D82-F040-AA24-C518FB9A7D47}"/>
                </a:ext>
              </a:extLst>
            </xdr:cNvPr>
            <xdr:cNvSpPr txBox="1"/>
          </xdr:nvSpPr>
          <xdr:spPr>
            <a:xfrm>
              <a:off x="13485873055" y="63909529"/>
              <a:ext cx="3197271"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1−</m:t>
                        </m:r>
                        <m:r>
                          <a:rPr lang="en-US" sz="1100" b="0" i="1">
                            <a:latin typeface="Cambria Math" panose="02040503050406030204" pitchFamily="18" charset="0"/>
                          </a:rPr>
                          <m:t>𝑑</m:t>
                        </m:r>
                      </m:den>
                    </m:f>
                    <m:r>
                      <a:rPr lang="en-US" sz="1100" b="0" i="1">
                        <a:latin typeface="Cambria Math" panose="02040503050406030204" pitchFamily="18" charset="0"/>
                      </a:rPr>
                      <m:t>−1</m:t>
                    </m:r>
                  </m:oMath>
                </m:oMathPara>
              </a14:m>
              <a:endParaRPr lang="en-US" sz="1100"/>
            </a:p>
          </xdr:txBody>
        </xdr:sp>
      </mc:Choice>
      <mc:Fallback xmlns="">
        <xdr:sp macro="" textlink="">
          <xdr:nvSpPr>
            <xdr:cNvPr id="57" name="TextBox 56">
              <a:extLst>
                <a:ext uri="{FF2B5EF4-FFF2-40B4-BE49-F238E27FC236}">
                  <a16:creationId xmlns:a16="http://schemas.microsoft.com/office/drawing/2014/main" id="{1C7BA5E6-5D82-F040-AA24-C518FB9A7D47}"/>
                </a:ext>
              </a:extLst>
            </xdr:cNvPr>
            <xdr:cNvSpPr txBox="1"/>
          </xdr:nvSpPr>
          <xdr:spPr>
            <a:xfrm>
              <a:off x="13485873055" y="63909529"/>
              <a:ext cx="3197271"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1/(1−𝑑)−1</a:t>
              </a:r>
              <a:endParaRPr lang="en-US" sz="1100"/>
            </a:p>
          </xdr:txBody>
        </xdr:sp>
      </mc:Fallback>
    </mc:AlternateContent>
    <xdr:clientData/>
  </xdr:oneCellAnchor>
  <xdr:twoCellAnchor editAs="oneCell">
    <xdr:from>
      <xdr:col>0</xdr:col>
      <xdr:colOff>0</xdr:colOff>
      <xdr:row>346</xdr:row>
      <xdr:rowOff>0</xdr:rowOff>
    </xdr:from>
    <xdr:to>
      <xdr:col>7</xdr:col>
      <xdr:colOff>394312</xdr:colOff>
      <xdr:row>355</xdr:row>
      <xdr:rowOff>82825</xdr:rowOff>
    </xdr:to>
    <xdr:pic>
      <xdr:nvPicPr>
        <xdr:cNvPr id="58" name="Picture 57">
          <a:extLst>
            <a:ext uri="{FF2B5EF4-FFF2-40B4-BE49-F238E27FC236}">
              <a16:creationId xmlns:a16="http://schemas.microsoft.com/office/drawing/2014/main" id="{0595BBD0-1D4B-23A1-4EBE-88A4F5F20148}"/>
            </a:ext>
          </a:extLst>
        </xdr:cNvPr>
        <xdr:cNvPicPr>
          <a:picLocks noChangeAspect="1"/>
        </xdr:cNvPicPr>
      </xdr:nvPicPr>
      <xdr:blipFill>
        <a:blip xmlns:r="http://schemas.openxmlformats.org/officeDocument/2006/relationships" r:embed="rId1"/>
        <a:stretch>
          <a:fillRect/>
        </a:stretch>
      </xdr:blipFill>
      <xdr:spPr>
        <a:xfrm>
          <a:off x="13488639262" y="66541558"/>
          <a:ext cx="6261100" cy="1905000"/>
        </a:xfrm>
        <a:prstGeom prst="rect">
          <a:avLst/>
        </a:prstGeom>
      </xdr:spPr>
    </xdr:pic>
    <xdr:clientData/>
  </xdr:twoCellAnchor>
  <xdr:twoCellAnchor>
    <xdr:from>
      <xdr:col>1</xdr:col>
      <xdr:colOff>48106</xdr:colOff>
      <xdr:row>358</xdr:row>
      <xdr:rowOff>112248</xdr:rowOff>
    </xdr:from>
    <xdr:to>
      <xdr:col>7</xdr:col>
      <xdr:colOff>125076</xdr:colOff>
      <xdr:row>358</xdr:row>
      <xdr:rowOff>112248</xdr:rowOff>
    </xdr:to>
    <xdr:cxnSp macro="">
      <xdr:nvCxnSpPr>
        <xdr:cNvPr id="60" name="Straight Arrow Connector 59">
          <a:extLst>
            <a:ext uri="{FF2B5EF4-FFF2-40B4-BE49-F238E27FC236}">
              <a16:creationId xmlns:a16="http://schemas.microsoft.com/office/drawing/2014/main" id="{EDDB9DEB-0763-3AA0-A670-6B2DC3031D71}"/>
            </a:ext>
          </a:extLst>
        </xdr:cNvPr>
        <xdr:cNvCxnSpPr/>
      </xdr:nvCxnSpPr>
      <xdr:spPr>
        <a:xfrm>
          <a:off x="13498079545" y="68929571"/>
          <a:ext cx="508641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371347</xdr:colOff>
      <xdr:row>365</xdr:row>
      <xdr:rowOff>140666</xdr:rowOff>
    </xdr:from>
    <xdr:ext cx="1956903" cy="316882"/>
    <mc:AlternateContent xmlns:mc="http://schemas.openxmlformats.org/markup-compatibility/2006" xmlns:a14="http://schemas.microsoft.com/office/drawing/2010/main">
      <mc:Choice Requires="a14">
        <xdr:sp macro="" textlink="">
          <xdr:nvSpPr>
            <xdr:cNvPr id="62" name="TextBox 61">
              <a:extLst>
                <a:ext uri="{FF2B5EF4-FFF2-40B4-BE49-F238E27FC236}">
                  <a16:creationId xmlns:a16="http://schemas.microsoft.com/office/drawing/2014/main" id="{4BAB994B-D7DB-EBC9-F6AE-C772CCC65425}"/>
                </a:ext>
              </a:extLst>
            </xdr:cNvPr>
            <xdr:cNvSpPr txBox="1"/>
          </xdr:nvSpPr>
          <xdr:spPr>
            <a:xfrm>
              <a:off x="13502825756" y="71089847"/>
              <a:ext cx="1956903"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100</m:t>
                        </m:r>
                      </m:num>
                      <m:den>
                        <m:r>
                          <a:rPr lang="en-US" sz="1100" b="0" i="1">
                            <a:latin typeface="Cambria Math" panose="02040503050406030204" pitchFamily="18" charset="0"/>
                          </a:rPr>
                          <m:t>70</m:t>
                        </m:r>
                      </m:den>
                    </m:f>
                    <m:r>
                      <a:rPr lang="en-US" sz="1100" b="0" i="1">
                        <a:latin typeface="Cambria Math" panose="02040503050406030204" pitchFamily="18" charset="0"/>
                      </a:rPr>
                      <m:t>−1=</m:t>
                    </m:r>
                  </m:oMath>
                </m:oMathPara>
              </a14:m>
              <a:endParaRPr lang="en-US" sz="1100"/>
            </a:p>
          </xdr:txBody>
        </xdr:sp>
      </mc:Choice>
      <mc:Fallback xmlns="">
        <xdr:sp macro="" textlink="">
          <xdr:nvSpPr>
            <xdr:cNvPr id="62" name="TextBox 61">
              <a:extLst>
                <a:ext uri="{FF2B5EF4-FFF2-40B4-BE49-F238E27FC236}">
                  <a16:creationId xmlns:a16="http://schemas.microsoft.com/office/drawing/2014/main" id="{4BAB994B-D7DB-EBC9-F6AE-C772CCC65425}"/>
                </a:ext>
              </a:extLst>
            </xdr:cNvPr>
            <xdr:cNvSpPr txBox="1"/>
          </xdr:nvSpPr>
          <xdr:spPr>
            <a:xfrm>
              <a:off x="13502825756" y="71089847"/>
              <a:ext cx="1956903"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𝑟_𝑒=100/70−1=</a:t>
              </a:r>
              <a:endParaRPr lang="en-US" sz="1100"/>
            </a:p>
          </xdr:txBody>
        </xdr:sp>
      </mc:Fallback>
    </mc:AlternateContent>
    <xdr:clientData/>
  </xdr:oneCellAnchor>
  <xdr:oneCellAnchor>
    <xdr:from>
      <xdr:col>3</xdr:col>
      <xdr:colOff>0</xdr:colOff>
      <xdr:row>372</xdr:row>
      <xdr:rowOff>204239</xdr:rowOff>
    </xdr:from>
    <xdr:ext cx="1700712" cy="173766"/>
    <mc:AlternateContent xmlns:mc="http://schemas.openxmlformats.org/markup-compatibility/2006" xmlns:a14="http://schemas.microsoft.com/office/drawing/2010/main">
      <mc:Choice Requires="a14">
        <xdr:sp macro="" textlink="">
          <xdr:nvSpPr>
            <xdr:cNvPr id="63" name="TextBox 62">
              <a:extLst>
                <a:ext uri="{FF2B5EF4-FFF2-40B4-BE49-F238E27FC236}">
                  <a16:creationId xmlns:a16="http://schemas.microsoft.com/office/drawing/2014/main" id="{AB82F1C3-E14C-3A42-B38B-B226354B7334}"/>
                </a:ext>
              </a:extLst>
            </xdr:cNvPr>
            <xdr:cNvSpPr txBox="1"/>
          </xdr:nvSpPr>
          <xdr:spPr>
            <a:xfrm>
              <a:off x="13502628908" y="72583099"/>
              <a:ext cx="1700712"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en-US"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63" name="TextBox 62">
              <a:extLst>
                <a:ext uri="{FF2B5EF4-FFF2-40B4-BE49-F238E27FC236}">
                  <a16:creationId xmlns:a16="http://schemas.microsoft.com/office/drawing/2014/main" id="{AB82F1C3-E14C-3A42-B38B-B226354B7334}"/>
                </a:ext>
              </a:extLst>
            </xdr:cNvPr>
            <xdr:cNvSpPr txBox="1"/>
          </xdr:nvSpPr>
          <xdr:spPr>
            <a:xfrm>
              <a:off x="13502628908" y="72583099"/>
              <a:ext cx="1700712"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𝑟)^𝑚−1</a:t>
              </a:r>
              <a:endParaRPr lang="en-US" sz="1100"/>
            </a:p>
          </xdr:txBody>
        </xdr:sp>
      </mc:Fallback>
    </mc:AlternateContent>
    <xdr:clientData/>
  </xdr:oneCellAnchor>
  <xdr:oneCellAnchor>
    <xdr:from>
      <xdr:col>2</xdr:col>
      <xdr:colOff>51989</xdr:colOff>
      <xdr:row>375</xdr:row>
      <xdr:rowOff>25993</xdr:rowOff>
    </xdr:from>
    <xdr:ext cx="3215800" cy="287964"/>
    <mc:AlternateContent xmlns:mc="http://schemas.openxmlformats.org/markup-compatibility/2006" xmlns:a14="http://schemas.microsoft.com/office/drawing/2010/main">
      <mc:Choice Requires="a14">
        <xdr:sp macro="" textlink="">
          <xdr:nvSpPr>
            <xdr:cNvPr id="64" name="TextBox 63">
              <a:extLst>
                <a:ext uri="{FF2B5EF4-FFF2-40B4-BE49-F238E27FC236}">
                  <a16:creationId xmlns:a16="http://schemas.microsoft.com/office/drawing/2014/main" id="{2176C1C4-7D43-8B84-9EEA-4BE532D77C37}"/>
                </a:ext>
              </a:extLst>
            </xdr:cNvPr>
            <xdr:cNvSpPr txBox="1"/>
          </xdr:nvSpPr>
          <xdr:spPr>
            <a:xfrm>
              <a:off x="13501886217" y="73017572"/>
              <a:ext cx="3215800" cy="2879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5</m:t>
                                </m:r>
                                <m:r>
                                  <a:rPr lang="en-US" sz="1100" b="0" i="1">
                                    <a:latin typeface="Cambria Math" panose="02040503050406030204" pitchFamily="18" charset="0"/>
                                  </a:rPr>
                                  <m:t>𝑦𝑒𝑎𝑟𝑠</m:t>
                                </m:r>
                              </m:sub>
                            </m:sSub>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5</m:t>
                            </m:r>
                          </m:den>
                        </m:f>
                      </m:sup>
                    </m:sSup>
                    <m:r>
                      <a:rPr lang="en-US" sz="1100" b="0" i="1">
                        <a:latin typeface="Cambria Math" panose="02040503050406030204" pitchFamily="18" charset="0"/>
                      </a:rPr>
                      <m:t>−1</m:t>
                    </m:r>
                  </m:oMath>
                </m:oMathPara>
              </a14:m>
              <a:endParaRPr lang="en-US" sz="1100"/>
            </a:p>
          </xdr:txBody>
        </xdr:sp>
      </mc:Choice>
      <mc:Fallback xmlns="">
        <xdr:sp macro="" textlink="">
          <xdr:nvSpPr>
            <xdr:cNvPr id="64" name="TextBox 63">
              <a:extLst>
                <a:ext uri="{FF2B5EF4-FFF2-40B4-BE49-F238E27FC236}">
                  <a16:creationId xmlns:a16="http://schemas.microsoft.com/office/drawing/2014/main" id="{2176C1C4-7D43-8B84-9EEA-4BE532D77C37}"/>
                </a:ext>
              </a:extLst>
            </xdr:cNvPr>
            <xdr:cNvSpPr txBox="1"/>
          </xdr:nvSpPr>
          <xdr:spPr>
            <a:xfrm>
              <a:off x="13501886217" y="73017572"/>
              <a:ext cx="3215800" cy="2879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(𝑎𝑛𝑛𝑢𝑎𝑙)=(1+𝑟_5𝑦𝑒𝑎𝑟𝑠 )^(1/5)−1</a:t>
              </a:r>
              <a:endParaRPr lang="en-US" sz="1100"/>
            </a:p>
          </xdr:txBody>
        </xdr:sp>
      </mc:Fallback>
    </mc:AlternateContent>
    <xdr:clientData/>
  </xdr:oneCellAnchor>
  <xdr:oneCellAnchor>
    <xdr:from>
      <xdr:col>1</xdr:col>
      <xdr:colOff>653568</xdr:colOff>
      <xdr:row>377</xdr:row>
      <xdr:rowOff>103976</xdr:rowOff>
    </xdr:from>
    <xdr:ext cx="3215800" cy="254493"/>
    <mc:AlternateContent xmlns:mc="http://schemas.openxmlformats.org/markup-compatibility/2006" xmlns:a14="http://schemas.microsoft.com/office/drawing/2010/main">
      <mc:Choice Requires="a14">
        <xdr:sp macro="" textlink="">
          <xdr:nvSpPr>
            <xdr:cNvPr id="65" name="TextBox 64">
              <a:extLst>
                <a:ext uri="{FF2B5EF4-FFF2-40B4-BE49-F238E27FC236}">
                  <a16:creationId xmlns:a16="http://schemas.microsoft.com/office/drawing/2014/main" id="{7BBAE992-2A35-8578-1E79-2D46925D5B94}"/>
                </a:ext>
              </a:extLst>
            </xdr:cNvPr>
            <xdr:cNvSpPr txBox="1"/>
          </xdr:nvSpPr>
          <xdr:spPr>
            <a:xfrm>
              <a:off x="13502109024" y="73504034"/>
              <a:ext cx="321580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1+42.86%</m:t>
                            </m:r>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5</m:t>
                            </m:r>
                          </m:den>
                        </m:f>
                      </m:sup>
                    </m:sSup>
                    <m:r>
                      <a:rPr lang="en-US" sz="1100" b="0" i="1">
                        <a:latin typeface="Cambria Math" panose="02040503050406030204" pitchFamily="18" charset="0"/>
                      </a:rPr>
                      <m:t>−1=</m:t>
                    </m:r>
                  </m:oMath>
                </m:oMathPara>
              </a14:m>
              <a:endParaRPr lang="en-US" sz="1100"/>
            </a:p>
          </xdr:txBody>
        </xdr:sp>
      </mc:Choice>
      <mc:Fallback xmlns="">
        <xdr:sp macro="" textlink="">
          <xdr:nvSpPr>
            <xdr:cNvPr id="65" name="TextBox 64">
              <a:extLst>
                <a:ext uri="{FF2B5EF4-FFF2-40B4-BE49-F238E27FC236}">
                  <a16:creationId xmlns:a16="http://schemas.microsoft.com/office/drawing/2014/main" id="{7BBAE992-2A35-8578-1E79-2D46925D5B94}"/>
                </a:ext>
              </a:extLst>
            </xdr:cNvPr>
            <xdr:cNvSpPr txBox="1"/>
          </xdr:nvSpPr>
          <xdr:spPr>
            <a:xfrm>
              <a:off x="13502109024" y="73504034"/>
              <a:ext cx="321580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(𝑎𝑛𝑛𝑢𝑎𝑙)=(1+42.86%)^(1/5)−1=</a:t>
              </a:r>
              <a:endParaRPr lang="en-US" sz="1100"/>
            </a:p>
          </xdr:txBody>
        </xdr:sp>
      </mc:Fallback>
    </mc:AlternateContent>
    <xdr:clientData/>
  </xdr:oneCellAnchor>
  <xdr:oneCellAnchor>
    <xdr:from>
      <xdr:col>3</xdr:col>
      <xdr:colOff>0</xdr:colOff>
      <xdr:row>381</xdr:row>
      <xdr:rowOff>204239</xdr:rowOff>
    </xdr:from>
    <xdr:ext cx="3197271" cy="324641"/>
    <mc:AlternateContent xmlns:mc="http://schemas.openxmlformats.org/markup-compatibility/2006" xmlns:a14="http://schemas.microsoft.com/office/drawing/2010/main">
      <mc:Choice Requires="a14">
        <xdr:sp macro="" textlink="">
          <xdr:nvSpPr>
            <xdr:cNvPr id="66" name="TextBox 65">
              <a:extLst>
                <a:ext uri="{FF2B5EF4-FFF2-40B4-BE49-F238E27FC236}">
                  <a16:creationId xmlns:a16="http://schemas.microsoft.com/office/drawing/2014/main" id="{9635C317-DFBA-0C47-88F2-EE4EA87F6F93}"/>
                </a:ext>
              </a:extLst>
            </xdr:cNvPr>
            <xdr:cNvSpPr txBox="1"/>
          </xdr:nvSpPr>
          <xdr:spPr>
            <a:xfrm>
              <a:off x="13501132349" y="74421257"/>
              <a:ext cx="3197271"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m:rPr>
                            <m:sty m:val="p"/>
                          </m:rPr>
                          <a:rPr lang="en-US" sz="1100" b="0" i="1">
                            <a:latin typeface="Cambria Math" panose="02040503050406030204" pitchFamily="18" charset="0"/>
                          </a:rPr>
                          <m:t>r</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1−</m:t>
                        </m:r>
                        <m:r>
                          <a:rPr lang="en-US" sz="1100" b="0" i="1">
                            <a:latin typeface="Cambria Math" panose="02040503050406030204" pitchFamily="18" charset="0"/>
                          </a:rPr>
                          <m:t>𝑑</m:t>
                        </m:r>
                      </m:den>
                    </m:f>
                    <m:r>
                      <a:rPr lang="en-US" sz="1100" b="0" i="1">
                        <a:latin typeface="Cambria Math" panose="02040503050406030204" pitchFamily="18" charset="0"/>
                      </a:rPr>
                      <m:t>−1</m:t>
                    </m:r>
                  </m:oMath>
                </m:oMathPara>
              </a14:m>
              <a:endParaRPr lang="en-US" sz="1100"/>
            </a:p>
          </xdr:txBody>
        </xdr:sp>
      </mc:Choice>
      <mc:Fallback xmlns="">
        <xdr:sp macro="" textlink="">
          <xdr:nvSpPr>
            <xdr:cNvPr id="66" name="TextBox 65">
              <a:extLst>
                <a:ext uri="{FF2B5EF4-FFF2-40B4-BE49-F238E27FC236}">
                  <a16:creationId xmlns:a16="http://schemas.microsoft.com/office/drawing/2014/main" id="{9635C317-DFBA-0C47-88F2-EE4EA87F6F93}"/>
                </a:ext>
              </a:extLst>
            </xdr:cNvPr>
            <xdr:cNvSpPr txBox="1"/>
          </xdr:nvSpPr>
          <xdr:spPr>
            <a:xfrm>
              <a:off x="13501132349" y="74421257"/>
              <a:ext cx="3197271"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r_𝑒=1/(1−𝑑)−1</a:t>
              </a:r>
              <a:endParaRPr lang="en-US" sz="1100"/>
            </a:p>
          </xdr:txBody>
        </xdr:sp>
      </mc:Fallback>
    </mc:AlternateContent>
    <xdr:clientData/>
  </xdr:oneCellAnchor>
  <xdr:oneCellAnchor>
    <xdr:from>
      <xdr:col>2</xdr:col>
      <xdr:colOff>720410</xdr:colOff>
      <xdr:row>383</xdr:row>
      <xdr:rowOff>174532</xdr:rowOff>
    </xdr:from>
    <xdr:ext cx="3197271" cy="324641"/>
    <mc:AlternateContent xmlns:mc="http://schemas.openxmlformats.org/markup-compatibility/2006" xmlns:a14="http://schemas.microsoft.com/office/drawing/2010/main">
      <mc:Choice Requires="a14">
        <xdr:sp macro="" textlink="">
          <xdr:nvSpPr>
            <xdr:cNvPr id="67" name="TextBox 66">
              <a:extLst>
                <a:ext uri="{FF2B5EF4-FFF2-40B4-BE49-F238E27FC236}">
                  <a16:creationId xmlns:a16="http://schemas.microsoft.com/office/drawing/2014/main" id="{C38FE8D5-B098-B3E2-2651-4B14462543DF}"/>
                </a:ext>
              </a:extLst>
            </xdr:cNvPr>
            <xdr:cNvSpPr txBox="1"/>
          </xdr:nvSpPr>
          <xdr:spPr>
            <a:xfrm>
              <a:off x="13501236325" y="74800029"/>
              <a:ext cx="3197271"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m:rPr>
                            <m:sty m:val="p"/>
                          </m:rPr>
                          <a:rPr lang="en-US" sz="1100" b="0" i="1">
                            <a:latin typeface="Cambria Math" panose="02040503050406030204" pitchFamily="18" charset="0"/>
                          </a:rPr>
                          <m:t>r</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1−30%</m:t>
                        </m:r>
                      </m:den>
                    </m:f>
                    <m:r>
                      <a:rPr lang="en-US" sz="1100" b="0" i="1">
                        <a:latin typeface="Cambria Math" panose="02040503050406030204" pitchFamily="18" charset="0"/>
                      </a:rPr>
                      <m:t>−1=42.86%</m:t>
                    </m:r>
                  </m:oMath>
                </m:oMathPara>
              </a14:m>
              <a:endParaRPr lang="en-US" sz="1100"/>
            </a:p>
          </xdr:txBody>
        </xdr:sp>
      </mc:Choice>
      <mc:Fallback xmlns="">
        <xdr:sp macro="" textlink="">
          <xdr:nvSpPr>
            <xdr:cNvPr id="67" name="TextBox 66">
              <a:extLst>
                <a:ext uri="{FF2B5EF4-FFF2-40B4-BE49-F238E27FC236}">
                  <a16:creationId xmlns:a16="http://schemas.microsoft.com/office/drawing/2014/main" id="{C38FE8D5-B098-B3E2-2651-4B14462543DF}"/>
                </a:ext>
              </a:extLst>
            </xdr:cNvPr>
            <xdr:cNvSpPr txBox="1"/>
          </xdr:nvSpPr>
          <xdr:spPr>
            <a:xfrm>
              <a:off x="13501236325" y="74800029"/>
              <a:ext cx="3197271"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r_𝑒=1/(1−30%)−1=42.86%</a:t>
              </a:r>
              <a:endParaRPr lang="en-US" sz="1100"/>
            </a:p>
          </xdr:txBody>
        </xdr:sp>
      </mc:Fallback>
    </mc:AlternateContent>
    <xdr:clientData/>
  </xdr:oneCellAnchor>
  <xdr:twoCellAnchor editAs="oneCell">
    <xdr:from>
      <xdr:col>0</xdr:col>
      <xdr:colOff>0</xdr:colOff>
      <xdr:row>388</xdr:row>
      <xdr:rowOff>0</xdr:rowOff>
    </xdr:from>
    <xdr:to>
      <xdr:col>7</xdr:col>
      <xdr:colOff>174618</xdr:colOff>
      <xdr:row>395</xdr:row>
      <xdr:rowOff>157823</xdr:rowOff>
    </xdr:to>
    <xdr:pic>
      <xdr:nvPicPr>
        <xdr:cNvPr id="68" name="Picture 67">
          <a:extLst>
            <a:ext uri="{FF2B5EF4-FFF2-40B4-BE49-F238E27FC236}">
              <a16:creationId xmlns:a16="http://schemas.microsoft.com/office/drawing/2014/main" id="{DDC30D08-F8D4-E50E-C247-558CC1ADDD3D}"/>
            </a:ext>
          </a:extLst>
        </xdr:cNvPr>
        <xdr:cNvPicPr>
          <a:picLocks noChangeAspect="1"/>
        </xdr:cNvPicPr>
      </xdr:nvPicPr>
      <xdr:blipFill>
        <a:blip xmlns:r="http://schemas.openxmlformats.org/officeDocument/2006/relationships" r:embed="rId2"/>
        <a:stretch>
          <a:fillRect/>
        </a:stretch>
      </xdr:blipFill>
      <xdr:spPr>
        <a:xfrm>
          <a:off x="13500757578" y="75646696"/>
          <a:ext cx="6045200" cy="1587500"/>
        </a:xfrm>
        <a:prstGeom prst="rect">
          <a:avLst/>
        </a:prstGeom>
      </xdr:spPr>
    </xdr:pic>
    <xdr:clientData/>
  </xdr:twoCellAnchor>
  <xdr:twoCellAnchor>
    <xdr:from>
      <xdr:col>1</xdr:col>
      <xdr:colOff>460468</xdr:colOff>
      <xdr:row>398</xdr:row>
      <xdr:rowOff>129970</xdr:rowOff>
    </xdr:from>
    <xdr:to>
      <xdr:col>7</xdr:col>
      <xdr:colOff>14854</xdr:colOff>
      <xdr:row>398</xdr:row>
      <xdr:rowOff>141111</xdr:rowOff>
    </xdr:to>
    <xdr:cxnSp macro="">
      <xdr:nvCxnSpPr>
        <xdr:cNvPr id="70" name="Straight Arrow Connector 69">
          <a:extLst>
            <a:ext uri="{FF2B5EF4-FFF2-40B4-BE49-F238E27FC236}">
              <a16:creationId xmlns:a16="http://schemas.microsoft.com/office/drawing/2014/main" id="{1F2F5C7F-BA81-E6DF-CC23-FC8838CCD381}"/>
            </a:ext>
          </a:extLst>
        </xdr:cNvPr>
        <xdr:cNvCxnSpPr/>
      </xdr:nvCxnSpPr>
      <xdr:spPr>
        <a:xfrm flipV="1">
          <a:off x="13500954094" y="77819064"/>
          <a:ext cx="4563830" cy="11141"/>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538450</xdr:colOff>
      <xdr:row>402</xdr:row>
      <xdr:rowOff>99816</xdr:rowOff>
    </xdr:from>
    <xdr:ext cx="3037519" cy="335926"/>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FF336FF3-2C96-222C-FF22-DF1A0B559689}"/>
                </a:ext>
              </a:extLst>
            </xdr:cNvPr>
            <xdr:cNvSpPr txBox="1"/>
          </xdr:nvSpPr>
          <xdr:spPr>
            <a:xfrm>
              <a:off x="13501578037" y="78605869"/>
              <a:ext cx="3037519" cy="335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2.5</m:t>
                        </m:r>
                        <m:r>
                          <a:rPr lang="en-US" sz="1100" b="0" i="1">
                            <a:latin typeface="Cambria Math" panose="02040503050406030204" pitchFamily="18" charset="0"/>
                          </a:rPr>
                          <m:t>𝑦𝑒𝑎𝑟𝑠</m:t>
                        </m:r>
                      </m:e>
                    </m:d>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112,000</m:t>
                        </m:r>
                      </m:num>
                      <m:den>
                        <m:r>
                          <a:rPr lang="en-US" sz="1100" b="0" i="1">
                            <a:latin typeface="Cambria Math" panose="02040503050406030204" pitchFamily="18" charset="0"/>
                          </a:rPr>
                          <m:t>100,000</m:t>
                        </m:r>
                      </m:den>
                    </m:f>
                    <m:r>
                      <a:rPr lang="en-US" sz="1100" b="0" i="1">
                        <a:latin typeface="Cambria Math" panose="02040503050406030204" pitchFamily="18" charset="0"/>
                      </a:rPr>
                      <m:t>−1=12%</m:t>
                    </m:r>
                  </m:oMath>
                </m:oMathPara>
              </a14:m>
              <a:endParaRPr lang="en-US" sz="1100"/>
            </a:p>
          </xdr:txBody>
        </xdr:sp>
      </mc:Choice>
      <mc:Fallback xmlns="">
        <xdr:sp macro="" textlink="">
          <xdr:nvSpPr>
            <xdr:cNvPr id="71" name="TextBox 70">
              <a:extLst>
                <a:ext uri="{FF2B5EF4-FFF2-40B4-BE49-F238E27FC236}">
                  <a16:creationId xmlns:a16="http://schemas.microsoft.com/office/drawing/2014/main" id="{FF336FF3-2C96-222C-FF22-DF1A0B559689}"/>
                </a:ext>
              </a:extLst>
            </xdr:cNvPr>
            <xdr:cNvSpPr txBox="1"/>
          </xdr:nvSpPr>
          <xdr:spPr>
            <a:xfrm>
              <a:off x="13501578037" y="78605869"/>
              <a:ext cx="3037519" cy="335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(2.5𝑦𝑒𝑎𝑟𝑠)=112,000/100,000−1=12%</a:t>
              </a:r>
              <a:endParaRPr lang="en-US" sz="1100"/>
            </a:p>
          </xdr:txBody>
        </xdr:sp>
      </mc:Fallback>
    </mc:AlternateContent>
    <xdr:clientData/>
  </xdr:oneCellAnchor>
  <xdr:oneCellAnchor>
    <xdr:from>
      <xdr:col>4</xdr:col>
      <xdr:colOff>303141</xdr:colOff>
      <xdr:row>411</xdr:row>
      <xdr:rowOff>93239</xdr:rowOff>
    </xdr:from>
    <xdr:ext cx="1700712" cy="173766"/>
    <mc:AlternateContent xmlns:mc="http://schemas.openxmlformats.org/markup-compatibility/2006" xmlns:a14="http://schemas.microsoft.com/office/drawing/2010/main">
      <mc:Choice Requires="a14">
        <xdr:sp macro="" textlink="">
          <xdr:nvSpPr>
            <xdr:cNvPr id="72" name="TextBox 71">
              <a:extLst>
                <a:ext uri="{FF2B5EF4-FFF2-40B4-BE49-F238E27FC236}">
                  <a16:creationId xmlns:a16="http://schemas.microsoft.com/office/drawing/2014/main" id="{4554243E-D1B9-4F4C-87A8-B0BA50D4E6B2}"/>
                </a:ext>
              </a:extLst>
            </xdr:cNvPr>
            <xdr:cNvSpPr txBox="1"/>
          </xdr:nvSpPr>
          <xdr:spPr>
            <a:xfrm>
              <a:off x="13501501381" y="64462186"/>
              <a:ext cx="1700712"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en-US"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72" name="TextBox 71">
              <a:extLst>
                <a:ext uri="{FF2B5EF4-FFF2-40B4-BE49-F238E27FC236}">
                  <a16:creationId xmlns:a16="http://schemas.microsoft.com/office/drawing/2014/main" id="{4554243E-D1B9-4F4C-87A8-B0BA50D4E6B2}"/>
                </a:ext>
              </a:extLst>
            </xdr:cNvPr>
            <xdr:cNvSpPr txBox="1"/>
          </xdr:nvSpPr>
          <xdr:spPr>
            <a:xfrm>
              <a:off x="13501501381" y="64462186"/>
              <a:ext cx="1700712"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𝑟)^𝑚−1</a:t>
              </a:r>
              <a:endParaRPr lang="en-US" sz="1100"/>
            </a:p>
          </xdr:txBody>
        </xdr:sp>
      </mc:Fallback>
    </mc:AlternateContent>
    <xdr:clientData/>
  </xdr:oneCellAnchor>
  <xdr:oneCellAnchor>
    <xdr:from>
      <xdr:col>1</xdr:col>
      <xdr:colOff>284181</xdr:colOff>
      <xdr:row>410</xdr:row>
      <xdr:rowOff>184210</xdr:rowOff>
    </xdr:from>
    <xdr:ext cx="1700712" cy="340158"/>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139BA275-BD19-F243-9D01-C6AC41F4D375}"/>
                </a:ext>
              </a:extLst>
            </xdr:cNvPr>
            <xdr:cNvSpPr txBox="1"/>
          </xdr:nvSpPr>
          <xdr:spPr>
            <a:xfrm>
              <a:off x="13503993499" y="79711461"/>
              <a:ext cx="1700712"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en-US"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𝑅</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73" name="TextBox 72">
              <a:extLst>
                <a:ext uri="{FF2B5EF4-FFF2-40B4-BE49-F238E27FC236}">
                  <a16:creationId xmlns:a16="http://schemas.microsoft.com/office/drawing/2014/main" id="{139BA275-BD19-F243-9D01-C6AC41F4D375}"/>
                </a:ext>
              </a:extLst>
            </xdr:cNvPr>
            <xdr:cNvSpPr txBox="1"/>
          </xdr:nvSpPr>
          <xdr:spPr>
            <a:xfrm>
              <a:off x="13503993499" y="79711461"/>
              <a:ext cx="1700712"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𝑅/𝑛)^𝑚−1</a:t>
              </a:r>
              <a:endParaRPr lang="en-US" sz="1100"/>
            </a:p>
          </xdr:txBody>
        </xdr:sp>
      </mc:Fallback>
    </mc:AlternateContent>
    <xdr:clientData/>
  </xdr:oneCellAnchor>
  <xdr:oneCellAnchor>
    <xdr:from>
      <xdr:col>6</xdr:col>
      <xdr:colOff>888079</xdr:colOff>
      <xdr:row>411</xdr:row>
      <xdr:rowOff>0</xdr:rowOff>
    </xdr:from>
    <xdr:ext cx="3197271" cy="324641"/>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39A26C2B-3404-A747-92A1-D0FE08FF87A9}"/>
                </a:ext>
              </a:extLst>
            </xdr:cNvPr>
            <xdr:cNvSpPr txBox="1"/>
          </xdr:nvSpPr>
          <xdr:spPr>
            <a:xfrm>
              <a:off x="13497771112" y="64368947"/>
              <a:ext cx="3197271"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1−</m:t>
                        </m:r>
                        <m:r>
                          <a:rPr lang="en-US" sz="1100" b="0" i="1">
                            <a:latin typeface="Cambria Math" panose="02040503050406030204" pitchFamily="18" charset="0"/>
                          </a:rPr>
                          <m:t>𝑑</m:t>
                        </m:r>
                      </m:den>
                    </m:f>
                    <m:r>
                      <a:rPr lang="en-US" sz="1100" b="0" i="1">
                        <a:latin typeface="Cambria Math" panose="02040503050406030204" pitchFamily="18" charset="0"/>
                      </a:rPr>
                      <m:t>−1</m:t>
                    </m:r>
                  </m:oMath>
                </m:oMathPara>
              </a14:m>
              <a:endParaRPr lang="en-US" sz="1100"/>
            </a:p>
          </xdr:txBody>
        </xdr:sp>
      </mc:Choice>
      <mc:Fallback xmlns="">
        <xdr:sp macro="" textlink="">
          <xdr:nvSpPr>
            <xdr:cNvPr id="74" name="TextBox 73">
              <a:extLst>
                <a:ext uri="{FF2B5EF4-FFF2-40B4-BE49-F238E27FC236}">
                  <a16:creationId xmlns:a16="http://schemas.microsoft.com/office/drawing/2014/main" id="{39A26C2B-3404-A747-92A1-D0FE08FF87A9}"/>
                </a:ext>
              </a:extLst>
            </xdr:cNvPr>
            <xdr:cNvSpPr txBox="1"/>
          </xdr:nvSpPr>
          <xdr:spPr>
            <a:xfrm>
              <a:off x="13497771112" y="64368947"/>
              <a:ext cx="3197271"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1/(1−𝑑)−1</a:t>
              </a:r>
              <a:endParaRPr lang="en-US" sz="1100"/>
            </a:p>
          </xdr:txBody>
        </xdr:sp>
      </mc:Fallback>
    </mc:AlternateContent>
    <xdr:clientData/>
  </xdr:oneCellAnchor>
  <xdr:twoCellAnchor>
    <xdr:from>
      <xdr:col>5</xdr:col>
      <xdr:colOff>329111</xdr:colOff>
      <xdr:row>412</xdr:row>
      <xdr:rowOff>62765</xdr:rowOff>
    </xdr:from>
    <xdr:to>
      <xdr:col>5</xdr:col>
      <xdr:colOff>334211</xdr:colOff>
      <xdr:row>413</xdr:row>
      <xdr:rowOff>189386</xdr:rowOff>
    </xdr:to>
    <xdr:cxnSp macro="">
      <xdr:nvCxnSpPr>
        <xdr:cNvPr id="76" name="Straight Arrow Connector 75">
          <a:extLst>
            <a:ext uri="{FF2B5EF4-FFF2-40B4-BE49-F238E27FC236}">
              <a16:creationId xmlns:a16="http://schemas.microsoft.com/office/drawing/2014/main" id="{5EA0633E-A4F5-6F25-08B5-B595E821FA64}"/>
            </a:ext>
          </a:extLst>
        </xdr:cNvPr>
        <xdr:cNvCxnSpPr>
          <a:stCxn id="72" idx="2"/>
        </xdr:cNvCxnSpPr>
      </xdr:nvCxnSpPr>
      <xdr:spPr>
        <a:xfrm flipH="1">
          <a:off x="13502346637" y="79998496"/>
          <a:ext cx="5100" cy="330861"/>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768685</xdr:colOff>
      <xdr:row>414</xdr:row>
      <xdr:rowOff>145227</xdr:rowOff>
    </xdr:from>
    <xdr:ext cx="2857947" cy="253403"/>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3B92FDB7-C4B1-680C-0E0D-58AC1911DB0E}"/>
                </a:ext>
              </a:extLst>
            </xdr:cNvPr>
            <xdr:cNvSpPr txBox="1"/>
          </xdr:nvSpPr>
          <xdr:spPr>
            <a:xfrm>
              <a:off x="13501527374" y="80489438"/>
              <a:ext cx="2857947" cy="2534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1+12%</m:t>
                            </m:r>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2.5</m:t>
                            </m:r>
                          </m:den>
                        </m:f>
                      </m:sup>
                    </m:sSup>
                    <m:r>
                      <a:rPr lang="en-US" sz="1100" b="0" i="1">
                        <a:latin typeface="Cambria Math" panose="02040503050406030204" pitchFamily="18" charset="0"/>
                      </a:rPr>
                      <m:t>−1=</m:t>
                    </m:r>
                  </m:oMath>
                </m:oMathPara>
              </a14:m>
              <a:endParaRPr lang="en-US" sz="1100"/>
            </a:p>
          </xdr:txBody>
        </xdr:sp>
      </mc:Choice>
      <mc:Fallback xmlns="">
        <xdr:sp macro="" textlink="">
          <xdr:nvSpPr>
            <xdr:cNvPr id="77" name="TextBox 76">
              <a:extLst>
                <a:ext uri="{FF2B5EF4-FFF2-40B4-BE49-F238E27FC236}">
                  <a16:creationId xmlns:a16="http://schemas.microsoft.com/office/drawing/2014/main" id="{3B92FDB7-C4B1-680C-0E0D-58AC1911DB0E}"/>
                </a:ext>
              </a:extLst>
            </xdr:cNvPr>
            <xdr:cNvSpPr txBox="1"/>
          </xdr:nvSpPr>
          <xdr:spPr>
            <a:xfrm>
              <a:off x="13501527374" y="80489438"/>
              <a:ext cx="2857947" cy="2534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(𝑎𝑛𝑛𝑢𝑎𝑙)=(1+12%)^(1/2.5)−1=</a:t>
              </a:r>
              <a:endParaRPr lang="en-US" sz="1100"/>
            </a:p>
          </xdr:txBody>
        </xdr:sp>
      </mc:Fallback>
    </mc:AlternateContent>
    <xdr:clientData/>
  </xdr:oneCellAnchor>
  <xdr:oneCellAnchor>
    <xdr:from>
      <xdr:col>1</xdr:col>
      <xdr:colOff>102091</xdr:colOff>
      <xdr:row>51</xdr:row>
      <xdr:rowOff>77588</xdr:rowOff>
    </xdr:from>
    <xdr:ext cx="2209676" cy="459678"/>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09E80B7E-E91B-2640-BE7F-461ACFD3D343}"/>
                </a:ext>
              </a:extLst>
            </xdr:cNvPr>
            <xdr:cNvSpPr txBox="1"/>
          </xdr:nvSpPr>
          <xdr:spPr>
            <a:xfrm>
              <a:off x="13511884825" y="10588778"/>
              <a:ext cx="2209676" cy="459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9" name="TextBox 8">
              <a:extLst>
                <a:ext uri="{FF2B5EF4-FFF2-40B4-BE49-F238E27FC236}">
                  <a16:creationId xmlns:a16="http://schemas.microsoft.com/office/drawing/2014/main" id="{09E80B7E-E91B-2640-BE7F-461ACFD3D343}"/>
                </a:ext>
              </a:extLst>
            </xdr:cNvPr>
            <xdr:cNvSpPr txBox="1"/>
          </xdr:nvSpPr>
          <xdr:spPr>
            <a:xfrm>
              <a:off x="13511884825" y="10588778"/>
              <a:ext cx="2209676" cy="459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𝑃𝑉=𝑃𝑀𝑇∗(1−1/(1+𝑟)^𝑛 )/𝑟</a:t>
              </a:r>
              <a:endParaRPr lang="en-US" sz="1100"/>
            </a:p>
          </xdr:txBody>
        </xdr:sp>
      </mc:Fallback>
    </mc:AlternateContent>
    <xdr:clientData/>
  </xdr:oneCellAnchor>
  <xdr:oneCellAnchor>
    <xdr:from>
      <xdr:col>0</xdr:col>
      <xdr:colOff>788135</xdr:colOff>
      <xdr:row>53</xdr:row>
      <xdr:rowOff>134759</xdr:rowOff>
    </xdr:from>
    <xdr:ext cx="2209676" cy="469359"/>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67A80464-A2F0-174F-B739-E3E2B6B6BC95}"/>
                </a:ext>
              </a:extLst>
            </xdr:cNvPr>
            <xdr:cNvSpPr txBox="1"/>
          </xdr:nvSpPr>
          <xdr:spPr>
            <a:xfrm>
              <a:off x="13512023668" y="11054309"/>
              <a:ext cx="2209676" cy="4693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4,000=</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0.5%</m:t>
                                    </m:r>
                                  </m:e>
                                </m:d>
                              </m:e>
                              <m:sup>
                                <m:r>
                                  <a:rPr lang="he-IL" sz="1100" b="0" i="1">
                                    <a:latin typeface="Cambria Math" panose="02040503050406030204" pitchFamily="18" charset="0"/>
                                  </a:rPr>
                                  <m:t>60</m:t>
                                </m:r>
                              </m:sup>
                            </m:sSup>
                          </m:den>
                        </m:f>
                      </m:num>
                      <m:den>
                        <m:r>
                          <a:rPr lang="he-IL" sz="1100" b="0" i="1">
                            <a:latin typeface="Cambria Math" panose="02040503050406030204" pitchFamily="18" charset="0"/>
                          </a:rPr>
                          <m:t>0.5%</m:t>
                        </m:r>
                      </m:den>
                    </m:f>
                  </m:oMath>
                </m:oMathPara>
              </a14:m>
              <a:endParaRPr lang="en-US" sz="1100"/>
            </a:p>
          </xdr:txBody>
        </xdr:sp>
      </mc:Choice>
      <mc:Fallback xmlns="">
        <xdr:sp macro="" textlink="">
          <xdr:nvSpPr>
            <xdr:cNvPr id="12" name="TextBox 11">
              <a:extLst>
                <a:ext uri="{FF2B5EF4-FFF2-40B4-BE49-F238E27FC236}">
                  <a16:creationId xmlns:a16="http://schemas.microsoft.com/office/drawing/2014/main" id="{67A80464-A2F0-174F-B739-E3E2B6B6BC95}"/>
                </a:ext>
              </a:extLst>
            </xdr:cNvPr>
            <xdr:cNvSpPr txBox="1"/>
          </xdr:nvSpPr>
          <xdr:spPr>
            <a:xfrm>
              <a:off x="13512023668" y="11054309"/>
              <a:ext cx="2209676" cy="4693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4,000=𝑃𝑀𝑇∗(1−1/(1+</a:t>
              </a:r>
              <a:r>
                <a:rPr lang="he-IL" sz="1100" b="0" i="0">
                  <a:latin typeface="Cambria Math" panose="02040503050406030204" pitchFamily="18" charset="0"/>
                </a:rPr>
                <a:t>0.5%</a:t>
              </a:r>
              <a:r>
                <a:rPr lang="en-US" sz="1100" b="0" i="0">
                  <a:latin typeface="Cambria Math" panose="02040503050406030204" pitchFamily="18" charset="0"/>
                </a:rPr>
                <a:t>)^</a:t>
              </a:r>
              <a:r>
                <a:rPr lang="he-IL" sz="1100" b="0" i="0">
                  <a:latin typeface="Cambria Math" panose="02040503050406030204" pitchFamily="18" charset="0"/>
                </a:rPr>
                <a:t>60</a:t>
              </a:r>
              <a:r>
                <a:rPr lang="en-US" sz="1100" b="0" i="0">
                  <a:latin typeface="Cambria Math" panose="02040503050406030204" pitchFamily="18" charset="0"/>
                </a:rPr>
                <a:t> )/(</a:t>
              </a:r>
              <a:r>
                <a:rPr lang="he-IL" sz="1100" b="0" i="0">
                  <a:latin typeface="Cambria Math" panose="02040503050406030204" pitchFamily="18" charset="0"/>
                </a:rPr>
                <a:t>0.5%</a:t>
              </a:r>
              <a:r>
                <a:rPr lang="en-US" sz="1100" b="0" i="0">
                  <a:latin typeface="Cambria Math" panose="02040503050406030204" pitchFamily="18" charset="0"/>
                </a:rPr>
                <a:t>)</a:t>
              </a:r>
              <a:endParaRPr lang="en-US" sz="1100"/>
            </a:p>
          </xdr:txBody>
        </xdr:sp>
      </mc:Fallback>
    </mc:AlternateContent>
    <xdr:clientData/>
  </xdr:oneCellAnchor>
  <xdr:oneCellAnchor>
    <xdr:from>
      <xdr:col>7</xdr:col>
      <xdr:colOff>659191</xdr:colOff>
      <xdr:row>221</xdr:row>
      <xdr:rowOff>180824</xdr:rowOff>
    </xdr:from>
    <xdr:ext cx="4003523" cy="403957"/>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B953AF9F-D446-BE23-31B3-34E6AFEBEA8F}"/>
                </a:ext>
              </a:extLst>
            </xdr:cNvPr>
            <xdr:cNvSpPr txBox="1"/>
          </xdr:nvSpPr>
          <xdr:spPr>
            <a:xfrm>
              <a:off x="13564071714" y="45949205"/>
              <a:ext cx="4003523" cy="403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he-IL" sz="1100" b="0" i="1">
                            <a:latin typeface="Cambria Math" panose="02040503050406030204" pitchFamily="18" charset="0"/>
                          </a:rPr>
                          <m:t>עסקה</m:t>
                        </m:r>
                        <m:r>
                          <a:rPr lang="he-IL" sz="1100" b="0" i="1">
                            <a:latin typeface="Cambria Math" panose="02040503050406030204" pitchFamily="18" charset="0"/>
                          </a:rPr>
                          <m:t> </m:t>
                        </m:r>
                        <m:r>
                          <a:rPr lang="he-IL" sz="1100" b="0" i="1">
                            <a:latin typeface="Cambria Math" panose="02040503050406030204" pitchFamily="18" charset="0"/>
                          </a:rPr>
                          <m:t>תקופת</m:t>
                        </m:r>
                      </m:e>
                    </m:d>
                    <m:r>
                      <a:rPr lang="he-IL" sz="1100" b="0" i="1">
                        <a:latin typeface="Cambria Math" panose="02040503050406030204" pitchFamily="18" charset="0"/>
                      </a:rPr>
                      <m:t>=</m:t>
                    </m:r>
                    <m:f>
                      <m:fPr>
                        <m:ctrlPr>
                          <a:rPr lang="he-IL" sz="1100" b="0" i="1">
                            <a:latin typeface="Cambria Math" panose="02040503050406030204" pitchFamily="18" charset="0"/>
                          </a:rPr>
                        </m:ctrlPr>
                      </m:fPr>
                      <m:num>
                        <m:r>
                          <a:rPr lang="he-IL" sz="1100" b="0" i="1">
                            <a:latin typeface="Cambria Math" panose="02040503050406030204" pitchFamily="18" charset="0"/>
                          </a:rPr>
                          <m:t>בש״ח</m:t>
                        </m:r>
                        <m:r>
                          <a:rPr lang="he-IL" sz="1100" b="0" i="1">
                            <a:latin typeface="Cambria Math" panose="02040503050406030204" pitchFamily="18" charset="0"/>
                          </a:rPr>
                          <m:t> </m:t>
                        </m:r>
                        <m:r>
                          <a:rPr lang="he-IL" sz="1100" b="0" i="1">
                            <a:latin typeface="Cambria Math" panose="02040503050406030204" pitchFamily="18" charset="0"/>
                          </a:rPr>
                          <m:t>ריבית</m:t>
                        </m:r>
                      </m:num>
                      <m:den>
                        <m:r>
                          <a:rPr lang="he-IL" sz="1100" b="0" i="1">
                            <a:latin typeface="Cambria Math" panose="02040503050406030204" pitchFamily="18" charset="0"/>
                          </a:rPr>
                          <m:t>בש״ח</m:t>
                        </m:r>
                        <m:r>
                          <a:rPr lang="he-IL" sz="1100" b="0" i="1">
                            <a:latin typeface="Cambria Math" panose="02040503050406030204" pitchFamily="18" charset="0"/>
                          </a:rPr>
                          <m:t> </m:t>
                        </m:r>
                        <m:r>
                          <a:rPr lang="he-IL" sz="1100" b="0" i="1">
                            <a:latin typeface="Cambria Math" panose="02040503050406030204" pitchFamily="18" charset="0"/>
                          </a:rPr>
                          <m:t>קרן</m:t>
                        </m:r>
                      </m:den>
                    </m:f>
                  </m:oMath>
                </m:oMathPara>
              </a14:m>
              <a:endParaRPr lang="en-US" sz="1100"/>
            </a:p>
          </xdr:txBody>
        </xdr:sp>
      </mc:Choice>
      <mc:Fallback xmlns="">
        <xdr:sp macro="" textlink="">
          <xdr:nvSpPr>
            <xdr:cNvPr id="28" name="TextBox 27">
              <a:extLst>
                <a:ext uri="{FF2B5EF4-FFF2-40B4-BE49-F238E27FC236}">
                  <a16:creationId xmlns:a16="http://schemas.microsoft.com/office/drawing/2014/main" id="{B953AF9F-D446-BE23-31B3-34E6AFEBEA8F}"/>
                </a:ext>
              </a:extLst>
            </xdr:cNvPr>
            <xdr:cNvSpPr txBox="1"/>
          </xdr:nvSpPr>
          <xdr:spPr>
            <a:xfrm>
              <a:off x="13564071714" y="45949205"/>
              <a:ext cx="4003523" cy="403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a:t>
              </a:r>
              <a:r>
                <a:rPr lang="he-IL" sz="1100" b="0" i="0">
                  <a:latin typeface="Cambria Math" panose="02040503050406030204" pitchFamily="18" charset="0"/>
                </a:rPr>
                <a:t>עסקה תקופת)=(בש״ח ריבית)/(בש״ח קרן)</a:t>
              </a:r>
              <a:endParaRPr lang="en-US" sz="1100"/>
            </a:p>
          </xdr:txBody>
        </xdr:sp>
      </mc:Fallback>
    </mc:AlternateContent>
    <xdr:clientData/>
  </xdr:oneCellAnchor>
  <xdr:oneCellAnchor>
    <xdr:from>
      <xdr:col>7</xdr:col>
      <xdr:colOff>562429</xdr:colOff>
      <xdr:row>226</xdr:row>
      <xdr:rowOff>17539</xdr:rowOff>
    </xdr:from>
    <xdr:ext cx="4003523" cy="335926"/>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96805893-3FF1-3B8C-A3C3-13B1FFD45257}"/>
                </a:ext>
              </a:extLst>
            </xdr:cNvPr>
            <xdr:cNvSpPr txBox="1"/>
          </xdr:nvSpPr>
          <xdr:spPr>
            <a:xfrm>
              <a:off x="13564168476" y="46814015"/>
              <a:ext cx="4003523" cy="335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3</m:t>
                        </m:r>
                        <m:r>
                          <a:rPr lang="en-US" sz="1100" b="0" i="1">
                            <a:latin typeface="Cambria Math" panose="02040503050406030204" pitchFamily="18" charset="0"/>
                          </a:rPr>
                          <m:t>𝑚𝑜𝑛𝑡h𝑠</m:t>
                        </m:r>
                      </m:e>
                    </m:d>
                    <m:r>
                      <a:rPr lang="he-IL" sz="1100" b="0" i="1">
                        <a:latin typeface="Cambria Math" panose="02040503050406030204" pitchFamily="18" charset="0"/>
                      </a:rPr>
                      <m:t>=</m:t>
                    </m:r>
                    <m:f>
                      <m:fPr>
                        <m:ctrlPr>
                          <a:rPr lang="he-IL" sz="1100" b="0" i="1">
                            <a:latin typeface="Cambria Math" panose="02040503050406030204" pitchFamily="18" charset="0"/>
                          </a:rPr>
                        </m:ctrlPr>
                      </m:fPr>
                      <m:num>
                        <m:r>
                          <a:rPr lang="he-IL" sz="1100" b="0" i="1">
                            <a:latin typeface="Cambria Math" panose="02040503050406030204" pitchFamily="18" charset="0"/>
                          </a:rPr>
                          <m:t>1,200−1,000</m:t>
                        </m:r>
                      </m:num>
                      <m:den>
                        <m:r>
                          <a:rPr lang="he-IL" sz="1100" b="0" i="1">
                            <a:latin typeface="Cambria Math" panose="02040503050406030204" pitchFamily="18" charset="0"/>
                          </a:rPr>
                          <m:t>1,000</m:t>
                        </m:r>
                      </m:den>
                    </m:f>
                    <m:r>
                      <a:rPr lang="he-IL" sz="1100" b="0" i="1">
                        <a:latin typeface="Cambria Math" panose="02040503050406030204" pitchFamily="18" charset="0"/>
                      </a:rPr>
                      <m:t>=20%</m:t>
                    </m:r>
                  </m:oMath>
                </m:oMathPara>
              </a14:m>
              <a:endParaRPr lang="en-US" sz="1100"/>
            </a:p>
          </xdr:txBody>
        </xdr:sp>
      </mc:Choice>
      <mc:Fallback xmlns="">
        <xdr:sp macro="" textlink="">
          <xdr:nvSpPr>
            <xdr:cNvPr id="29" name="TextBox 28">
              <a:extLst>
                <a:ext uri="{FF2B5EF4-FFF2-40B4-BE49-F238E27FC236}">
                  <a16:creationId xmlns:a16="http://schemas.microsoft.com/office/drawing/2014/main" id="{96805893-3FF1-3B8C-A3C3-13B1FFD45257}"/>
                </a:ext>
              </a:extLst>
            </xdr:cNvPr>
            <xdr:cNvSpPr txBox="1"/>
          </xdr:nvSpPr>
          <xdr:spPr>
            <a:xfrm>
              <a:off x="13564168476" y="46814015"/>
              <a:ext cx="4003523" cy="335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(3𝑚𝑜𝑛𝑡ℎ𝑠</a:t>
              </a:r>
              <a:r>
                <a:rPr lang="he-IL" sz="1100" b="0" i="0">
                  <a:latin typeface="Cambria Math" panose="02040503050406030204" pitchFamily="18" charset="0"/>
                </a:rPr>
                <a:t>)=(1,200−1,000)/1,000=20%</a:t>
              </a:r>
              <a:endParaRPr lang="en-US" sz="1100"/>
            </a:p>
          </xdr:txBody>
        </xdr:sp>
      </mc:Fallback>
    </mc:AlternateContent>
    <xdr:clientData/>
  </xdr:oneCellAnchor>
  <xdr:oneCellAnchor>
    <xdr:from>
      <xdr:col>8</xdr:col>
      <xdr:colOff>6049</xdr:colOff>
      <xdr:row>231</xdr:row>
      <xdr:rowOff>11492</xdr:rowOff>
    </xdr:from>
    <xdr:ext cx="4003523" cy="33592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3DE4E677-02B0-5A51-171E-ADE5A530ECE7}"/>
                </a:ext>
              </a:extLst>
            </xdr:cNvPr>
            <xdr:cNvSpPr txBox="1"/>
          </xdr:nvSpPr>
          <xdr:spPr>
            <a:xfrm>
              <a:off x="13563896333" y="47836063"/>
              <a:ext cx="4003523" cy="335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3</m:t>
                        </m:r>
                        <m:r>
                          <a:rPr lang="en-US" sz="1100" b="0" i="1">
                            <a:latin typeface="Cambria Math" panose="02040503050406030204" pitchFamily="18" charset="0"/>
                          </a:rPr>
                          <m:t>𝑚𝑜𝑛𝑡h𝑠</m:t>
                        </m:r>
                      </m:e>
                    </m:d>
                    <m:r>
                      <a:rPr lang="he-IL" sz="1100" b="0" i="1">
                        <a:latin typeface="Cambria Math" panose="02040503050406030204" pitchFamily="18" charset="0"/>
                      </a:rPr>
                      <m:t>=</m:t>
                    </m:r>
                    <m:f>
                      <m:fPr>
                        <m:ctrlPr>
                          <a:rPr lang="he-IL" sz="1100" b="0" i="1">
                            <a:latin typeface="Cambria Math" panose="02040503050406030204" pitchFamily="18" charset="0"/>
                          </a:rPr>
                        </m:ctrlPr>
                      </m:fPr>
                      <m:num>
                        <m:r>
                          <a:rPr lang="he-IL" sz="1100" b="0" i="1">
                            <a:latin typeface="Cambria Math" panose="02040503050406030204" pitchFamily="18" charset="0"/>
                          </a:rPr>
                          <m:t>1,200</m:t>
                        </m:r>
                      </m:num>
                      <m:den>
                        <m:r>
                          <a:rPr lang="he-IL" sz="1100" b="0" i="1">
                            <a:latin typeface="Cambria Math" panose="02040503050406030204" pitchFamily="18" charset="0"/>
                          </a:rPr>
                          <m:t>1,000</m:t>
                        </m:r>
                      </m:den>
                    </m:f>
                    <m:r>
                      <a:rPr lang="he-IL" sz="1100" b="0" i="1">
                        <a:latin typeface="Cambria Math" panose="02040503050406030204" pitchFamily="18" charset="0"/>
                      </a:rPr>
                      <m:t>−1=</m:t>
                    </m:r>
                    <m:r>
                      <a:rPr lang="he-IL" sz="1100" b="0" i="0">
                        <a:latin typeface="Cambria Math" panose="02040503050406030204" pitchFamily="18" charset="0"/>
                      </a:rPr>
                      <m:t>20%</m:t>
                    </m:r>
                  </m:oMath>
                </m:oMathPara>
              </a14:m>
              <a:endParaRPr lang="en-US" sz="1100"/>
            </a:p>
          </xdr:txBody>
        </xdr:sp>
      </mc:Choice>
      <mc:Fallback xmlns="">
        <xdr:sp macro="" textlink="">
          <xdr:nvSpPr>
            <xdr:cNvPr id="30" name="TextBox 29">
              <a:extLst>
                <a:ext uri="{FF2B5EF4-FFF2-40B4-BE49-F238E27FC236}">
                  <a16:creationId xmlns:a16="http://schemas.microsoft.com/office/drawing/2014/main" id="{3DE4E677-02B0-5A51-171E-ADE5A530ECE7}"/>
                </a:ext>
              </a:extLst>
            </xdr:cNvPr>
            <xdr:cNvSpPr txBox="1"/>
          </xdr:nvSpPr>
          <xdr:spPr>
            <a:xfrm>
              <a:off x="13563896333" y="47836063"/>
              <a:ext cx="4003523" cy="335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(3𝑚𝑜𝑛𝑡ℎ𝑠</a:t>
              </a:r>
              <a:r>
                <a:rPr lang="he-IL" sz="1100" b="0" i="0">
                  <a:latin typeface="Cambria Math" panose="02040503050406030204" pitchFamily="18" charset="0"/>
                </a:rPr>
                <a:t>)=1,200/1,000−1=20%</a:t>
              </a:r>
              <a:endParaRPr lang="en-US" sz="1100"/>
            </a:p>
          </xdr:txBody>
        </xdr:sp>
      </mc:Fallback>
    </mc:AlternateContent>
    <xdr:clientData/>
  </xdr:oneCellAnchor>
  <xdr:twoCellAnchor>
    <xdr:from>
      <xdr:col>9</xdr:col>
      <xdr:colOff>822476</xdr:colOff>
      <xdr:row>233</xdr:row>
      <xdr:rowOff>18142</xdr:rowOff>
    </xdr:from>
    <xdr:to>
      <xdr:col>10</xdr:col>
      <xdr:colOff>108857</xdr:colOff>
      <xdr:row>234</xdr:row>
      <xdr:rowOff>42333</xdr:rowOff>
    </xdr:to>
    <xdr:sp macro="" textlink="">
      <xdr:nvSpPr>
        <xdr:cNvPr id="31" name="Down Arrow 30">
          <a:extLst>
            <a:ext uri="{FF2B5EF4-FFF2-40B4-BE49-F238E27FC236}">
              <a16:creationId xmlns:a16="http://schemas.microsoft.com/office/drawing/2014/main" id="{121917BB-9D29-84DA-53A4-E0646ED267C3}"/>
            </a:ext>
          </a:extLst>
        </xdr:cNvPr>
        <xdr:cNvSpPr/>
      </xdr:nvSpPr>
      <xdr:spPr>
        <a:xfrm>
          <a:off x="13566140000" y="48253952"/>
          <a:ext cx="114905" cy="22981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8</xdr:col>
      <xdr:colOff>72573</xdr:colOff>
      <xdr:row>237</xdr:row>
      <xdr:rowOff>5444</xdr:rowOff>
    </xdr:from>
    <xdr:ext cx="4003523" cy="227178"/>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7F3EA370-B7FB-7549-3BAD-EE5CB5878FF6}"/>
                </a:ext>
              </a:extLst>
            </xdr:cNvPr>
            <xdr:cNvSpPr txBox="1"/>
          </xdr:nvSpPr>
          <xdr:spPr>
            <a:xfrm>
              <a:off x="13563829809" y="49063730"/>
              <a:ext cx="4003523" cy="2271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d>
                                  <m:dPr>
                                    <m:ctrlPr>
                                      <a:rPr lang="en-US" sz="1100" b="0" i="1">
                                        <a:latin typeface="Cambria Math" panose="02040503050406030204" pitchFamily="18" charset="0"/>
                                      </a:rPr>
                                    </m:ctrlPr>
                                  </m:dPr>
                                  <m:e>
                                    <m:r>
                                      <a:rPr lang="en-US" sz="1100" b="0" i="1">
                                        <a:latin typeface="Cambria Math" panose="02040503050406030204" pitchFamily="18" charset="0"/>
                                      </a:rPr>
                                      <m:t>𝑞𝑢𝑎𝑟𝑡𝑒𝑟</m:t>
                                    </m:r>
                                  </m:e>
                                </m:d>
                              </m:sub>
                            </m:sSub>
                          </m:e>
                        </m:d>
                      </m:e>
                      <m:sup>
                        <m:r>
                          <a:rPr lang="en-US" sz="1100" b="0" i="1">
                            <a:latin typeface="Cambria Math" panose="02040503050406030204" pitchFamily="18" charset="0"/>
                          </a:rPr>
                          <m:t>4</m:t>
                        </m:r>
                      </m:sup>
                    </m:sSup>
                    <m:r>
                      <a:rPr lang="en-US" sz="1100" b="0" i="1">
                        <a:latin typeface="Cambria Math" panose="02040503050406030204" pitchFamily="18" charset="0"/>
                      </a:rPr>
                      <m:t>−1</m:t>
                    </m:r>
                  </m:oMath>
                </m:oMathPara>
              </a14:m>
              <a:endParaRPr lang="en-US" sz="1100"/>
            </a:p>
          </xdr:txBody>
        </xdr:sp>
      </mc:Choice>
      <mc:Fallback xmlns="">
        <xdr:sp macro="" textlink="">
          <xdr:nvSpPr>
            <xdr:cNvPr id="32" name="TextBox 31">
              <a:extLst>
                <a:ext uri="{FF2B5EF4-FFF2-40B4-BE49-F238E27FC236}">
                  <a16:creationId xmlns:a16="http://schemas.microsoft.com/office/drawing/2014/main" id="{7F3EA370-B7FB-7549-3BAD-EE5CB5878FF6}"/>
                </a:ext>
              </a:extLst>
            </xdr:cNvPr>
            <xdr:cNvSpPr txBox="1"/>
          </xdr:nvSpPr>
          <xdr:spPr>
            <a:xfrm>
              <a:off x="13563829809" y="49063730"/>
              <a:ext cx="4003523" cy="2271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(𝑎𝑛𝑛𝑢𝑎𝑙)=(1+𝑟_𝑒(𝑞𝑢𝑎𝑟𝑡𝑒𝑟)  )^4−1</a:t>
              </a:r>
              <a:endParaRPr lang="en-US" sz="1100"/>
            </a:p>
          </xdr:txBody>
        </xdr:sp>
      </mc:Fallback>
    </mc:AlternateContent>
    <xdr:clientData/>
  </xdr:oneCellAnchor>
  <xdr:oneCellAnchor>
    <xdr:from>
      <xdr:col>8</xdr:col>
      <xdr:colOff>108858</xdr:colOff>
      <xdr:row>238</xdr:row>
      <xdr:rowOff>150587</xdr:rowOff>
    </xdr:from>
    <xdr:ext cx="4003523" cy="176523"/>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6286849C-0EB7-36CE-45ED-A3509052EEA1}"/>
                </a:ext>
              </a:extLst>
            </xdr:cNvPr>
            <xdr:cNvSpPr txBox="1"/>
          </xdr:nvSpPr>
          <xdr:spPr>
            <a:xfrm>
              <a:off x="13563793524" y="49414492"/>
              <a:ext cx="4003523" cy="1765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1+20%</m:t>
                            </m:r>
                          </m:e>
                        </m:d>
                      </m:e>
                      <m:sup>
                        <m:r>
                          <a:rPr lang="en-US" sz="1100" b="0" i="1">
                            <a:latin typeface="Cambria Math" panose="02040503050406030204" pitchFamily="18" charset="0"/>
                          </a:rPr>
                          <m:t>4</m:t>
                        </m:r>
                      </m:sup>
                    </m:sSup>
                    <m:r>
                      <a:rPr lang="en-US" sz="1100" b="0" i="1">
                        <a:latin typeface="Cambria Math" panose="02040503050406030204" pitchFamily="18" charset="0"/>
                      </a:rPr>
                      <m:t>−1=107.36%</m:t>
                    </m:r>
                  </m:oMath>
                </m:oMathPara>
              </a14:m>
              <a:endParaRPr lang="en-US" sz="1100"/>
            </a:p>
          </xdr:txBody>
        </xdr:sp>
      </mc:Choice>
      <mc:Fallback xmlns="">
        <xdr:sp macro="" textlink="">
          <xdr:nvSpPr>
            <xdr:cNvPr id="33" name="TextBox 32">
              <a:extLst>
                <a:ext uri="{FF2B5EF4-FFF2-40B4-BE49-F238E27FC236}">
                  <a16:creationId xmlns:a16="http://schemas.microsoft.com/office/drawing/2014/main" id="{6286849C-0EB7-36CE-45ED-A3509052EEA1}"/>
                </a:ext>
              </a:extLst>
            </xdr:cNvPr>
            <xdr:cNvSpPr txBox="1"/>
          </xdr:nvSpPr>
          <xdr:spPr>
            <a:xfrm>
              <a:off x="13563793524" y="49414492"/>
              <a:ext cx="4003523" cy="1765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(𝑎𝑛𝑛𝑢𝑎𝑙)=(1+20%)^4−1=107.36%</a:t>
              </a:r>
              <a:endParaRPr lang="en-US" sz="1100"/>
            </a:p>
          </xdr:txBody>
        </xdr:sp>
      </mc:Fallback>
    </mc:AlternateContent>
    <xdr:clientData/>
  </xdr:oneCellAnchor>
  <xdr:oneCellAnchor>
    <xdr:from>
      <xdr:col>9</xdr:col>
      <xdr:colOff>789151</xdr:colOff>
      <xdr:row>265</xdr:row>
      <xdr:rowOff>120165</xdr:rowOff>
    </xdr:from>
    <xdr:ext cx="1718031" cy="327077"/>
    <mc:AlternateContent xmlns:mc="http://schemas.openxmlformats.org/markup-compatibility/2006" xmlns:a14="http://schemas.microsoft.com/office/drawing/2010/main">
      <mc:Choice Requires="a14">
        <xdr:sp macro="" textlink="">
          <xdr:nvSpPr>
            <xdr:cNvPr id="37" name="TextBox 36">
              <a:extLst>
                <a:ext uri="{FF2B5EF4-FFF2-40B4-BE49-F238E27FC236}">
                  <a16:creationId xmlns:a16="http://schemas.microsoft.com/office/drawing/2014/main" id="{AD38D62A-126C-0D9C-C73D-EA09F469B310}"/>
                </a:ext>
              </a:extLst>
            </xdr:cNvPr>
            <xdr:cNvSpPr txBox="1"/>
          </xdr:nvSpPr>
          <xdr:spPr>
            <a:xfrm>
              <a:off x="13515055318" y="55095290"/>
              <a:ext cx="1718031" cy="3270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f>
                      <m:fPr>
                        <m:ctrlPr>
                          <a:rPr lang="he-IL" sz="1100" b="0" i="1">
                            <a:latin typeface="Cambria Math" panose="02040503050406030204" pitchFamily="18" charset="0"/>
                          </a:rPr>
                        </m:ctrlPr>
                      </m:fPr>
                      <m:num>
                        <m:r>
                          <a:rPr lang="he-IL" sz="1100" b="0" i="1">
                            <a:latin typeface="Cambria Math" panose="02040503050406030204" pitchFamily="18" charset="0"/>
                          </a:rPr>
                          <m:t>10%</m:t>
                        </m:r>
                      </m:num>
                      <m:den>
                        <m:r>
                          <a:rPr lang="he-IL" sz="1100" b="0" i="1">
                            <a:latin typeface="Cambria Math" panose="02040503050406030204" pitchFamily="18" charset="0"/>
                          </a:rPr>
                          <m:t>2</m:t>
                        </m:r>
                      </m:den>
                    </m:f>
                  </m:oMath>
                </m:oMathPara>
              </a14:m>
              <a:endParaRPr lang="en-US" sz="1100"/>
            </a:p>
          </xdr:txBody>
        </xdr:sp>
      </mc:Choice>
      <mc:Fallback xmlns="">
        <xdr:sp macro="" textlink="">
          <xdr:nvSpPr>
            <xdr:cNvPr id="37" name="TextBox 36">
              <a:extLst>
                <a:ext uri="{FF2B5EF4-FFF2-40B4-BE49-F238E27FC236}">
                  <a16:creationId xmlns:a16="http://schemas.microsoft.com/office/drawing/2014/main" id="{AD38D62A-126C-0D9C-C73D-EA09F469B310}"/>
                </a:ext>
              </a:extLst>
            </xdr:cNvPr>
            <xdr:cNvSpPr txBox="1"/>
          </xdr:nvSpPr>
          <xdr:spPr>
            <a:xfrm>
              <a:off x="13515055318" y="55095290"/>
              <a:ext cx="1718031" cy="3270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(10%)/2</a:t>
              </a:r>
              <a:endParaRPr lang="en-US" sz="1100"/>
            </a:p>
          </xdr:txBody>
        </xdr:sp>
      </mc:Fallback>
    </mc:AlternateContent>
    <xdr:clientData/>
  </xdr:oneCellAnchor>
  <xdr:twoCellAnchor>
    <xdr:from>
      <xdr:col>10</xdr:col>
      <xdr:colOff>373062</xdr:colOff>
      <xdr:row>264</xdr:row>
      <xdr:rowOff>121942</xdr:rowOff>
    </xdr:from>
    <xdr:to>
      <xdr:col>10</xdr:col>
      <xdr:colOff>386522</xdr:colOff>
      <xdr:row>267</xdr:row>
      <xdr:rowOff>31750</xdr:rowOff>
    </xdr:to>
    <xdr:cxnSp macro="">
      <xdr:nvCxnSpPr>
        <xdr:cNvPr id="59" name="Straight Arrow Connector 58">
          <a:extLst>
            <a:ext uri="{FF2B5EF4-FFF2-40B4-BE49-F238E27FC236}">
              <a16:creationId xmlns:a16="http://schemas.microsoft.com/office/drawing/2014/main" id="{19D0E976-3479-4D36-66FA-45D9265D2022}"/>
            </a:ext>
          </a:extLst>
        </xdr:cNvPr>
        <xdr:cNvCxnSpPr>
          <a:stCxn id="20" idx="2"/>
        </xdr:cNvCxnSpPr>
      </xdr:nvCxnSpPr>
      <xdr:spPr>
        <a:xfrm>
          <a:off x="13516350478" y="54890692"/>
          <a:ext cx="13460" cy="52893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290583</xdr:colOff>
      <xdr:row>268</xdr:row>
      <xdr:rowOff>7315</xdr:rowOff>
    </xdr:from>
    <xdr:ext cx="1718031" cy="173766"/>
    <mc:AlternateContent xmlns:mc="http://schemas.openxmlformats.org/markup-compatibility/2006" xmlns:a14="http://schemas.microsoft.com/office/drawing/2010/main">
      <mc:Choice Requires="a14">
        <xdr:sp macro="" textlink="">
          <xdr:nvSpPr>
            <xdr:cNvPr id="61" name="TextBox 60">
              <a:extLst>
                <a:ext uri="{FF2B5EF4-FFF2-40B4-BE49-F238E27FC236}">
                  <a16:creationId xmlns:a16="http://schemas.microsoft.com/office/drawing/2014/main" id="{8DEDF257-4C31-DD25-9506-76FF710A87E4}"/>
                </a:ext>
              </a:extLst>
            </xdr:cNvPr>
            <xdr:cNvSpPr txBox="1"/>
          </xdr:nvSpPr>
          <xdr:spPr>
            <a:xfrm>
              <a:off x="13515553886" y="55601565"/>
              <a:ext cx="1718031"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latin typeface="Cambria Math" panose="02040503050406030204" pitchFamily="18" charset="0"/>
                      </a:rPr>
                      <m:t>1+5%</m:t>
                    </m:r>
                  </m:oMath>
                </m:oMathPara>
              </a14:m>
              <a:endParaRPr lang="en-US" sz="1100"/>
            </a:p>
          </xdr:txBody>
        </xdr:sp>
      </mc:Choice>
      <mc:Fallback xmlns="">
        <xdr:sp macro="" textlink="">
          <xdr:nvSpPr>
            <xdr:cNvPr id="61" name="TextBox 60">
              <a:extLst>
                <a:ext uri="{FF2B5EF4-FFF2-40B4-BE49-F238E27FC236}">
                  <a16:creationId xmlns:a16="http://schemas.microsoft.com/office/drawing/2014/main" id="{8DEDF257-4C31-DD25-9506-76FF710A87E4}"/>
                </a:ext>
              </a:extLst>
            </xdr:cNvPr>
            <xdr:cNvSpPr txBox="1"/>
          </xdr:nvSpPr>
          <xdr:spPr>
            <a:xfrm>
              <a:off x="13515553886" y="55601565"/>
              <a:ext cx="1718031"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1+5%</a:t>
              </a:r>
              <a:endParaRPr lang="en-US" sz="1100"/>
            </a:p>
          </xdr:txBody>
        </xdr:sp>
      </mc:Fallback>
    </mc:AlternateContent>
    <xdr:clientData/>
  </xdr:oneCellAnchor>
  <xdr:oneCellAnchor>
    <xdr:from>
      <xdr:col>8</xdr:col>
      <xdr:colOff>717713</xdr:colOff>
      <xdr:row>265</xdr:row>
      <xdr:rowOff>136040</xdr:rowOff>
    </xdr:from>
    <xdr:ext cx="1718031" cy="327077"/>
    <mc:AlternateContent xmlns:mc="http://schemas.openxmlformats.org/markup-compatibility/2006" xmlns:a14="http://schemas.microsoft.com/office/drawing/2010/main">
      <mc:Choice Requires="a14">
        <xdr:sp macro="" textlink="">
          <xdr:nvSpPr>
            <xdr:cNvPr id="69" name="TextBox 68">
              <a:extLst>
                <a:ext uri="{FF2B5EF4-FFF2-40B4-BE49-F238E27FC236}">
                  <a16:creationId xmlns:a16="http://schemas.microsoft.com/office/drawing/2014/main" id="{E527E768-C8E7-8FA6-4458-2DDC0E4E2827}"/>
                </a:ext>
              </a:extLst>
            </xdr:cNvPr>
            <xdr:cNvSpPr txBox="1"/>
          </xdr:nvSpPr>
          <xdr:spPr>
            <a:xfrm>
              <a:off x="13515952256" y="55111165"/>
              <a:ext cx="1718031" cy="3270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f>
                      <m:fPr>
                        <m:ctrlPr>
                          <a:rPr lang="he-IL" sz="1100" b="0" i="1">
                            <a:latin typeface="Cambria Math" panose="02040503050406030204" pitchFamily="18" charset="0"/>
                          </a:rPr>
                        </m:ctrlPr>
                      </m:fPr>
                      <m:num>
                        <m:r>
                          <a:rPr lang="he-IL" sz="1100" b="0" i="1">
                            <a:latin typeface="Cambria Math" panose="02040503050406030204" pitchFamily="18" charset="0"/>
                          </a:rPr>
                          <m:t>10%</m:t>
                        </m:r>
                      </m:num>
                      <m:den>
                        <m:r>
                          <a:rPr lang="he-IL" sz="1100" b="0" i="1">
                            <a:latin typeface="Cambria Math" panose="02040503050406030204" pitchFamily="18" charset="0"/>
                          </a:rPr>
                          <m:t>2</m:t>
                        </m:r>
                      </m:den>
                    </m:f>
                  </m:oMath>
                </m:oMathPara>
              </a14:m>
              <a:endParaRPr lang="en-US" sz="1100"/>
            </a:p>
          </xdr:txBody>
        </xdr:sp>
      </mc:Choice>
      <mc:Fallback xmlns="">
        <xdr:sp macro="" textlink="">
          <xdr:nvSpPr>
            <xdr:cNvPr id="69" name="TextBox 68">
              <a:extLst>
                <a:ext uri="{FF2B5EF4-FFF2-40B4-BE49-F238E27FC236}">
                  <a16:creationId xmlns:a16="http://schemas.microsoft.com/office/drawing/2014/main" id="{E527E768-C8E7-8FA6-4458-2DDC0E4E2827}"/>
                </a:ext>
              </a:extLst>
            </xdr:cNvPr>
            <xdr:cNvSpPr txBox="1"/>
          </xdr:nvSpPr>
          <xdr:spPr>
            <a:xfrm>
              <a:off x="13515952256" y="55111165"/>
              <a:ext cx="1718031" cy="3270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(10%)/2</a:t>
              </a:r>
              <a:endParaRPr lang="en-US" sz="1100"/>
            </a:p>
          </xdr:txBody>
        </xdr:sp>
      </mc:Fallback>
    </mc:AlternateContent>
    <xdr:clientData/>
  </xdr:oneCellAnchor>
  <xdr:oneCellAnchor>
    <xdr:from>
      <xdr:col>6</xdr:col>
      <xdr:colOff>603250</xdr:colOff>
      <xdr:row>265</xdr:row>
      <xdr:rowOff>201612</xdr:rowOff>
    </xdr:from>
    <xdr:ext cx="2248061" cy="338619"/>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5A87214D-7EE2-F636-0B56-E5678D8E6858}"/>
                </a:ext>
              </a:extLst>
            </xdr:cNvPr>
            <xdr:cNvSpPr txBox="1"/>
          </xdr:nvSpPr>
          <xdr:spPr>
            <a:xfrm>
              <a:off x="13517251189" y="55176737"/>
              <a:ext cx="2248061" cy="3386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he-IL" sz="1100" b="0" i="1">
                            <a:latin typeface="Cambria Math" panose="02040503050406030204" pitchFamily="18" charset="0"/>
                          </a:rPr>
                        </m:ctrlPr>
                      </m:sSubPr>
                      <m:e>
                        <m:r>
                          <a:rPr lang="he-IL"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1+5%</m:t>
                                </m:r>
                              </m:e>
                            </m:d>
                          </m:e>
                          <m:sup>
                            <m:r>
                              <a:rPr lang="en-US" sz="1100" b="0" i="1">
                                <a:latin typeface="Cambria Math" panose="02040503050406030204" pitchFamily="18" charset="0"/>
                              </a:rPr>
                              <m:t>2</m:t>
                            </m:r>
                          </m:sup>
                        </m:sSup>
                      </m:num>
                      <m:den>
                        <m:r>
                          <a:rPr lang="en-US" sz="1100" b="0" i="1">
                            <a:latin typeface="Cambria Math" panose="02040503050406030204" pitchFamily="18" charset="0"/>
                          </a:rPr>
                          <m:t>1</m:t>
                        </m:r>
                      </m:den>
                    </m:f>
                    <m:r>
                      <a:rPr lang="en-US" sz="1100" b="0" i="1">
                        <a:latin typeface="Cambria Math" panose="02040503050406030204" pitchFamily="18" charset="0"/>
                      </a:rPr>
                      <m:t>−1=</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1+5%</m:t>
                            </m:r>
                          </m:e>
                        </m:d>
                      </m:e>
                      <m:sup>
                        <m:r>
                          <a:rPr lang="en-US" sz="1100" b="0" i="1">
                            <a:latin typeface="Cambria Math" panose="02040503050406030204" pitchFamily="18" charset="0"/>
                          </a:rPr>
                          <m:t>2</m:t>
                        </m:r>
                      </m:sup>
                    </m:sSup>
                    <m:r>
                      <a:rPr lang="en-US" sz="1100" b="0" i="1">
                        <a:latin typeface="Cambria Math" panose="02040503050406030204" pitchFamily="18" charset="0"/>
                      </a:rPr>
                      <m:t>−1</m:t>
                    </m:r>
                  </m:oMath>
                </m:oMathPara>
              </a14:m>
              <a:endParaRPr lang="en-US" sz="1100"/>
            </a:p>
          </xdr:txBody>
        </xdr:sp>
      </mc:Choice>
      <mc:Fallback xmlns="">
        <xdr:sp macro="" textlink="">
          <xdr:nvSpPr>
            <xdr:cNvPr id="75" name="TextBox 74">
              <a:extLst>
                <a:ext uri="{FF2B5EF4-FFF2-40B4-BE49-F238E27FC236}">
                  <a16:creationId xmlns:a16="http://schemas.microsoft.com/office/drawing/2014/main" id="{5A87214D-7EE2-F636-0B56-E5678D8E6858}"/>
                </a:ext>
              </a:extLst>
            </xdr:cNvPr>
            <xdr:cNvSpPr txBox="1"/>
          </xdr:nvSpPr>
          <xdr:spPr>
            <a:xfrm>
              <a:off x="13517251189" y="55176737"/>
              <a:ext cx="2248061" cy="3386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𝑟_</a:t>
              </a:r>
              <a:r>
                <a:rPr lang="en-US" sz="1100" b="0" i="0">
                  <a:latin typeface="Cambria Math" panose="02040503050406030204" pitchFamily="18" charset="0"/>
                </a:rPr>
                <a:t>𝑒=(1+5%)^2/1−1=(1+5%)^2−1</a:t>
              </a:r>
              <a:endParaRPr lang="en-US" sz="1100"/>
            </a:p>
          </xdr:txBody>
        </xdr:sp>
      </mc:Fallback>
    </mc:AlternateContent>
    <xdr:clientData/>
  </xdr:oneCellAnchor>
  <xdr:oneCellAnchor>
    <xdr:from>
      <xdr:col>4</xdr:col>
      <xdr:colOff>452438</xdr:colOff>
      <xdr:row>262</xdr:row>
      <xdr:rowOff>130175</xdr:rowOff>
    </xdr:from>
    <xdr:ext cx="2970373" cy="355034"/>
    <mc:AlternateContent xmlns:mc="http://schemas.openxmlformats.org/markup-compatibility/2006" xmlns:a14="http://schemas.microsoft.com/office/drawing/2010/main">
      <mc:Choice Requires="a14">
        <xdr:sp macro="" textlink="">
          <xdr:nvSpPr>
            <xdr:cNvPr id="78" name="TextBox 77">
              <a:extLst>
                <a:ext uri="{FF2B5EF4-FFF2-40B4-BE49-F238E27FC236}">
                  <a16:creationId xmlns:a16="http://schemas.microsoft.com/office/drawing/2014/main" id="{2F5AD42C-46F3-2581-67C3-F93A8395736A}"/>
                </a:ext>
              </a:extLst>
            </xdr:cNvPr>
            <xdr:cNvSpPr txBox="1"/>
          </xdr:nvSpPr>
          <xdr:spPr>
            <a:xfrm>
              <a:off x="13518370377" y="54486175"/>
              <a:ext cx="2970373" cy="35503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he-IL" sz="1100" b="0" i="1">
                            <a:latin typeface="Cambria Math" panose="02040503050406030204" pitchFamily="18" charset="0"/>
                          </a:rPr>
                        </m:ctrlPr>
                      </m:sSubPr>
                      <m:e>
                        <m:r>
                          <a:rPr lang="he-IL"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0">
                                <a:latin typeface="Cambria Math" panose="02040503050406030204" pitchFamily="18" charset="0"/>
                              </a:rPr>
                              <m:t>1+</m:t>
                            </m:r>
                            <m:f>
                              <m:fPr>
                                <m:ctrlPr>
                                  <a:rPr lang="en-US" sz="1100" b="0" i="1">
                                    <a:latin typeface="Cambria Math" panose="02040503050406030204" pitchFamily="18" charset="0"/>
                                  </a:rPr>
                                </m:ctrlPr>
                              </m:fPr>
                              <m:num>
                                <m:r>
                                  <m:rPr>
                                    <m:sty m:val="p"/>
                                  </m:rPr>
                                  <a:rPr lang="en-US" sz="1100" b="0" i="0">
                                    <a:latin typeface="Cambria Math" panose="02040503050406030204" pitchFamily="18" charset="0"/>
                                  </a:rPr>
                                  <m:t>R</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10%</m:t>
                                </m:r>
                              </m:num>
                              <m:den>
                                <m:r>
                                  <a:rPr lang="en-US" sz="1100" b="0" i="1">
                                    <a:latin typeface="Cambria Math" panose="02040503050406030204" pitchFamily="18" charset="0"/>
                                  </a:rPr>
                                  <m:t>2</m:t>
                                </m:r>
                              </m:den>
                            </m:f>
                          </m:e>
                        </m:d>
                      </m:e>
                      <m:sup>
                        <m:r>
                          <a:rPr lang="en-US" sz="1100" b="0" i="1">
                            <a:latin typeface="Cambria Math" panose="02040503050406030204" pitchFamily="18" charset="0"/>
                          </a:rPr>
                          <m:t>2</m:t>
                        </m:r>
                      </m:sup>
                    </m:sSup>
                    <m:r>
                      <a:rPr lang="en-US" sz="1100" b="0" i="1">
                        <a:latin typeface="Cambria Math" panose="02040503050406030204" pitchFamily="18" charset="0"/>
                      </a:rPr>
                      <m:t>−1=10.25%</m:t>
                    </m:r>
                  </m:oMath>
                </m:oMathPara>
              </a14:m>
              <a:endParaRPr lang="en-US" sz="1100"/>
            </a:p>
          </xdr:txBody>
        </xdr:sp>
      </mc:Choice>
      <mc:Fallback xmlns="">
        <xdr:sp macro="" textlink="">
          <xdr:nvSpPr>
            <xdr:cNvPr id="78" name="TextBox 77">
              <a:extLst>
                <a:ext uri="{FF2B5EF4-FFF2-40B4-BE49-F238E27FC236}">
                  <a16:creationId xmlns:a16="http://schemas.microsoft.com/office/drawing/2014/main" id="{2F5AD42C-46F3-2581-67C3-F93A8395736A}"/>
                </a:ext>
              </a:extLst>
            </xdr:cNvPr>
            <xdr:cNvSpPr txBox="1"/>
          </xdr:nvSpPr>
          <xdr:spPr>
            <a:xfrm>
              <a:off x="13518370377" y="54486175"/>
              <a:ext cx="2970373" cy="35503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𝑟_</a:t>
              </a:r>
              <a:r>
                <a:rPr lang="en-US" sz="1100" b="0" i="0">
                  <a:latin typeface="Cambria Math" panose="02040503050406030204" pitchFamily="18" charset="0"/>
                </a:rPr>
                <a:t>𝑒=(1+R/𝑛)^𝑚−1=(1+(10%)/2)^2−1=10.25%</a:t>
              </a:r>
              <a:endParaRPr lang="en-US" sz="1100"/>
            </a:p>
          </xdr:txBody>
        </xdr:sp>
      </mc:Fallback>
    </mc:AlternateContent>
    <xdr:clientData/>
  </xdr:oneCellAnchor>
  <xdr:oneCellAnchor>
    <xdr:from>
      <xdr:col>5</xdr:col>
      <xdr:colOff>515937</xdr:colOff>
      <xdr:row>270</xdr:row>
      <xdr:rowOff>280987</xdr:rowOff>
    </xdr:from>
    <xdr:ext cx="2970373" cy="354328"/>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56928D80-3F29-ECAD-47EF-1B72A12B52B2}"/>
                </a:ext>
              </a:extLst>
            </xdr:cNvPr>
            <xdr:cNvSpPr txBox="1"/>
          </xdr:nvSpPr>
          <xdr:spPr>
            <a:xfrm>
              <a:off x="13517441690" y="56526112"/>
              <a:ext cx="2970373"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he-IL" sz="1100" b="0" i="1">
                            <a:latin typeface="Cambria Math" panose="02040503050406030204" pitchFamily="18" charset="0"/>
                          </a:rPr>
                        </m:ctrlPr>
                      </m:sSubPr>
                      <m:e>
                        <m:r>
                          <a:rPr lang="he-IL"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0">
                                <a:latin typeface="Cambria Math" panose="02040503050406030204" pitchFamily="18" charset="0"/>
                              </a:rPr>
                              <m:t>1+</m:t>
                            </m:r>
                            <m:f>
                              <m:fPr>
                                <m:ctrlPr>
                                  <a:rPr lang="en-US" sz="1100" b="0" i="1">
                                    <a:latin typeface="Cambria Math" panose="02040503050406030204" pitchFamily="18" charset="0"/>
                                  </a:rPr>
                                </m:ctrlPr>
                              </m:fPr>
                              <m:num>
                                <m:r>
                                  <m:rPr>
                                    <m:sty m:val="p"/>
                                  </m:rPr>
                                  <a:rPr lang="en-US" sz="1100" b="0" i="0">
                                    <a:latin typeface="Cambria Math" panose="02040503050406030204" pitchFamily="18" charset="0"/>
                                  </a:rPr>
                                  <m:t>R</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12%</m:t>
                                </m:r>
                              </m:num>
                              <m:den>
                                <m:r>
                                  <a:rPr lang="en-US" sz="1100" b="0" i="1">
                                    <a:latin typeface="Cambria Math" panose="02040503050406030204" pitchFamily="18" charset="0"/>
                                  </a:rPr>
                                  <m:t>4</m:t>
                                </m:r>
                              </m:den>
                            </m:f>
                          </m:e>
                        </m:d>
                      </m:e>
                      <m:sup>
                        <m:r>
                          <a:rPr lang="en-US" sz="1100" b="0" i="1">
                            <a:latin typeface="Cambria Math" panose="02040503050406030204" pitchFamily="18" charset="0"/>
                          </a:rPr>
                          <m:t>4</m:t>
                        </m:r>
                      </m:sup>
                    </m:sSup>
                    <m:r>
                      <a:rPr lang="en-US" sz="1100" b="0" i="1">
                        <a:latin typeface="Cambria Math" panose="02040503050406030204" pitchFamily="18" charset="0"/>
                      </a:rPr>
                      <m:t>−1=</m:t>
                    </m:r>
                  </m:oMath>
                </m:oMathPara>
              </a14:m>
              <a:endParaRPr lang="en-US" sz="1100"/>
            </a:p>
          </xdr:txBody>
        </xdr:sp>
      </mc:Choice>
      <mc:Fallback xmlns="">
        <xdr:sp macro="" textlink="">
          <xdr:nvSpPr>
            <xdr:cNvPr id="79" name="TextBox 78">
              <a:extLst>
                <a:ext uri="{FF2B5EF4-FFF2-40B4-BE49-F238E27FC236}">
                  <a16:creationId xmlns:a16="http://schemas.microsoft.com/office/drawing/2014/main" id="{56928D80-3F29-ECAD-47EF-1B72A12B52B2}"/>
                </a:ext>
              </a:extLst>
            </xdr:cNvPr>
            <xdr:cNvSpPr txBox="1"/>
          </xdr:nvSpPr>
          <xdr:spPr>
            <a:xfrm>
              <a:off x="13517441690" y="56526112"/>
              <a:ext cx="2970373"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𝑟_</a:t>
              </a:r>
              <a:r>
                <a:rPr lang="en-US" sz="1100" b="0" i="0">
                  <a:latin typeface="Cambria Math" panose="02040503050406030204" pitchFamily="18" charset="0"/>
                </a:rPr>
                <a:t>𝑒=(1+R/𝑛)^𝑚−1=(1+(12%)/4)^4−1=</a:t>
              </a:r>
              <a:endParaRPr lang="en-US" sz="1100"/>
            </a:p>
          </xdr:txBody>
        </xdr:sp>
      </mc:Fallback>
    </mc:AlternateContent>
    <xdr:clientData/>
  </xdr:oneCellAnchor>
  <xdr:oneCellAnchor>
    <xdr:from>
      <xdr:col>5</xdr:col>
      <xdr:colOff>508000</xdr:colOff>
      <xdr:row>269</xdr:row>
      <xdr:rowOff>82549</xdr:rowOff>
    </xdr:from>
    <xdr:ext cx="2970373" cy="354328"/>
    <mc:AlternateContent xmlns:mc="http://schemas.openxmlformats.org/markup-compatibility/2006" xmlns:a14="http://schemas.microsoft.com/office/drawing/2010/main">
      <mc:Choice Requires="a14">
        <xdr:sp macro="" textlink="">
          <xdr:nvSpPr>
            <xdr:cNvPr id="80" name="TextBox 79">
              <a:extLst>
                <a:ext uri="{FF2B5EF4-FFF2-40B4-BE49-F238E27FC236}">
                  <a16:creationId xmlns:a16="http://schemas.microsoft.com/office/drawing/2014/main" id="{666F957E-DBF5-DEF4-A6DF-60430F30BE2F}"/>
                </a:ext>
              </a:extLst>
            </xdr:cNvPr>
            <xdr:cNvSpPr txBox="1"/>
          </xdr:nvSpPr>
          <xdr:spPr>
            <a:xfrm>
              <a:off x="13517449627" y="55883174"/>
              <a:ext cx="2970373"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he-IL" sz="1100" b="0" i="1">
                            <a:latin typeface="Cambria Math" panose="02040503050406030204" pitchFamily="18" charset="0"/>
                          </a:rPr>
                        </m:ctrlPr>
                      </m:sSubPr>
                      <m:e>
                        <m:r>
                          <a:rPr lang="he-IL"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0">
                                <a:latin typeface="Cambria Math" panose="02040503050406030204" pitchFamily="18" charset="0"/>
                              </a:rPr>
                              <m:t>1+</m:t>
                            </m:r>
                            <m:f>
                              <m:fPr>
                                <m:ctrlPr>
                                  <a:rPr lang="en-US" sz="1100" b="0" i="1">
                                    <a:latin typeface="Cambria Math" panose="02040503050406030204" pitchFamily="18" charset="0"/>
                                  </a:rPr>
                                </m:ctrlPr>
                              </m:fPr>
                              <m:num>
                                <m:r>
                                  <m:rPr>
                                    <m:sty m:val="p"/>
                                  </m:rPr>
                                  <a:rPr lang="en-US" sz="1100" b="0" i="0">
                                    <a:latin typeface="Cambria Math" panose="02040503050406030204" pitchFamily="18" charset="0"/>
                                  </a:rPr>
                                  <m:t>R</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6%</m:t>
                                </m:r>
                              </m:num>
                              <m:den>
                                <m:r>
                                  <a:rPr lang="en-US" sz="1100" b="0" i="1">
                                    <a:latin typeface="Cambria Math" panose="02040503050406030204" pitchFamily="18" charset="0"/>
                                  </a:rPr>
                                  <m:t>12</m:t>
                                </m:r>
                              </m:den>
                            </m:f>
                          </m:e>
                        </m:d>
                      </m:e>
                      <m:sup>
                        <m:r>
                          <a:rPr lang="en-US" sz="1100" b="0" i="1">
                            <a:latin typeface="Cambria Math" panose="02040503050406030204" pitchFamily="18" charset="0"/>
                          </a:rPr>
                          <m:t>12</m:t>
                        </m:r>
                      </m:sup>
                    </m:sSup>
                    <m:r>
                      <a:rPr lang="en-US" sz="1100" b="0" i="1">
                        <a:latin typeface="Cambria Math" panose="02040503050406030204" pitchFamily="18" charset="0"/>
                      </a:rPr>
                      <m:t>−1=</m:t>
                    </m:r>
                  </m:oMath>
                </m:oMathPara>
              </a14:m>
              <a:endParaRPr lang="en-US" sz="1100"/>
            </a:p>
          </xdr:txBody>
        </xdr:sp>
      </mc:Choice>
      <mc:Fallback xmlns="">
        <xdr:sp macro="" textlink="">
          <xdr:nvSpPr>
            <xdr:cNvPr id="80" name="TextBox 79">
              <a:extLst>
                <a:ext uri="{FF2B5EF4-FFF2-40B4-BE49-F238E27FC236}">
                  <a16:creationId xmlns:a16="http://schemas.microsoft.com/office/drawing/2014/main" id="{666F957E-DBF5-DEF4-A6DF-60430F30BE2F}"/>
                </a:ext>
              </a:extLst>
            </xdr:cNvPr>
            <xdr:cNvSpPr txBox="1"/>
          </xdr:nvSpPr>
          <xdr:spPr>
            <a:xfrm>
              <a:off x="13517449627" y="55883174"/>
              <a:ext cx="2970373"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𝑟_</a:t>
              </a:r>
              <a:r>
                <a:rPr lang="en-US" sz="1100" b="0" i="0">
                  <a:latin typeface="Cambria Math" panose="02040503050406030204" pitchFamily="18" charset="0"/>
                </a:rPr>
                <a:t>𝑒=(1+R/𝑛)^𝑚−1=(1+(6%)/12)^12−1=</a:t>
              </a:r>
              <a:endParaRPr lang="en-US" sz="1100"/>
            </a:p>
          </xdr:txBody>
        </xdr:sp>
      </mc:Fallback>
    </mc:AlternateContent>
    <xdr:clientData/>
  </xdr:oneCellAnchor>
  <xdr:oneCellAnchor>
    <xdr:from>
      <xdr:col>5</xdr:col>
      <xdr:colOff>388937</xdr:colOff>
      <xdr:row>271</xdr:row>
      <xdr:rowOff>241299</xdr:rowOff>
    </xdr:from>
    <xdr:ext cx="2970373" cy="176843"/>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1AE72F57-1D89-25DC-95C2-9F1E6BBC6F07}"/>
                </a:ext>
              </a:extLst>
            </xdr:cNvPr>
            <xdr:cNvSpPr txBox="1"/>
          </xdr:nvSpPr>
          <xdr:spPr>
            <a:xfrm>
              <a:off x="13517568690" y="57145237"/>
              <a:ext cx="2970373" cy="1768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𝑚</m:t>
                        </m:r>
                      </m:sup>
                    </m:sSup>
                    <m:r>
                      <a:rPr lang="en-US" sz="1100" b="0" i="1">
                        <a:latin typeface="Cambria Math" panose="02040503050406030204" pitchFamily="18" charset="0"/>
                      </a:rPr>
                      <m:t>−1=</m:t>
                    </m:r>
                    <m:sSup>
                      <m:sSupPr>
                        <m:ctrlPr>
                          <a:rPr lang="he-IL"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1+3%</m:t>
                            </m:r>
                          </m:e>
                        </m:d>
                      </m:e>
                      <m:sup>
                        <m:r>
                          <a:rPr lang="he-IL" sz="1100" b="0" i="1">
                            <a:latin typeface="Cambria Math" panose="02040503050406030204" pitchFamily="18" charset="0"/>
                          </a:rPr>
                          <m:t>12</m:t>
                        </m:r>
                      </m:sup>
                    </m:sSup>
                    <m:r>
                      <a:rPr lang="he-IL" sz="1100" b="0" i="1">
                        <a:latin typeface="Cambria Math" panose="02040503050406030204" pitchFamily="18" charset="0"/>
                      </a:rPr>
                      <m:t>−1=</m:t>
                    </m:r>
                  </m:oMath>
                </m:oMathPara>
              </a14:m>
              <a:endParaRPr lang="en-US" sz="1100"/>
            </a:p>
          </xdr:txBody>
        </xdr:sp>
      </mc:Choice>
      <mc:Fallback xmlns="">
        <xdr:sp macro="" textlink="">
          <xdr:nvSpPr>
            <xdr:cNvPr id="81" name="TextBox 80">
              <a:extLst>
                <a:ext uri="{FF2B5EF4-FFF2-40B4-BE49-F238E27FC236}">
                  <a16:creationId xmlns:a16="http://schemas.microsoft.com/office/drawing/2014/main" id="{1AE72F57-1D89-25DC-95C2-9F1E6BBC6F07}"/>
                </a:ext>
              </a:extLst>
            </xdr:cNvPr>
            <xdr:cNvSpPr txBox="1"/>
          </xdr:nvSpPr>
          <xdr:spPr>
            <a:xfrm>
              <a:off x="13517568690" y="57145237"/>
              <a:ext cx="2970373" cy="1768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𝑟_𝑒=(1+𝑟)^𝑚−1=</a:t>
              </a:r>
              <a:r>
                <a:rPr lang="he-IL" sz="1100" b="0" i="0">
                  <a:latin typeface="Cambria Math" panose="02040503050406030204" pitchFamily="18" charset="0"/>
                </a:rPr>
                <a:t>(1+3%)^12−1=</a:t>
              </a:r>
              <a:endParaRPr lang="en-US" sz="1100"/>
            </a:p>
          </xdr:txBody>
        </xdr:sp>
      </mc:Fallback>
    </mc:AlternateContent>
    <xdr:clientData/>
  </xdr:oneCellAnchor>
  <xdr:oneCellAnchor>
    <xdr:from>
      <xdr:col>5</xdr:col>
      <xdr:colOff>404813</xdr:colOff>
      <xdr:row>272</xdr:row>
      <xdr:rowOff>249236</xdr:rowOff>
    </xdr:from>
    <xdr:ext cx="2970373" cy="176843"/>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9803041B-1D33-C70A-896F-9ADCF8F65197}"/>
                </a:ext>
              </a:extLst>
            </xdr:cNvPr>
            <xdr:cNvSpPr txBox="1"/>
          </xdr:nvSpPr>
          <xdr:spPr>
            <a:xfrm>
              <a:off x="13517552814" y="57597674"/>
              <a:ext cx="2970373" cy="1768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he-IL"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1+5%</m:t>
                            </m:r>
                          </m:e>
                        </m:d>
                      </m:e>
                      <m:sup>
                        <m:r>
                          <a:rPr lang="he-IL" sz="1100" b="0" i="1">
                            <a:latin typeface="Cambria Math" panose="02040503050406030204" pitchFamily="18" charset="0"/>
                          </a:rPr>
                          <m:t>2</m:t>
                        </m:r>
                      </m:sup>
                    </m:sSup>
                    <m:r>
                      <a:rPr lang="he-IL" sz="1100" b="0" i="1">
                        <a:latin typeface="Cambria Math" panose="02040503050406030204" pitchFamily="18" charset="0"/>
                      </a:rPr>
                      <m:t>−1=</m:t>
                    </m:r>
                  </m:oMath>
                </m:oMathPara>
              </a14:m>
              <a:endParaRPr lang="en-US" sz="1100"/>
            </a:p>
          </xdr:txBody>
        </xdr:sp>
      </mc:Choice>
      <mc:Fallback xmlns="">
        <xdr:sp macro="" textlink="">
          <xdr:nvSpPr>
            <xdr:cNvPr id="82" name="TextBox 81">
              <a:extLst>
                <a:ext uri="{FF2B5EF4-FFF2-40B4-BE49-F238E27FC236}">
                  <a16:creationId xmlns:a16="http://schemas.microsoft.com/office/drawing/2014/main" id="{9803041B-1D33-C70A-896F-9ADCF8F65197}"/>
                </a:ext>
              </a:extLst>
            </xdr:cNvPr>
            <xdr:cNvSpPr txBox="1"/>
          </xdr:nvSpPr>
          <xdr:spPr>
            <a:xfrm>
              <a:off x="13517552814" y="57597674"/>
              <a:ext cx="2970373" cy="1768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a:t>
              </a:r>
              <a:r>
                <a:rPr lang="he-IL" sz="1100" b="0" i="0">
                  <a:latin typeface="Cambria Math" panose="02040503050406030204" pitchFamily="18" charset="0"/>
                </a:rPr>
                <a:t>(1+5%)^2−1=</a:t>
              </a:r>
              <a:endParaRPr lang="en-US" sz="1100"/>
            </a:p>
          </xdr:txBody>
        </xdr:sp>
      </mc:Fallback>
    </mc:AlternateContent>
    <xdr:clientData/>
  </xdr:oneCellAnchor>
  <xdr:oneCellAnchor>
    <xdr:from>
      <xdr:col>7</xdr:col>
      <xdr:colOff>277813</xdr:colOff>
      <xdr:row>275</xdr:row>
      <xdr:rowOff>249235</xdr:rowOff>
    </xdr:from>
    <xdr:ext cx="2970373" cy="316882"/>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B5BD52D8-267D-92DF-EE56-966E8BAA3201}"/>
                </a:ext>
              </a:extLst>
            </xdr:cNvPr>
            <xdr:cNvSpPr txBox="1"/>
          </xdr:nvSpPr>
          <xdr:spPr>
            <a:xfrm>
              <a:off x="13515965314" y="58931173"/>
              <a:ext cx="2970373"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he-IL" sz="1100" b="0" i="1">
                            <a:latin typeface="Cambria Math" panose="02040503050406030204" pitchFamily="18" charset="0"/>
                          </a:rPr>
                        </m:ctrlPr>
                      </m:sSubPr>
                      <m:e>
                        <m:r>
                          <a:rPr lang="he-IL"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he-IL" sz="1100" b="0" i="1">
                            <a:latin typeface="Cambria Math" panose="02040503050406030204" pitchFamily="18" charset="0"/>
                          </a:rPr>
                        </m:ctrlPr>
                      </m:fPr>
                      <m:num>
                        <m:r>
                          <a:rPr lang="he-IL" sz="1100" b="0" i="1">
                            <a:latin typeface="Cambria Math" panose="02040503050406030204" pitchFamily="18" charset="0"/>
                          </a:rPr>
                          <m:t>100</m:t>
                        </m:r>
                      </m:num>
                      <m:den>
                        <m:r>
                          <a:rPr lang="he-IL" sz="1100" b="0" i="1">
                            <a:latin typeface="Cambria Math" panose="02040503050406030204" pitchFamily="18" charset="0"/>
                          </a:rPr>
                          <m:t>90</m:t>
                        </m:r>
                      </m:den>
                    </m:f>
                    <m:r>
                      <a:rPr lang="he-IL" sz="1100" b="0" i="1">
                        <a:latin typeface="Cambria Math" panose="02040503050406030204" pitchFamily="18" charset="0"/>
                      </a:rPr>
                      <m:t>−1=11.11%</m:t>
                    </m:r>
                  </m:oMath>
                </m:oMathPara>
              </a14:m>
              <a:endParaRPr lang="en-US" sz="1100"/>
            </a:p>
          </xdr:txBody>
        </xdr:sp>
      </mc:Choice>
      <mc:Fallback xmlns="">
        <xdr:sp macro="" textlink="">
          <xdr:nvSpPr>
            <xdr:cNvPr id="83" name="TextBox 82">
              <a:extLst>
                <a:ext uri="{FF2B5EF4-FFF2-40B4-BE49-F238E27FC236}">
                  <a16:creationId xmlns:a16="http://schemas.microsoft.com/office/drawing/2014/main" id="{B5BD52D8-267D-92DF-EE56-966E8BAA3201}"/>
                </a:ext>
              </a:extLst>
            </xdr:cNvPr>
            <xdr:cNvSpPr txBox="1"/>
          </xdr:nvSpPr>
          <xdr:spPr>
            <a:xfrm>
              <a:off x="13515965314" y="58931173"/>
              <a:ext cx="2970373"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𝑟_</a:t>
              </a:r>
              <a:r>
                <a:rPr lang="en-US" sz="1100" b="0" i="0">
                  <a:latin typeface="Cambria Math" panose="02040503050406030204" pitchFamily="18" charset="0"/>
                </a:rPr>
                <a:t>𝑒=</a:t>
              </a:r>
              <a:r>
                <a:rPr lang="he-IL" sz="1100" b="0" i="0">
                  <a:latin typeface="Cambria Math" panose="02040503050406030204" pitchFamily="18" charset="0"/>
                </a:rPr>
                <a:t>100/90−1=11.11%</a:t>
              </a:r>
              <a:endParaRPr lang="en-US" sz="1100"/>
            </a:p>
          </xdr:txBody>
        </xdr:sp>
      </mc:Fallback>
    </mc:AlternateContent>
    <xdr:clientData/>
  </xdr:oneCellAnchor>
  <xdr:oneCellAnchor>
    <xdr:from>
      <xdr:col>4</xdr:col>
      <xdr:colOff>444501</xdr:colOff>
      <xdr:row>273</xdr:row>
      <xdr:rowOff>257174</xdr:rowOff>
    </xdr:from>
    <xdr:ext cx="2970373" cy="32464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B477EF67-B3E7-E503-7DFF-50F3551B4C2E}"/>
                </a:ext>
              </a:extLst>
            </xdr:cNvPr>
            <xdr:cNvSpPr txBox="1"/>
          </xdr:nvSpPr>
          <xdr:spPr>
            <a:xfrm>
              <a:off x="13518378314" y="58073924"/>
              <a:ext cx="2970373"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he-IL" sz="1100" b="0" i="1">
                            <a:latin typeface="Cambria Math" panose="02040503050406030204" pitchFamily="18" charset="0"/>
                          </a:rPr>
                        </m:ctrlPr>
                      </m:fPr>
                      <m:num>
                        <m:r>
                          <a:rPr lang="he-IL" sz="1100" b="0" i="1">
                            <a:latin typeface="Cambria Math" panose="02040503050406030204" pitchFamily="18" charset="0"/>
                          </a:rPr>
                          <m:t>1</m:t>
                        </m:r>
                      </m:num>
                      <m:den>
                        <m:r>
                          <a:rPr lang="he-IL" sz="1100" b="0" i="1">
                            <a:latin typeface="Cambria Math" panose="02040503050406030204" pitchFamily="18" charset="0"/>
                          </a:rPr>
                          <m:t>1−</m:t>
                        </m:r>
                        <m:r>
                          <a:rPr lang="en-US" sz="1100" b="0" i="1">
                            <a:latin typeface="Cambria Math" panose="02040503050406030204" pitchFamily="18" charset="0"/>
                          </a:rPr>
                          <m:t>𝑑</m:t>
                        </m:r>
                      </m:den>
                    </m:f>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1−10%</m:t>
                        </m:r>
                      </m:den>
                    </m:f>
                    <m:r>
                      <a:rPr lang="en-US" sz="1100" b="0" i="1">
                        <a:latin typeface="Cambria Math" panose="02040503050406030204" pitchFamily="18" charset="0"/>
                      </a:rPr>
                      <m:t>−1=11.11%</m:t>
                    </m:r>
                  </m:oMath>
                </m:oMathPara>
              </a14:m>
              <a:endParaRPr lang="en-US" sz="1100"/>
            </a:p>
          </xdr:txBody>
        </xdr:sp>
      </mc:Choice>
      <mc:Fallback xmlns="">
        <xdr:sp macro="" textlink="">
          <xdr:nvSpPr>
            <xdr:cNvPr id="84" name="TextBox 83">
              <a:extLst>
                <a:ext uri="{FF2B5EF4-FFF2-40B4-BE49-F238E27FC236}">
                  <a16:creationId xmlns:a16="http://schemas.microsoft.com/office/drawing/2014/main" id="{B477EF67-B3E7-E503-7DFF-50F3551B4C2E}"/>
                </a:ext>
              </a:extLst>
            </xdr:cNvPr>
            <xdr:cNvSpPr txBox="1"/>
          </xdr:nvSpPr>
          <xdr:spPr>
            <a:xfrm>
              <a:off x="13518378314" y="58073924"/>
              <a:ext cx="2970373"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a:t>
              </a:r>
              <a:r>
                <a:rPr lang="he-IL" sz="1100" b="0" i="0">
                  <a:latin typeface="Cambria Math" panose="02040503050406030204" pitchFamily="18" charset="0"/>
                </a:rPr>
                <a:t>1/(1−</a:t>
              </a:r>
              <a:r>
                <a:rPr lang="en-US" sz="1100" b="0" i="0">
                  <a:latin typeface="Cambria Math" panose="02040503050406030204" pitchFamily="18" charset="0"/>
                </a:rPr>
                <a:t>𝑑</a:t>
              </a:r>
              <a:r>
                <a:rPr lang="he-IL" sz="1100" b="0" i="0">
                  <a:latin typeface="Cambria Math" panose="02040503050406030204" pitchFamily="18" charset="0"/>
                </a:rPr>
                <a:t>)</a:t>
              </a:r>
              <a:r>
                <a:rPr lang="en-US" sz="1100" b="0" i="0">
                  <a:latin typeface="Cambria Math" panose="02040503050406030204" pitchFamily="18" charset="0"/>
                </a:rPr>
                <a:t>−1=1/(1−10%)−1=11.11%</a:t>
              </a:r>
              <a:endParaRPr lang="en-US" sz="1100"/>
            </a:p>
          </xdr:txBody>
        </xdr:sp>
      </mc:Fallback>
    </mc:AlternateContent>
    <xdr:clientData/>
  </xdr:oneCellAnchor>
  <xdr:oneCellAnchor>
    <xdr:from>
      <xdr:col>12</xdr:col>
      <xdr:colOff>492125</xdr:colOff>
      <xdr:row>270</xdr:row>
      <xdr:rowOff>265112</xdr:rowOff>
    </xdr:from>
    <xdr:ext cx="2970373" cy="354328"/>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25A4EA4A-1166-DEA9-D680-CB0B6C2AC6DE}"/>
                </a:ext>
              </a:extLst>
            </xdr:cNvPr>
            <xdr:cNvSpPr txBox="1"/>
          </xdr:nvSpPr>
          <xdr:spPr>
            <a:xfrm>
              <a:off x="13511623502" y="56510237"/>
              <a:ext cx="2970373"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he-IL" sz="1100" b="0" i="1">
                            <a:solidFill>
                              <a:srgbClr val="0070C0"/>
                            </a:solidFill>
                            <a:latin typeface="Cambria Math" panose="02040503050406030204" pitchFamily="18" charset="0"/>
                          </a:rPr>
                        </m:ctrlPr>
                      </m:sSubPr>
                      <m:e>
                        <m:r>
                          <a:rPr lang="he-IL" sz="1100" b="0" i="1">
                            <a:solidFill>
                              <a:srgbClr val="0070C0"/>
                            </a:solidFill>
                            <a:latin typeface="Cambria Math" panose="02040503050406030204" pitchFamily="18" charset="0"/>
                          </a:rPr>
                          <m:t>𝑟</m:t>
                        </m:r>
                      </m:e>
                      <m:sub>
                        <m:r>
                          <a:rPr lang="en-US" sz="1100" b="0" i="1">
                            <a:solidFill>
                              <a:srgbClr val="0070C0"/>
                            </a:solidFill>
                            <a:latin typeface="Cambria Math" panose="02040503050406030204" pitchFamily="18" charset="0"/>
                          </a:rPr>
                          <m:t>𝑒</m:t>
                        </m:r>
                      </m:sub>
                    </m:sSub>
                    <m:r>
                      <a:rPr lang="en-US" sz="1100" b="0" i="1">
                        <a:solidFill>
                          <a:srgbClr val="0070C0"/>
                        </a:solidFill>
                        <a:latin typeface="Cambria Math" panose="02040503050406030204" pitchFamily="18" charset="0"/>
                      </a:rPr>
                      <m:t>=</m:t>
                    </m:r>
                    <m:sSup>
                      <m:sSupPr>
                        <m:ctrlPr>
                          <a:rPr lang="en-US" sz="1100" b="0" i="1">
                            <a:solidFill>
                              <a:srgbClr val="0070C0"/>
                            </a:solidFill>
                            <a:latin typeface="Cambria Math" panose="02040503050406030204" pitchFamily="18" charset="0"/>
                          </a:rPr>
                        </m:ctrlPr>
                      </m:sSupPr>
                      <m:e>
                        <m:d>
                          <m:dPr>
                            <m:ctrlPr>
                              <a:rPr lang="en-US" sz="1100" b="0" i="1">
                                <a:solidFill>
                                  <a:srgbClr val="0070C0"/>
                                </a:solidFill>
                                <a:latin typeface="Cambria Math" panose="02040503050406030204" pitchFamily="18" charset="0"/>
                              </a:rPr>
                            </m:ctrlPr>
                          </m:dPr>
                          <m:e>
                            <m:r>
                              <a:rPr lang="en-US" sz="1100" b="0" i="0">
                                <a:solidFill>
                                  <a:srgbClr val="0070C0"/>
                                </a:solidFill>
                                <a:latin typeface="Cambria Math" panose="02040503050406030204" pitchFamily="18" charset="0"/>
                              </a:rPr>
                              <m:t>1+</m:t>
                            </m:r>
                            <m:f>
                              <m:fPr>
                                <m:ctrlPr>
                                  <a:rPr lang="en-US" sz="1100" b="0" i="1">
                                    <a:solidFill>
                                      <a:srgbClr val="0070C0"/>
                                    </a:solidFill>
                                    <a:latin typeface="Cambria Math" panose="02040503050406030204" pitchFamily="18" charset="0"/>
                                  </a:rPr>
                                </m:ctrlPr>
                              </m:fPr>
                              <m:num>
                                <m:r>
                                  <m:rPr>
                                    <m:sty m:val="p"/>
                                  </m:rPr>
                                  <a:rPr lang="en-US" sz="1100" b="0" i="0">
                                    <a:solidFill>
                                      <a:srgbClr val="0070C0"/>
                                    </a:solidFill>
                                    <a:latin typeface="Cambria Math" panose="02040503050406030204" pitchFamily="18" charset="0"/>
                                  </a:rPr>
                                  <m:t>R</m:t>
                                </m:r>
                              </m:num>
                              <m:den>
                                <m:r>
                                  <a:rPr lang="en-US" sz="1100" b="0" i="1">
                                    <a:solidFill>
                                      <a:srgbClr val="0070C0"/>
                                    </a:solidFill>
                                    <a:latin typeface="Cambria Math" panose="02040503050406030204" pitchFamily="18" charset="0"/>
                                  </a:rPr>
                                  <m:t>𝑛</m:t>
                                </m:r>
                              </m:den>
                            </m:f>
                          </m:e>
                        </m:d>
                      </m:e>
                      <m:sup>
                        <m:r>
                          <a:rPr lang="en-US" sz="1100" b="0" i="1">
                            <a:solidFill>
                              <a:srgbClr val="0070C0"/>
                            </a:solidFill>
                            <a:latin typeface="Cambria Math" panose="02040503050406030204" pitchFamily="18" charset="0"/>
                          </a:rPr>
                          <m:t>𝑚</m:t>
                        </m:r>
                      </m:sup>
                    </m:sSup>
                    <m:r>
                      <a:rPr lang="en-US" sz="1100" b="0" i="1">
                        <a:solidFill>
                          <a:srgbClr val="0070C0"/>
                        </a:solidFill>
                        <a:latin typeface="Cambria Math" panose="02040503050406030204" pitchFamily="18" charset="0"/>
                      </a:rPr>
                      <m:t>−1=</m:t>
                    </m:r>
                    <m:sSup>
                      <m:sSupPr>
                        <m:ctrlPr>
                          <a:rPr lang="en-US" sz="1100" b="0" i="1">
                            <a:solidFill>
                              <a:srgbClr val="0070C0"/>
                            </a:solidFill>
                            <a:latin typeface="Cambria Math" panose="02040503050406030204" pitchFamily="18" charset="0"/>
                          </a:rPr>
                        </m:ctrlPr>
                      </m:sSupPr>
                      <m:e>
                        <m:d>
                          <m:dPr>
                            <m:ctrlPr>
                              <a:rPr lang="en-US" sz="1100" b="0" i="1">
                                <a:solidFill>
                                  <a:srgbClr val="0070C0"/>
                                </a:solidFill>
                                <a:latin typeface="Cambria Math" panose="02040503050406030204" pitchFamily="18" charset="0"/>
                              </a:rPr>
                            </m:ctrlPr>
                          </m:dPr>
                          <m:e>
                            <m:r>
                              <a:rPr lang="en-US" sz="1100" b="0" i="1">
                                <a:solidFill>
                                  <a:srgbClr val="0070C0"/>
                                </a:solidFill>
                                <a:latin typeface="Cambria Math" panose="02040503050406030204" pitchFamily="18" charset="0"/>
                              </a:rPr>
                              <m:t>1+</m:t>
                            </m:r>
                            <m:f>
                              <m:fPr>
                                <m:ctrlPr>
                                  <a:rPr lang="en-US" sz="1100" b="0" i="1">
                                    <a:solidFill>
                                      <a:srgbClr val="0070C0"/>
                                    </a:solidFill>
                                    <a:latin typeface="Cambria Math" panose="02040503050406030204" pitchFamily="18" charset="0"/>
                                  </a:rPr>
                                </m:ctrlPr>
                              </m:fPr>
                              <m:num>
                                <m:r>
                                  <a:rPr lang="en-US" sz="1100" b="0" i="1">
                                    <a:solidFill>
                                      <a:srgbClr val="0070C0"/>
                                    </a:solidFill>
                                    <a:latin typeface="Cambria Math" panose="02040503050406030204" pitchFamily="18" charset="0"/>
                                  </a:rPr>
                                  <m:t>12%</m:t>
                                </m:r>
                              </m:num>
                              <m:den>
                                <m:r>
                                  <a:rPr lang="en-US" sz="1100" b="0" i="1">
                                    <a:solidFill>
                                      <a:srgbClr val="0070C0"/>
                                    </a:solidFill>
                                    <a:latin typeface="Cambria Math" panose="02040503050406030204" pitchFamily="18" charset="0"/>
                                  </a:rPr>
                                  <m:t>4</m:t>
                                </m:r>
                              </m:den>
                            </m:f>
                          </m:e>
                        </m:d>
                      </m:e>
                      <m:sup>
                        <m:r>
                          <a:rPr lang="he-IL" sz="1100" b="0" i="1">
                            <a:solidFill>
                              <a:srgbClr val="0070C0"/>
                            </a:solidFill>
                            <a:latin typeface="Cambria Math" panose="02040503050406030204" pitchFamily="18" charset="0"/>
                          </a:rPr>
                          <m:t>3</m:t>
                        </m:r>
                      </m:sup>
                    </m:sSup>
                    <m:r>
                      <a:rPr lang="en-US" sz="1100" b="0" i="1">
                        <a:solidFill>
                          <a:srgbClr val="0070C0"/>
                        </a:solidFill>
                        <a:latin typeface="Cambria Math" panose="02040503050406030204" pitchFamily="18" charset="0"/>
                      </a:rPr>
                      <m:t>−1=</m:t>
                    </m:r>
                  </m:oMath>
                </m:oMathPara>
              </a14:m>
              <a:endParaRPr lang="en-US" sz="1100">
                <a:solidFill>
                  <a:srgbClr val="0070C0"/>
                </a:solidFill>
              </a:endParaRPr>
            </a:p>
          </xdr:txBody>
        </xdr:sp>
      </mc:Choice>
      <mc:Fallback xmlns="">
        <xdr:sp macro="" textlink="">
          <xdr:nvSpPr>
            <xdr:cNvPr id="85" name="TextBox 84">
              <a:extLst>
                <a:ext uri="{FF2B5EF4-FFF2-40B4-BE49-F238E27FC236}">
                  <a16:creationId xmlns:a16="http://schemas.microsoft.com/office/drawing/2014/main" id="{25A4EA4A-1166-DEA9-D680-CB0B6C2AC6DE}"/>
                </a:ext>
              </a:extLst>
            </xdr:cNvPr>
            <xdr:cNvSpPr txBox="1"/>
          </xdr:nvSpPr>
          <xdr:spPr>
            <a:xfrm>
              <a:off x="13511623502" y="56510237"/>
              <a:ext cx="2970373"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solidFill>
                    <a:srgbClr val="0070C0"/>
                  </a:solidFill>
                  <a:latin typeface="Cambria Math" panose="02040503050406030204" pitchFamily="18" charset="0"/>
                </a:rPr>
                <a:t>𝑟_</a:t>
              </a:r>
              <a:r>
                <a:rPr lang="en-US" sz="1100" b="0" i="0">
                  <a:solidFill>
                    <a:srgbClr val="0070C0"/>
                  </a:solidFill>
                  <a:latin typeface="Cambria Math" panose="02040503050406030204" pitchFamily="18" charset="0"/>
                </a:rPr>
                <a:t>𝑒=(1+R/𝑛)^𝑚−1=(1+(12%)/4)^</a:t>
              </a:r>
              <a:r>
                <a:rPr lang="he-IL" sz="1100" b="0" i="0">
                  <a:solidFill>
                    <a:srgbClr val="0070C0"/>
                  </a:solidFill>
                  <a:latin typeface="Cambria Math" panose="02040503050406030204" pitchFamily="18" charset="0"/>
                </a:rPr>
                <a:t>3</a:t>
              </a:r>
              <a:r>
                <a:rPr lang="en-US" sz="1100" b="0" i="0">
                  <a:solidFill>
                    <a:srgbClr val="0070C0"/>
                  </a:solidFill>
                  <a:latin typeface="Cambria Math" panose="02040503050406030204" pitchFamily="18" charset="0"/>
                </a:rPr>
                <a:t>−1=</a:t>
              </a:r>
              <a:endParaRPr lang="en-US" sz="1100">
                <a:solidFill>
                  <a:srgbClr val="0070C0"/>
                </a:solidFill>
              </a:endParaRPr>
            </a:p>
          </xdr:txBody>
        </xdr:sp>
      </mc:Fallback>
    </mc:AlternateContent>
    <xdr:clientData/>
  </xdr:oneCellAnchor>
  <xdr:twoCellAnchor>
    <xdr:from>
      <xdr:col>12</xdr:col>
      <xdr:colOff>500062</xdr:colOff>
      <xdr:row>269</xdr:row>
      <xdr:rowOff>127000</xdr:rowOff>
    </xdr:from>
    <xdr:to>
      <xdr:col>16</xdr:col>
      <xdr:colOff>801687</xdr:colOff>
      <xdr:row>270</xdr:row>
      <xdr:rowOff>127000</xdr:rowOff>
    </xdr:to>
    <xdr:sp macro="" textlink="">
      <xdr:nvSpPr>
        <xdr:cNvPr id="86" name="Rounded Rectangle 85">
          <a:extLst>
            <a:ext uri="{FF2B5EF4-FFF2-40B4-BE49-F238E27FC236}">
              <a16:creationId xmlns:a16="http://schemas.microsoft.com/office/drawing/2014/main" id="{38B63540-66AE-EE0E-F14B-E4AE14F88DD5}"/>
            </a:ext>
          </a:extLst>
        </xdr:cNvPr>
        <xdr:cNvSpPr/>
      </xdr:nvSpPr>
      <xdr:spPr>
        <a:xfrm>
          <a:off x="13510982313" y="55927625"/>
          <a:ext cx="3603625" cy="4445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900"/>
            <a:t>כל עוד אין שינוי בריבית</a:t>
          </a:r>
          <a:r>
            <a:rPr lang="he-IL" sz="900" baseline="0"/>
            <a:t> הנקובה ותדירות חישובה השבר בבסיס החזקה R</a:t>
          </a:r>
          <a:r>
            <a:rPr lang="en-US" sz="900" baseline="0"/>
            <a:t> / n</a:t>
          </a:r>
          <a:r>
            <a:rPr lang="he-IL" sz="900" baseline="0"/>
            <a:t> זהה, רק המעריך משתנה</a:t>
          </a:r>
          <a:endParaRPr lang="en-US" sz="900"/>
        </a:p>
      </xdr:txBody>
    </xdr:sp>
    <xdr:clientData/>
  </xdr:twoCellAnchor>
  <xdr:oneCellAnchor>
    <xdr:from>
      <xdr:col>8</xdr:col>
      <xdr:colOff>539751</xdr:colOff>
      <xdr:row>279</xdr:row>
      <xdr:rowOff>26987</xdr:rowOff>
    </xdr:from>
    <xdr:ext cx="3041811" cy="355034"/>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09A1BEDB-83DB-A48D-2F81-BBE8727754D0}"/>
                </a:ext>
              </a:extLst>
            </xdr:cNvPr>
            <xdr:cNvSpPr txBox="1"/>
          </xdr:nvSpPr>
          <xdr:spPr>
            <a:xfrm>
              <a:off x="13514806438" y="60399612"/>
              <a:ext cx="3041811" cy="35503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𝑅</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sSup>
                      <m:sSupPr>
                        <m:ctrlPr>
                          <a:rPr lang="he-IL"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m:t>
                            </m:r>
                            <m:f>
                              <m:fPr>
                                <m:ctrlPr>
                                  <a:rPr lang="he-IL" sz="1100" b="0" i="1">
                                    <a:latin typeface="Cambria Math" panose="02040503050406030204" pitchFamily="18" charset="0"/>
                                  </a:rPr>
                                </m:ctrlPr>
                              </m:fPr>
                              <m:num>
                                <m:r>
                                  <a:rPr lang="he-IL" sz="1100" b="0" i="1">
                                    <a:latin typeface="Cambria Math" panose="02040503050406030204" pitchFamily="18" charset="0"/>
                                  </a:rPr>
                                  <m:t>6%</m:t>
                                </m:r>
                              </m:num>
                              <m:den>
                                <m:r>
                                  <a:rPr lang="he-IL" sz="1100" b="0" i="1">
                                    <a:latin typeface="Cambria Math" panose="02040503050406030204" pitchFamily="18" charset="0"/>
                                  </a:rPr>
                                  <m:t>6</m:t>
                                </m:r>
                              </m:den>
                            </m:f>
                          </m:e>
                        </m:d>
                      </m:e>
                      <m:sup>
                        <m:r>
                          <a:rPr lang="he-IL" sz="1100" b="0" i="1">
                            <a:latin typeface="Cambria Math" panose="02040503050406030204" pitchFamily="18" charset="0"/>
                          </a:rPr>
                          <m:t>12</m:t>
                        </m:r>
                      </m:sup>
                    </m:sSup>
                    <m:r>
                      <a:rPr lang="he-IL" sz="1100" b="0" i="1">
                        <a:latin typeface="Cambria Math" panose="02040503050406030204" pitchFamily="18" charset="0"/>
                      </a:rPr>
                      <m:t>−1=12.683%</m:t>
                    </m:r>
                  </m:oMath>
                </m:oMathPara>
              </a14:m>
              <a:endParaRPr lang="en-US" sz="1100"/>
            </a:p>
          </xdr:txBody>
        </xdr:sp>
      </mc:Choice>
      <mc:Fallback xmlns="">
        <xdr:sp macro="" textlink="">
          <xdr:nvSpPr>
            <xdr:cNvPr id="87" name="TextBox 86">
              <a:extLst>
                <a:ext uri="{FF2B5EF4-FFF2-40B4-BE49-F238E27FC236}">
                  <a16:creationId xmlns:a16="http://schemas.microsoft.com/office/drawing/2014/main" id="{09A1BEDB-83DB-A48D-2F81-BBE8727754D0}"/>
                </a:ext>
              </a:extLst>
            </xdr:cNvPr>
            <xdr:cNvSpPr txBox="1"/>
          </xdr:nvSpPr>
          <xdr:spPr>
            <a:xfrm>
              <a:off x="13514806438" y="60399612"/>
              <a:ext cx="3041811" cy="35503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(1+𝑅/𝑛)^𝑚−1=</a:t>
              </a:r>
              <a:r>
                <a:rPr lang="he-IL" sz="1100" b="0" i="0">
                  <a:latin typeface="Cambria Math" panose="02040503050406030204" pitchFamily="18" charset="0"/>
                </a:rPr>
                <a:t>(1+(6%)/6)^12−1=12.683%</a:t>
              </a:r>
              <a:endParaRPr lang="en-US" sz="1100"/>
            </a:p>
          </xdr:txBody>
        </xdr:sp>
      </mc:Fallback>
    </mc:AlternateContent>
    <xdr:clientData/>
  </xdr:oneCellAnchor>
  <xdr:oneCellAnchor>
    <xdr:from>
      <xdr:col>1</xdr:col>
      <xdr:colOff>630971</xdr:colOff>
      <xdr:row>312</xdr:row>
      <xdr:rowOff>20724</xdr:rowOff>
    </xdr:from>
    <xdr:ext cx="1700712" cy="34015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A4E089F9-AD54-44FD-1930-4EFCA8C48419}"/>
                </a:ext>
              </a:extLst>
            </xdr:cNvPr>
            <xdr:cNvSpPr txBox="1"/>
          </xdr:nvSpPr>
          <xdr:spPr>
            <a:xfrm>
              <a:off x="13521938005" y="67219599"/>
              <a:ext cx="1700712"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en-US"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𝑅</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88" name="TextBox 87">
              <a:extLst>
                <a:ext uri="{FF2B5EF4-FFF2-40B4-BE49-F238E27FC236}">
                  <a16:creationId xmlns:a16="http://schemas.microsoft.com/office/drawing/2014/main" id="{A4E089F9-AD54-44FD-1930-4EFCA8C48419}"/>
                </a:ext>
              </a:extLst>
            </xdr:cNvPr>
            <xdr:cNvSpPr txBox="1"/>
          </xdr:nvSpPr>
          <xdr:spPr>
            <a:xfrm>
              <a:off x="13521938005" y="67219599"/>
              <a:ext cx="1700712"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𝑅/𝑛)^𝑚−1</a:t>
              </a:r>
              <a:endParaRPr lang="en-US" sz="1100"/>
            </a:p>
          </xdr:txBody>
        </xdr:sp>
      </mc:Fallback>
    </mc:AlternateContent>
    <xdr:clientData/>
  </xdr:oneCellAnchor>
  <xdr:oneCellAnchor>
    <xdr:from>
      <xdr:col>5</xdr:col>
      <xdr:colOff>107095</xdr:colOff>
      <xdr:row>324</xdr:row>
      <xdr:rowOff>163599</xdr:rowOff>
    </xdr:from>
    <xdr:ext cx="1700712" cy="340158"/>
    <mc:AlternateContent xmlns:mc="http://schemas.openxmlformats.org/markup-compatibility/2006" xmlns:a14="http://schemas.microsoft.com/office/drawing/2010/main">
      <mc:Choice Requires="a14">
        <xdr:sp macro="" textlink="">
          <xdr:nvSpPr>
            <xdr:cNvPr id="89" name="TextBox 88">
              <a:extLst>
                <a:ext uri="{FF2B5EF4-FFF2-40B4-BE49-F238E27FC236}">
                  <a16:creationId xmlns:a16="http://schemas.microsoft.com/office/drawing/2014/main" id="{D7A85202-A008-3FFC-746E-0410EA74DC14}"/>
                </a:ext>
              </a:extLst>
            </xdr:cNvPr>
            <xdr:cNvSpPr txBox="1"/>
          </xdr:nvSpPr>
          <xdr:spPr>
            <a:xfrm>
              <a:off x="13519120193" y="69838974"/>
              <a:ext cx="1700712"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en-US"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𝑅</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89" name="TextBox 88">
              <a:extLst>
                <a:ext uri="{FF2B5EF4-FFF2-40B4-BE49-F238E27FC236}">
                  <a16:creationId xmlns:a16="http://schemas.microsoft.com/office/drawing/2014/main" id="{D7A85202-A008-3FFC-746E-0410EA74DC14}"/>
                </a:ext>
              </a:extLst>
            </xdr:cNvPr>
            <xdr:cNvSpPr txBox="1"/>
          </xdr:nvSpPr>
          <xdr:spPr>
            <a:xfrm>
              <a:off x="13519120193" y="69838974"/>
              <a:ext cx="1700712"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𝑅/𝑛)^𝑚−1</a:t>
              </a:r>
              <a:endParaRPr lang="en-US" sz="1100"/>
            </a:p>
          </xdr:txBody>
        </xdr:sp>
      </mc:Fallback>
    </mc:AlternateContent>
    <xdr:clientData/>
  </xdr:oneCellAnchor>
  <xdr:twoCellAnchor>
    <xdr:from>
      <xdr:col>2</xdr:col>
      <xdr:colOff>52849</xdr:colOff>
      <xdr:row>330</xdr:row>
      <xdr:rowOff>190659</xdr:rowOff>
    </xdr:from>
    <xdr:to>
      <xdr:col>2</xdr:col>
      <xdr:colOff>52849</xdr:colOff>
      <xdr:row>332</xdr:row>
      <xdr:rowOff>73631</xdr:rowOff>
    </xdr:to>
    <xdr:cxnSp macro="">
      <xdr:nvCxnSpPr>
        <xdr:cNvPr id="90" name="Straight Arrow Connector 89">
          <a:extLst>
            <a:ext uri="{FF2B5EF4-FFF2-40B4-BE49-F238E27FC236}">
              <a16:creationId xmlns:a16="http://schemas.microsoft.com/office/drawing/2014/main" id="{3D39025C-1475-B5A5-B290-7BAC5F578EE8}"/>
            </a:ext>
          </a:extLst>
        </xdr:cNvPr>
        <xdr:cNvCxnSpPr/>
      </xdr:nvCxnSpPr>
      <xdr:spPr>
        <a:xfrm>
          <a:off x="13523391339" y="71120159"/>
          <a:ext cx="0" cy="29572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635000</xdr:colOff>
      <xdr:row>333</xdr:row>
      <xdr:rowOff>150813</xdr:rowOff>
    </xdr:from>
    <xdr:to>
      <xdr:col>14</xdr:col>
      <xdr:colOff>158750</xdr:colOff>
      <xdr:row>342</xdr:row>
      <xdr:rowOff>63500</xdr:rowOff>
    </xdr:to>
    <xdr:sp macro="" textlink="">
      <xdr:nvSpPr>
        <xdr:cNvPr id="91" name="Rounded Rectangle 90">
          <a:extLst>
            <a:ext uri="{FF2B5EF4-FFF2-40B4-BE49-F238E27FC236}">
              <a16:creationId xmlns:a16="http://schemas.microsoft.com/office/drawing/2014/main" id="{FCAE1164-F9CC-0B22-4F57-2BE741064933}"/>
            </a:ext>
          </a:extLst>
        </xdr:cNvPr>
        <xdr:cNvSpPr/>
      </xdr:nvSpPr>
      <xdr:spPr>
        <a:xfrm>
          <a:off x="13513276250" y="71699438"/>
          <a:ext cx="3651250" cy="177006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תקופת העסקה לא רלוונטית כאן.</a:t>
          </a:r>
        </a:p>
        <a:p>
          <a:pPr algn="r" rtl="1"/>
          <a:r>
            <a:rPr lang="he-IL" sz="1100"/>
            <a:t>מדוע? משום שדרשו ריבית אפקטיבית לשנה, ולא ריבית אפקטיבית לתקופת העסקה.</a:t>
          </a:r>
        </a:p>
        <a:p>
          <a:pPr algn="r" rtl="1"/>
          <a:r>
            <a:rPr lang="he-IL" sz="1100"/>
            <a:t>משל למה הדבר דומה?</a:t>
          </a:r>
        </a:p>
        <a:p>
          <a:pPr algn="r" rtl="1"/>
          <a:r>
            <a:rPr lang="he-IL" sz="1100"/>
            <a:t>אם נשאל ״כמה עולה ליטר דלק״ האם התשובה תשתנה במידה והחלטתי לרכוש חצי ליטר?</a:t>
          </a:r>
        </a:p>
        <a:p>
          <a:pPr algn="r" rtl="1"/>
          <a:r>
            <a:rPr lang="he-IL" sz="1100"/>
            <a:t>התשובה היא - לא. </a:t>
          </a:r>
        </a:p>
        <a:p>
          <a:pPr algn="r" rtl="1"/>
          <a:r>
            <a:rPr lang="he-IL" sz="1100"/>
            <a:t>בדיוק אותו עקרון. חישוב</a:t>
          </a:r>
          <a:r>
            <a:rPr lang="he-IL" sz="1100" baseline="0"/>
            <a:t> הריבית הוא לתקופה הנדרשת, גם אם היא שונה מתקופת העסקה. לכן עסקתי פה רק בשנה.</a:t>
          </a:r>
          <a:endParaRPr lang="en-US" sz="1100"/>
        </a:p>
      </xdr:txBody>
    </xdr:sp>
    <xdr:clientData/>
  </xdr:twoCellAnchor>
  <xdr:oneCellAnchor>
    <xdr:from>
      <xdr:col>11</xdr:col>
      <xdr:colOff>103187</xdr:colOff>
      <xdr:row>346</xdr:row>
      <xdr:rowOff>106363</xdr:rowOff>
    </xdr:from>
    <xdr:ext cx="1882936" cy="316882"/>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C114A010-45DC-1935-C9DE-16F1182D2C36}"/>
                </a:ext>
              </a:extLst>
            </xdr:cNvPr>
            <xdr:cNvSpPr txBox="1"/>
          </xdr:nvSpPr>
          <xdr:spPr>
            <a:xfrm>
              <a:off x="13513925377" y="74337863"/>
              <a:ext cx="1882936"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1−</m:t>
                        </m:r>
                        <m:r>
                          <a:rPr lang="en-US" sz="1100" b="0" i="1">
                            <a:latin typeface="Cambria Math" panose="02040503050406030204" pitchFamily="18" charset="0"/>
                          </a:rPr>
                          <m:t>𝑑</m:t>
                        </m:r>
                      </m:den>
                    </m:f>
                    <m:r>
                      <a:rPr lang="en-US" sz="1100" b="0" i="1">
                        <a:latin typeface="Cambria Math" panose="02040503050406030204" pitchFamily="18" charset="0"/>
                      </a:rPr>
                      <m:t>−1</m:t>
                    </m:r>
                  </m:oMath>
                </m:oMathPara>
              </a14:m>
              <a:endParaRPr lang="en-US" sz="1100"/>
            </a:p>
          </xdr:txBody>
        </xdr:sp>
      </mc:Choice>
      <mc:Fallback xmlns="">
        <xdr:sp macro="" textlink="">
          <xdr:nvSpPr>
            <xdr:cNvPr id="92" name="TextBox 91">
              <a:extLst>
                <a:ext uri="{FF2B5EF4-FFF2-40B4-BE49-F238E27FC236}">
                  <a16:creationId xmlns:a16="http://schemas.microsoft.com/office/drawing/2014/main" id="{C114A010-45DC-1935-C9DE-16F1182D2C36}"/>
                </a:ext>
              </a:extLst>
            </xdr:cNvPr>
            <xdr:cNvSpPr txBox="1"/>
          </xdr:nvSpPr>
          <xdr:spPr>
            <a:xfrm>
              <a:off x="13513925377" y="74337863"/>
              <a:ext cx="1882936"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𝑟_𝑒=1/(1−𝑑)−1</a:t>
              </a:r>
              <a:endParaRPr lang="en-US" sz="1100"/>
            </a:p>
          </xdr:txBody>
        </xdr:sp>
      </mc:Fallback>
    </mc:AlternateContent>
    <xdr:clientData/>
  </xdr:oneCellAnchor>
  <xdr:oneCellAnchor>
    <xdr:from>
      <xdr:col>11</xdr:col>
      <xdr:colOff>492124</xdr:colOff>
      <xdr:row>352</xdr:row>
      <xdr:rowOff>169863</xdr:rowOff>
    </xdr:from>
    <xdr:ext cx="1882936" cy="324641"/>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1CC2A4BA-82CA-3304-BDD6-91B0D327D94E}"/>
                </a:ext>
              </a:extLst>
            </xdr:cNvPr>
            <xdr:cNvSpPr txBox="1"/>
          </xdr:nvSpPr>
          <xdr:spPr>
            <a:xfrm>
              <a:off x="13513536440" y="75639613"/>
              <a:ext cx="1882936"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1−</m:t>
                        </m:r>
                        <m:r>
                          <a:rPr lang="he-IL" sz="1100" b="0" i="1">
                            <a:latin typeface="Cambria Math" panose="02040503050406030204" pitchFamily="18" charset="0"/>
                          </a:rPr>
                          <m:t>30%</m:t>
                        </m:r>
                      </m:den>
                    </m:f>
                    <m:r>
                      <a:rPr lang="en-US" sz="1100" b="0" i="1">
                        <a:latin typeface="Cambria Math" panose="02040503050406030204" pitchFamily="18" charset="0"/>
                      </a:rPr>
                      <m:t>−1</m:t>
                    </m:r>
                    <m:r>
                      <a:rPr lang="he-IL" sz="1100" b="0" i="1">
                        <a:latin typeface="Cambria Math" panose="02040503050406030204" pitchFamily="18" charset="0"/>
                      </a:rPr>
                      <m:t>=</m:t>
                    </m:r>
                  </m:oMath>
                </m:oMathPara>
              </a14:m>
              <a:endParaRPr lang="en-US" sz="1100"/>
            </a:p>
          </xdr:txBody>
        </xdr:sp>
      </mc:Choice>
      <mc:Fallback xmlns="">
        <xdr:sp macro="" textlink="">
          <xdr:nvSpPr>
            <xdr:cNvPr id="93" name="TextBox 92">
              <a:extLst>
                <a:ext uri="{FF2B5EF4-FFF2-40B4-BE49-F238E27FC236}">
                  <a16:creationId xmlns:a16="http://schemas.microsoft.com/office/drawing/2014/main" id="{1CC2A4BA-82CA-3304-BDD6-91B0D327D94E}"/>
                </a:ext>
              </a:extLst>
            </xdr:cNvPr>
            <xdr:cNvSpPr txBox="1"/>
          </xdr:nvSpPr>
          <xdr:spPr>
            <a:xfrm>
              <a:off x="13513536440" y="75639613"/>
              <a:ext cx="1882936"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𝑟_𝑒=1/(1−</a:t>
              </a:r>
              <a:r>
                <a:rPr lang="he-IL" sz="1100" b="0" i="0">
                  <a:latin typeface="Cambria Math" panose="02040503050406030204" pitchFamily="18" charset="0"/>
                </a:rPr>
                <a:t>30%</a:t>
              </a:r>
              <a:r>
                <a:rPr lang="en-US" sz="1100" b="0" i="0">
                  <a:latin typeface="Cambria Math" panose="02040503050406030204" pitchFamily="18" charset="0"/>
                </a:rPr>
                <a:t>)−1</a:t>
              </a:r>
              <a:r>
                <a:rPr lang="he-IL" sz="1100" b="0" i="0">
                  <a:latin typeface="Cambria Math" panose="02040503050406030204" pitchFamily="18" charset="0"/>
                </a:rPr>
                <a:t>=</a:t>
              </a:r>
              <a:endParaRPr lang="en-US" sz="1100"/>
            </a:p>
          </xdr:txBody>
        </xdr:sp>
      </mc:Fallback>
    </mc:AlternateContent>
    <xdr:clientData/>
  </xdr:oneCellAnchor>
  <xdr:oneCellAnchor>
    <xdr:from>
      <xdr:col>10</xdr:col>
      <xdr:colOff>492125</xdr:colOff>
      <xdr:row>357</xdr:row>
      <xdr:rowOff>138113</xdr:rowOff>
    </xdr:from>
    <xdr:ext cx="4208624" cy="287964"/>
    <mc:AlternateContent xmlns:mc="http://schemas.openxmlformats.org/markup-compatibility/2006" xmlns:a14="http://schemas.microsoft.com/office/drawing/2010/main">
      <mc:Choice Requires="a14">
        <xdr:sp macro="" textlink="">
          <xdr:nvSpPr>
            <xdr:cNvPr id="94" name="TextBox 93">
              <a:extLst>
                <a:ext uri="{FF2B5EF4-FFF2-40B4-BE49-F238E27FC236}">
                  <a16:creationId xmlns:a16="http://schemas.microsoft.com/office/drawing/2014/main" id="{C988D75F-0792-EFFF-1DD9-8EE443240A21}"/>
                </a:ext>
              </a:extLst>
            </xdr:cNvPr>
            <xdr:cNvSpPr txBox="1"/>
          </xdr:nvSpPr>
          <xdr:spPr>
            <a:xfrm>
              <a:off x="13512036251" y="76639738"/>
              <a:ext cx="4208624" cy="2879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r>
                                  <a:rPr lang="en-US" sz="1100" b="0" i="1">
                                    <a:latin typeface="Cambria Math" panose="02040503050406030204" pitchFamily="18" charset="0"/>
                                  </a:rPr>
                                  <m:t>5</m:t>
                                </m:r>
                                <m:r>
                                  <a:rPr lang="en-US" sz="1100" b="0" i="1">
                                    <a:latin typeface="Cambria Math" panose="02040503050406030204" pitchFamily="18" charset="0"/>
                                  </a:rPr>
                                  <m:t>𝑦𝑒𝑎𝑟𝑠</m:t>
                                </m:r>
                              </m:sub>
                            </m:sSub>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5</m:t>
                            </m:r>
                          </m:den>
                        </m:f>
                      </m:sup>
                    </m:sSup>
                    <m:r>
                      <a:rPr lang="en-US" sz="1100" b="0" i="1">
                        <a:latin typeface="Cambria Math" panose="02040503050406030204" pitchFamily="18" charset="0"/>
                      </a:rPr>
                      <m:t>−1=</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1+42.857%</m:t>
                            </m:r>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5</m:t>
                            </m:r>
                          </m:den>
                        </m:f>
                      </m:sup>
                    </m:sSup>
                    <m:r>
                      <a:rPr lang="en-US" sz="1100" b="0" i="1">
                        <a:latin typeface="Cambria Math" panose="02040503050406030204" pitchFamily="18" charset="0"/>
                      </a:rPr>
                      <m:t>−1=</m:t>
                    </m:r>
                  </m:oMath>
                </m:oMathPara>
              </a14:m>
              <a:endParaRPr lang="en-US" sz="1100"/>
            </a:p>
          </xdr:txBody>
        </xdr:sp>
      </mc:Choice>
      <mc:Fallback xmlns="">
        <xdr:sp macro="" textlink="">
          <xdr:nvSpPr>
            <xdr:cNvPr id="94" name="TextBox 93">
              <a:extLst>
                <a:ext uri="{FF2B5EF4-FFF2-40B4-BE49-F238E27FC236}">
                  <a16:creationId xmlns:a16="http://schemas.microsoft.com/office/drawing/2014/main" id="{C988D75F-0792-EFFF-1DD9-8EE443240A21}"/>
                </a:ext>
              </a:extLst>
            </xdr:cNvPr>
            <xdr:cNvSpPr txBox="1"/>
          </xdr:nvSpPr>
          <xdr:spPr>
            <a:xfrm>
              <a:off x="13512036251" y="76639738"/>
              <a:ext cx="4208624" cy="2879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(𝑎𝑛𝑛𝑢𝑎𝑙)=(1+𝑟_𝑒5𝑦𝑒𝑎𝑟𝑠 )^(1/5)−1=(1+42.857%)^(1/5)−1=</a:t>
              </a:r>
              <a:endParaRPr lang="en-US"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4</xdr:col>
      <xdr:colOff>742141</xdr:colOff>
      <xdr:row>119</xdr:row>
      <xdr:rowOff>49754</xdr:rowOff>
    </xdr:from>
    <xdr:ext cx="2221520" cy="25340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75294A8-4D49-2378-DE59-58FFEDAE37F6}"/>
                </a:ext>
              </a:extLst>
            </xdr:cNvPr>
            <xdr:cNvSpPr txBox="1"/>
          </xdr:nvSpPr>
          <xdr:spPr>
            <a:xfrm>
              <a:off x="13523006710" y="7999013"/>
              <a:ext cx="2221520" cy="2534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1+6.09%</m:t>
                            </m:r>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2</m:t>
                            </m:r>
                          </m:den>
                        </m:f>
                      </m:sup>
                    </m:sSup>
                    <m:r>
                      <a:rPr lang="en-US" sz="1100" b="0" i="1">
                        <a:latin typeface="Cambria Math" panose="02040503050406030204" pitchFamily="18" charset="0"/>
                      </a:rPr>
                      <m:t>−1=3%</m:t>
                    </m:r>
                  </m:oMath>
                </m:oMathPara>
              </a14:m>
              <a:endParaRPr lang="en-US" sz="1100"/>
            </a:p>
          </xdr:txBody>
        </xdr:sp>
      </mc:Choice>
      <mc:Fallback xmlns="">
        <xdr:sp macro="" textlink="">
          <xdr:nvSpPr>
            <xdr:cNvPr id="2" name="TextBox 1">
              <a:extLst>
                <a:ext uri="{FF2B5EF4-FFF2-40B4-BE49-F238E27FC236}">
                  <a16:creationId xmlns:a16="http://schemas.microsoft.com/office/drawing/2014/main" id="{175294A8-4D49-2378-DE59-58FFEDAE37F6}"/>
                </a:ext>
              </a:extLst>
            </xdr:cNvPr>
            <xdr:cNvSpPr txBox="1"/>
          </xdr:nvSpPr>
          <xdr:spPr>
            <a:xfrm>
              <a:off x="13523006710" y="7999013"/>
              <a:ext cx="2221520" cy="2534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𝑟_𝑒=(1+6.09%)^(1/2)−1=3%</a:t>
              </a:r>
              <a:endParaRPr lang="en-US" sz="1100"/>
            </a:p>
          </xdr:txBody>
        </xdr:sp>
      </mc:Fallback>
    </mc:AlternateContent>
    <xdr:clientData/>
  </xdr:oneCellAnchor>
  <xdr:oneCellAnchor>
    <xdr:from>
      <xdr:col>4</xdr:col>
      <xdr:colOff>167244</xdr:colOff>
      <xdr:row>123</xdr:row>
      <xdr:rowOff>65432</xdr:rowOff>
    </xdr:from>
    <xdr:ext cx="2806870" cy="484748"/>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157741E-BB15-A969-77FC-0AC6D3202B80}"/>
                </a:ext>
              </a:extLst>
            </xdr:cNvPr>
            <xdr:cNvSpPr txBox="1"/>
          </xdr:nvSpPr>
          <xdr:spPr>
            <a:xfrm>
              <a:off x="13522996257" y="8830000"/>
              <a:ext cx="280687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num>
                      <m:den>
                        <m:r>
                          <a:rPr lang="en-US" sz="1100" b="0" i="1">
                            <a:latin typeface="Cambria Math" panose="02040503050406030204" pitchFamily="18" charset="0"/>
                          </a:rPr>
                          <m:t>𝑟</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𝐹𝑉</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oMath>
                </m:oMathPara>
              </a14:m>
              <a:endParaRPr lang="en-US" sz="1100"/>
            </a:p>
          </xdr:txBody>
        </xdr:sp>
      </mc:Choice>
      <mc:Fallback xmlns="">
        <xdr:sp macro="" textlink="">
          <xdr:nvSpPr>
            <xdr:cNvPr id="3" name="TextBox 2">
              <a:extLst>
                <a:ext uri="{FF2B5EF4-FFF2-40B4-BE49-F238E27FC236}">
                  <a16:creationId xmlns:a16="http://schemas.microsoft.com/office/drawing/2014/main" id="{B157741E-BB15-A969-77FC-0AC6D3202B80}"/>
                </a:ext>
              </a:extLst>
            </xdr:cNvPr>
            <xdr:cNvSpPr txBox="1"/>
          </xdr:nvSpPr>
          <xdr:spPr>
            <a:xfrm>
              <a:off x="13522996257" y="8830000"/>
              <a:ext cx="280687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𝑃𝑉=𝑃𝑀𝑇∗(1−1/(1+𝑟)^𝑛 )/𝑟+𝐹𝑉/(1+𝑟)^𝑛 </a:t>
              </a:r>
              <a:endParaRPr lang="en-US" sz="1100"/>
            </a:p>
          </xdr:txBody>
        </xdr:sp>
      </mc:Fallback>
    </mc:AlternateContent>
    <xdr:clientData/>
  </xdr:oneCellAnchor>
  <xdr:twoCellAnchor>
    <xdr:from>
      <xdr:col>7</xdr:col>
      <xdr:colOff>141112</xdr:colOff>
      <xdr:row>125</xdr:row>
      <xdr:rowOff>57490</xdr:rowOff>
    </xdr:from>
    <xdr:to>
      <xdr:col>7</xdr:col>
      <xdr:colOff>146338</xdr:colOff>
      <xdr:row>127</xdr:row>
      <xdr:rowOff>67942</xdr:rowOff>
    </xdr:to>
    <xdr:cxnSp macro="">
      <xdr:nvCxnSpPr>
        <xdr:cNvPr id="5" name="Straight Arrow Connector 4">
          <a:extLst>
            <a:ext uri="{FF2B5EF4-FFF2-40B4-BE49-F238E27FC236}">
              <a16:creationId xmlns:a16="http://schemas.microsoft.com/office/drawing/2014/main" id="{65028CBF-45F5-1DBC-A9F3-4105EAFB8328}"/>
            </a:ext>
          </a:extLst>
        </xdr:cNvPr>
        <xdr:cNvCxnSpPr/>
      </xdr:nvCxnSpPr>
      <xdr:spPr>
        <a:xfrm>
          <a:off x="13523346749" y="9433539"/>
          <a:ext cx="5226" cy="41810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815309</xdr:colOff>
      <xdr:row>125</xdr:row>
      <xdr:rowOff>146338</xdr:rowOff>
    </xdr:from>
    <xdr:to>
      <xdr:col>5</xdr:col>
      <xdr:colOff>820535</xdr:colOff>
      <xdr:row>127</xdr:row>
      <xdr:rowOff>156790</xdr:rowOff>
    </xdr:to>
    <xdr:cxnSp macro="">
      <xdr:nvCxnSpPr>
        <xdr:cNvPr id="6" name="Straight Arrow Connector 5">
          <a:extLst>
            <a:ext uri="{FF2B5EF4-FFF2-40B4-BE49-F238E27FC236}">
              <a16:creationId xmlns:a16="http://schemas.microsoft.com/office/drawing/2014/main" id="{FA86E5F8-5D17-9ED2-FF55-A15CDC36D0E1}"/>
            </a:ext>
          </a:extLst>
        </xdr:cNvPr>
        <xdr:cNvCxnSpPr/>
      </xdr:nvCxnSpPr>
      <xdr:spPr>
        <a:xfrm>
          <a:off x="13524324074" y="9522387"/>
          <a:ext cx="5226" cy="41810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229959</xdr:colOff>
      <xdr:row>125</xdr:row>
      <xdr:rowOff>172469</xdr:rowOff>
    </xdr:from>
    <xdr:to>
      <xdr:col>4</xdr:col>
      <xdr:colOff>658519</xdr:colOff>
      <xdr:row>128</xdr:row>
      <xdr:rowOff>10453</xdr:rowOff>
    </xdr:to>
    <xdr:cxnSp macro="">
      <xdr:nvCxnSpPr>
        <xdr:cNvPr id="7" name="Straight Arrow Connector 6">
          <a:extLst>
            <a:ext uri="{FF2B5EF4-FFF2-40B4-BE49-F238E27FC236}">
              <a16:creationId xmlns:a16="http://schemas.microsoft.com/office/drawing/2014/main" id="{C631E7DA-8DD1-D9E3-90E2-22BBCB30C85F}"/>
            </a:ext>
          </a:extLst>
        </xdr:cNvPr>
        <xdr:cNvCxnSpPr/>
      </xdr:nvCxnSpPr>
      <xdr:spPr>
        <a:xfrm>
          <a:off x="13525311852" y="9548518"/>
          <a:ext cx="428560" cy="44946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73837</xdr:colOff>
      <xdr:row>95</xdr:row>
      <xdr:rowOff>155058</xdr:rowOff>
    </xdr:from>
    <xdr:to>
      <xdr:col>8</xdr:col>
      <xdr:colOff>417180</xdr:colOff>
      <xdr:row>96</xdr:row>
      <xdr:rowOff>103372</xdr:rowOff>
    </xdr:to>
    <xdr:sp macro="" textlink="">
      <xdr:nvSpPr>
        <xdr:cNvPr id="9" name="Left Arrow 8">
          <a:extLst>
            <a:ext uri="{FF2B5EF4-FFF2-40B4-BE49-F238E27FC236}">
              <a16:creationId xmlns:a16="http://schemas.microsoft.com/office/drawing/2014/main" id="{CBB5F8F5-C9D9-7B44-192E-96844410FF89}"/>
            </a:ext>
          </a:extLst>
        </xdr:cNvPr>
        <xdr:cNvSpPr/>
      </xdr:nvSpPr>
      <xdr:spPr>
        <a:xfrm>
          <a:off x="13542153983" y="3854302"/>
          <a:ext cx="343343" cy="151367"/>
        </a:xfrm>
        <a:prstGeom prst="lef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8</xdr:col>
      <xdr:colOff>88605</xdr:colOff>
      <xdr:row>99</xdr:row>
      <xdr:rowOff>7383</xdr:rowOff>
    </xdr:from>
    <xdr:to>
      <xdr:col>8</xdr:col>
      <xdr:colOff>431948</xdr:colOff>
      <xdr:row>99</xdr:row>
      <xdr:rowOff>158750</xdr:rowOff>
    </xdr:to>
    <xdr:sp macro="" textlink="">
      <xdr:nvSpPr>
        <xdr:cNvPr id="10" name="Left Arrow 9">
          <a:extLst>
            <a:ext uri="{FF2B5EF4-FFF2-40B4-BE49-F238E27FC236}">
              <a16:creationId xmlns:a16="http://schemas.microsoft.com/office/drawing/2014/main" id="{91FA2DFE-2041-7571-3450-E8AF10FEC146}"/>
            </a:ext>
          </a:extLst>
        </xdr:cNvPr>
        <xdr:cNvSpPr/>
      </xdr:nvSpPr>
      <xdr:spPr>
        <a:xfrm>
          <a:off x="13542139215" y="4529912"/>
          <a:ext cx="343343" cy="151367"/>
        </a:xfrm>
        <a:prstGeom prst="lef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4</xdr:col>
      <xdr:colOff>98258</xdr:colOff>
      <xdr:row>198</xdr:row>
      <xdr:rowOff>174055</xdr:rowOff>
    </xdr:from>
    <xdr:ext cx="2806870" cy="484748"/>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1F019A6E-0C4A-7D48-A740-6A068BEBD9F7}"/>
                </a:ext>
              </a:extLst>
            </xdr:cNvPr>
            <xdr:cNvSpPr txBox="1"/>
          </xdr:nvSpPr>
          <xdr:spPr>
            <a:xfrm>
              <a:off x="13474901304" y="40569595"/>
              <a:ext cx="280687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num>
                      <m:den>
                        <m:r>
                          <a:rPr lang="en-US" sz="1100" b="0" i="1">
                            <a:latin typeface="Cambria Math" panose="02040503050406030204" pitchFamily="18" charset="0"/>
                          </a:rPr>
                          <m:t>𝑟</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𝐹𝑉</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oMath>
                </m:oMathPara>
              </a14:m>
              <a:endParaRPr lang="en-US" sz="1100"/>
            </a:p>
          </xdr:txBody>
        </xdr:sp>
      </mc:Choice>
      <mc:Fallback xmlns="">
        <xdr:sp macro="" textlink="">
          <xdr:nvSpPr>
            <xdr:cNvPr id="11" name="TextBox 10">
              <a:extLst>
                <a:ext uri="{FF2B5EF4-FFF2-40B4-BE49-F238E27FC236}">
                  <a16:creationId xmlns:a16="http://schemas.microsoft.com/office/drawing/2014/main" id="{1F019A6E-0C4A-7D48-A740-6A068BEBD9F7}"/>
                </a:ext>
              </a:extLst>
            </xdr:cNvPr>
            <xdr:cNvSpPr txBox="1"/>
          </xdr:nvSpPr>
          <xdr:spPr>
            <a:xfrm>
              <a:off x="13474901304" y="40569595"/>
              <a:ext cx="280687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𝑃𝑉=𝑃𝑀𝑇∗(1−1/(1+𝑟)^𝑛 )/𝑟+𝐹𝑉/(1+𝑟)^𝑛 </a:t>
              </a:r>
              <a:endParaRPr lang="en-US" sz="1100"/>
            </a:p>
          </xdr:txBody>
        </xdr:sp>
      </mc:Fallback>
    </mc:AlternateContent>
    <xdr:clientData/>
  </xdr:oneCellAnchor>
  <xdr:oneCellAnchor>
    <xdr:from>
      <xdr:col>3</xdr:col>
      <xdr:colOff>819592</xdr:colOff>
      <xdr:row>205</xdr:row>
      <xdr:rowOff>81221</xdr:rowOff>
    </xdr:from>
    <xdr:ext cx="2806870" cy="484748"/>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CE95503-B9E5-97C0-FDF4-CBBFEC80431A}"/>
                </a:ext>
              </a:extLst>
            </xdr:cNvPr>
            <xdr:cNvSpPr txBox="1"/>
          </xdr:nvSpPr>
          <xdr:spPr>
            <a:xfrm>
              <a:off x="13543079585" y="21693372"/>
              <a:ext cx="280687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he-IL" sz="1100" b="0" i="1">
                            <a:latin typeface="Cambria Math" panose="02040503050406030204" pitchFamily="18" charset="0"/>
                          </a:rPr>
                        </m:ctrlPr>
                      </m:sSubPr>
                      <m:e>
                        <m:r>
                          <a:rPr lang="en-US" sz="1100" b="0" i="1">
                            <a:latin typeface="Cambria Math" panose="02040503050406030204" pitchFamily="18" charset="0"/>
                          </a:rPr>
                          <m:t>𝑉</m:t>
                        </m:r>
                      </m:e>
                      <m:sub>
                        <m:r>
                          <a:rPr lang="he-IL" sz="1100" b="0" i="1">
                            <a:latin typeface="Cambria Math" panose="02040503050406030204" pitchFamily="18" charset="0"/>
                          </a:rPr>
                          <m:t>א</m:t>
                        </m:r>
                      </m:sub>
                    </m:sSub>
                    <m:r>
                      <a:rPr lang="en-US" sz="1100" b="0" i="1">
                        <a:latin typeface="Cambria Math" panose="02040503050406030204" pitchFamily="18" charset="0"/>
                      </a:rPr>
                      <m:t>=</m:t>
                    </m:r>
                    <m:r>
                      <a:rPr lang="he-IL" sz="1100" b="0" i="1">
                        <a:latin typeface="Cambria Math" panose="02040503050406030204" pitchFamily="18" charset="0"/>
                      </a:rPr>
                      <m:t>8</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12%</m:t>
                                    </m:r>
                                  </m:e>
                                </m:d>
                              </m:e>
                              <m:sup>
                                <m:r>
                                  <a:rPr lang="he-IL" sz="1100" b="0" i="1">
                                    <a:latin typeface="Cambria Math" panose="02040503050406030204" pitchFamily="18" charset="0"/>
                                  </a:rPr>
                                  <m:t>4</m:t>
                                </m:r>
                              </m:sup>
                            </m:sSup>
                          </m:den>
                        </m:f>
                      </m:num>
                      <m:den>
                        <m:r>
                          <a:rPr lang="he-IL" sz="1100" b="0" i="1">
                            <a:latin typeface="Cambria Math" panose="02040503050406030204" pitchFamily="18" charset="0"/>
                          </a:rPr>
                          <m:t>12%</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he-IL" sz="1100" b="0" i="1">
                            <a:latin typeface="Cambria Math" panose="02040503050406030204" pitchFamily="18" charset="0"/>
                          </a:rPr>
                          <m:t>100</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12%</m:t>
                                </m:r>
                              </m:e>
                            </m:d>
                          </m:e>
                          <m:sup>
                            <m:r>
                              <a:rPr lang="he-IL" sz="1100" b="0" i="1">
                                <a:latin typeface="Cambria Math" panose="02040503050406030204" pitchFamily="18" charset="0"/>
                              </a:rPr>
                              <m:t>4</m:t>
                            </m:r>
                          </m:sup>
                        </m:sSup>
                      </m:den>
                    </m:f>
                    <m:r>
                      <a:rPr lang="he-IL" sz="1100" b="0" i="1">
                        <a:latin typeface="Cambria Math" panose="02040503050406030204" pitchFamily="18" charset="0"/>
                      </a:rPr>
                      <m:t>=</m:t>
                    </m:r>
                  </m:oMath>
                </m:oMathPara>
              </a14:m>
              <a:endParaRPr lang="en-US" sz="1100"/>
            </a:p>
          </xdr:txBody>
        </xdr:sp>
      </mc:Choice>
      <mc:Fallback xmlns="">
        <xdr:sp macro="" textlink="">
          <xdr:nvSpPr>
            <xdr:cNvPr id="12" name="TextBox 11">
              <a:extLst>
                <a:ext uri="{FF2B5EF4-FFF2-40B4-BE49-F238E27FC236}">
                  <a16:creationId xmlns:a16="http://schemas.microsoft.com/office/drawing/2014/main" id="{7CE95503-B9E5-97C0-FDF4-CBBFEC80431A}"/>
                </a:ext>
              </a:extLst>
            </xdr:cNvPr>
            <xdr:cNvSpPr txBox="1"/>
          </xdr:nvSpPr>
          <xdr:spPr>
            <a:xfrm>
              <a:off x="13543079585" y="21693372"/>
              <a:ext cx="280687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a:t>
              </a:r>
              <a:r>
                <a:rPr lang="he-IL" sz="1100" b="0" i="0">
                  <a:latin typeface="Cambria Math" panose="02040503050406030204" pitchFamily="18" charset="0"/>
                </a:rPr>
                <a:t>_א</a:t>
              </a:r>
              <a:r>
                <a:rPr lang="en-US" sz="1100" b="0" i="0">
                  <a:latin typeface="Cambria Math" panose="02040503050406030204" pitchFamily="18" charset="0"/>
                </a:rPr>
                <a:t>=</a:t>
              </a:r>
              <a:r>
                <a:rPr lang="he-IL" sz="1100" b="0" i="0">
                  <a:latin typeface="Cambria Math" panose="02040503050406030204" pitchFamily="18" charset="0"/>
                </a:rPr>
                <a:t>8</a:t>
              </a:r>
              <a:r>
                <a:rPr lang="en-US" sz="1100" b="0" i="0">
                  <a:latin typeface="Cambria Math" panose="02040503050406030204" pitchFamily="18" charset="0"/>
                </a:rPr>
                <a:t>∗(1−1/(1+</a:t>
              </a:r>
              <a:r>
                <a:rPr lang="he-IL" sz="1100" b="0" i="0">
                  <a:latin typeface="Cambria Math" panose="02040503050406030204" pitchFamily="18" charset="0"/>
                </a:rPr>
                <a:t>12%</a:t>
              </a:r>
              <a:r>
                <a:rPr lang="en-US" sz="1100" b="0" i="0">
                  <a:latin typeface="Cambria Math" panose="02040503050406030204" pitchFamily="18" charset="0"/>
                </a:rPr>
                <a:t>)^</a:t>
              </a:r>
              <a:r>
                <a:rPr lang="he-IL" sz="1100" b="0" i="0">
                  <a:latin typeface="Cambria Math" panose="02040503050406030204" pitchFamily="18" charset="0"/>
                </a:rPr>
                <a:t>4</a:t>
              </a:r>
              <a:r>
                <a:rPr lang="en-US" sz="1100" b="0" i="0">
                  <a:latin typeface="Cambria Math" panose="02040503050406030204" pitchFamily="18" charset="0"/>
                </a:rPr>
                <a:t> )/(</a:t>
              </a:r>
              <a:r>
                <a:rPr lang="he-IL" sz="1100" b="0" i="0">
                  <a:latin typeface="Cambria Math" panose="02040503050406030204" pitchFamily="18" charset="0"/>
                </a:rPr>
                <a:t>12%</a:t>
              </a:r>
              <a:r>
                <a:rPr lang="en-US" sz="1100" b="0" i="0">
                  <a:latin typeface="Cambria Math" panose="02040503050406030204" pitchFamily="18" charset="0"/>
                </a:rPr>
                <a:t>)+</a:t>
              </a:r>
              <a:r>
                <a:rPr lang="he-IL" sz="1100" b="0" i="0">
                  <a:latin typeface="Cambria Math" panose="02040503050406030204" pitchFamily="18" charset="0"/>
                </a:rPr>
                <a:t>100</a:t>
              </a:r>
              <a:r>
                <a:rPr lang="en-US" sz="1100" b="0" i="0">
                  <a:latin typeface="Cambria Math" panose="02040503050406030204" pitchFamily="18" charset="0"/>
                </a:rPr>
                <a:t>/(1+</a:t>
              </a:r>
              <a:r>
                <a:rPr lang="he-IL" sz="1100" b="0" i="0">
                  <a:latin typeface="Cambria Math" panose="02040503050406030204" pitchFamily="18" charset="0"/>
                </a:rPr>
                <a:t>12%</a:t>
              </a:r>
              <a:r>
                <a:rPr lang="en-US" sz="1100" b="0" i="0">
                  <a:latin typeface="Cambria Math" panose="02040503050406030204" pitchFamily="18" charset="0"/>
                </a:rPr>
                <a:t>)^</a:t>
              </a:r>
              <a:r>
                <a:rPr lang="he-IL" sz="1100" b="0" i="0">
                  <a:latin typeface="Cambria Math" panose="02040503050406030204" pitchFamily="18" charset="0"/>
                </a:rPr>
                <a:t>4</a:t>
              </a:r>
              <a:r>
                <a:rPr lang="en-US" sz="1100" b="0" i="0">
                  <a:latin typeface="Cambria Math" panose="02040503050406030204" pitchFamily="18" charset="0"/>
                </a:rPr>
                <a:t> </a:t>
              </a:r>
              <a:r>
                <a:rPr lang="he-IL" sz="1100" b="0" i="0">
                  <a:latin typeface="Cambria Math" panose="02040503050406030204" pitchFamily="18" charset="0"/>
                </a:rPr>
                <a:t>=</a:t>
              </a:r>
              <a:endParaRPr lang="en-US" sz="1100"/>
            </a:p>
          </xdr:txBody>
        </xdr:sp>
      </mc:Fallback>
    </mc:AlternateContent>
    <xdr:clientData/>
  </xdr:oneCellAnchor>
  <xdr:oneCellAnchor>
    <xdr:from>
      <xdr:col>4</xdr:col>
      <xdr:colOff>11075</xdr:colOff>
      <xdr:row>208</xdr:row>
      <xdr:rowOff>132907</xdr:rowOff>
    </xdr:from>
    <xdr:ext cx="2806870" cy="484748"/>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28368E6E-9889-1B67-21F4-317EDEBDB24D}"/>
                </a:ext>
              </a:extLst>
            </xdr:cNvPr>
            <xdr:cNvSpPr txBox="1"/>
          </xdr:nvSpPr>
          <xdr:spPr>
            <a:xfrm>
              <a:off x="13543061125" y="22354215"/>
              <a:ext cx="280687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he-IL" sz="1100" b="0" i="1">
                            <a:latin typeface="Cambria Math" panose="02040503050406030204" pitchFamily="18" charset="0"/>
                          </a:rPr>
                          <m:t>ב</m:t>
                        </m:r>
                      </m:sub>
                    </m:sSub>
                    <m:r>
                      <a:rPr lang="en-US" sz="1100" b="0" i="1">
                        <a:latin typeface="Cambria Math" panose="02040503050406030204" pitchFamily="18" charset="0"/>
                      </a:rPr>
                      <m:t>=</m:t>
                    </m:r>
                    <m:r>
                      <a:rPr lang="he-IL" sz="1100" b="0" i="1">
                        <a:latin typeface="Cambria Math" panose="02040503050406030204" pitchFamily="18" charset="0"/>
                      </a:rPr>
                      <m:t>8</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12%</m:t>
                                    </m:r>
                                  </m:e>
                                </m:d>
                              </m:e>
                              <m:sup>
                                <m:r>
                                  <a:rPr lang="he-IL" sz="1100" b="0" i="1">
                                    <a:latin typeface="Cambria Math" panose="02040503050406030204" pitchFamily="18" charset="0"/>
                                  </a:rPr>
                                  <m:t>9</m:t>
                                </m:r>
                              </m:sup>
                            </m:sSup>
                          </m:den>
                        </m:f>
                      </m:num>
                      <m:den>
                        <m:r>
                          <a:rPr lang="he-IL" sz="1100" b="0" i="1">
                            <a:latin typeface="Cambria Math" panose="02040503050406030204" pitchFamily="18" charset="0"/>
                          </a:rPr>
                          <m:t>12%</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he-IL" sz="1100" b="0" i="1">
                            <a:latin typeface="Cambria Math" panose="02040503050406030204" pitchFamily="18" charset="0"/>
                          </a:rPr>
                          <m:t>100</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12%</m:t>
                                </m:r>
                              </m:e>
                            </m:d>
                          </m:e>
                          <m:sup>
                            <m:r>
                              <a:rPr lang="he-IL" sz="1100" b="0" i="1">
                                <a:latin typeface="Cambria Math" panose="02040503050406030204" pitchFamily="18" charset="0"/>
                              </a:rPr>
                              <m:t>9</m:t>
                            </m:r>
                          </m:sup>
                        </m:sSup>
                      </m:den>
                    </m:f>
                    <m:r>
                      <a:rPr lang="he-IL" sz="1100" b="0" i="1">
                        <a:latin typeface="Cambria Math" panose="02040503050406030204" pitchFamily="18" charset="0"/>
                      </a:rPr>
                      <m:t>=</m:t>
                    </m:r>
                  </m:oMath>
                </m:oMathPara>
              </a14:m>
              <a:endParaRPr lang="en-US" sz="1100"/>
            </a:p>
          </xdr:txBody>
        </xdr:sp>
      </mc:Choice>
      <mc:Fallback xmlns="">
        <xdr:sp macro="" textlink="">
          <xdr:nvSpPr>
            <xdr:cNvPr id="13" name="TextBox 12">
              <a:extLst>
                <a:ext uri="{FF2B5EF4-FFF2-40B4-BE49-F238E27FC236}">
                  <a16:creationId xmlns:a16="http://schemas.microsoft.com/office/drawing/2014/main" id="{28368E6E-9889-1B67-21F4-317EDEBDB24D}"/>
                </a:ext>
              </a:extLst>
            </xdr:cNvPr>
            <xdr:cNvSpPr txBox="1"/>
          </xdr:nvSpPr>
          <xdr:spPr>
            <a:xfrm>
              <a:off x="13543061125" y="22354215"/>
              <a:ext cx="280687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𝑃𝑉_</a:t>
              </a:r>
              <a:r>
                <a:rPr lang="he-IL" sz="1100" b="0" i="0">
                  <a:latin typeface="Cambria Math" panose="02040503050406030204" pitchFamily="18" charset="0"/>
                </a:rPr>
                <a:t>ב</a:t>
              </a:r>
              <a:r>
                <a:rPr lang="en-US" sz="1100" b="0" i="0">
                  <a:latin typeface="Cambria Math" panose="02040503050406030204" pitchFamily="18" charset="0"/>
                </a:rPr>
                <a:t>=</a:t>
              </a:r>
              <a:r>
                <a:rPr lang="he-IL" sz="1100" b="0" i="0">
                  <a:latin typeface="Cambria Math" panose="02040503050406030204" pitchFamily="18" charset="0"/>
                </a:rPr>
                <a:t>8</a:t>
              </a:r>
              <a:r>
                <a:rPr lang="en-US" sz="1100" b="0" i="0">
                  <a:latin typeface="Cambria Math" panose="02040503050406030204" pitchFamily="18" charset="0"/>
                </a:rPr>
                <a:t>∗(1−1/(1+</a:t>
              </a:r>
              <a:r>
                <a:rPr lang="he-IL" sz="1100" b="0" i="0">
                  <a:latin typeface="Cambria Math" panose="02040503050406030204" pitchFamily="18" charset="0"/>
                </a:rPr>
                <a:t>12%</a:t>
              </a:r>
              <a:r>
                <a:rPr lang="en-US" sz="1100" b="0" i="0">
                  <a:latin typeface="Cambria Math" panose="02040503050406030204" pitchFamily="18" charset="0"/>
                </a:rPr>
                <a:t>)^</a:t>
              </a:r>
              <a:r>
                <a:rPr lang="he-IL" sz="1100" b="0" i="0">
                  <a:latin typeface="Cambria Math" panose="02040503050406030204" pitchFamily="18" charset="0"/>
                </a:rPr>
                <a:t>9</a:t>
              </a:r>
              <a:r>
                <a:rPr lang="en-US" sz="1100" b="0" i="0">
                  <a:latin typeface="Cambria Math" panose="02040503050406030204" pitchFamily="18" charset="0"/>
                </a:rPr>
                <a:t> )/(</a:t>
              </a:r>
              <a:r>
                <a:rPr lang="he-IL" sz="1100" b="0" i="0">
                  <a:latin typeface="Cambria Math" panose="02040503050406030204" pitchFamily="18" charset="0"/>
                </a:rPr>
                <a:t>12%</a:t>
              </a:r>
              <a:r>
                <a:rPr lang="en-US" sz="1100" b="0" i="0">
                  <a:latin typeface="Cambria Math" panose="02040503050406030204" pitchFamily="18" charset="0"/>
                </a:rPr>
                <a:t>)+</a:t>
              </a:r>
              <a:r>
                <a:rPr lang="he-IL" sz="1100" b="0" i="0">
                  <a:latin typeface="Cambria Math" panose="02040503050406030204" pitchFamily="18" charset="0"/>
                </a:rPr>
                <a:t>100</a:t>
              </a:r>
              <a:r>
                <a:rPr lang="en-US" sz="1100" b="0" i="0">
                  <a:latin typeface="Cambria Math" panose="02040503050406030204" pitchFamily="18" charset="0"/>
                </a:rPr>
                <a:t>/(1+</a:t>
              </a:r>
              <a:r>
                <a:rPr lang="he-IL" sz="1100" b="0" i="0">
                  <a:latin typeface="Cambria Math" panose="02040503050406030204" pitchFamily="18" charset="0"/>
                </a:rPr>
                <a:t>12%</a:t>
              </a:r>
              <a:r>
                <a:rPr lang="en-US" sz="1100" b="0" i="0">
                  <a:latin typeface="Cambria Math" panose="02040503050406030204" pitchFamily="18" charset="0"/>
                </a:rPr>
                <a:t>)^</a:t>
              </a:r>
              <a:r>
                <a:rPr lang="he-IL" sz="1100" b="0" i="0">
                  <a:latin typeface="Cambria Math" panose="02040503050406030204" pitchFamily="18" charset="0"/>
                </a:rPr>
                <a:t>9</a:t>
              </a:r>
              <a:r>
                <a:rPr lang="en-US" sz="1100" b="0" i="0">
                  <a:latin typeface="Cambria Math" panose="02040503050406030204" pitchFamily="18" charset="0"/>
                </a:rPr>
                <a:t> </a:t>
              </a:r>
              <a:r>
                <a:rPr lang="he-IL" sz="1100" b="0" i="0">
                  <a:latin typeface="Cambria Math" panose="02040503050406030204" pitchFamily="18" charset="0"/>
                </a:rPr>
                <a:t>=</a:t>
              </a:r>
              <a:endParaRPr lang="en-US" sz="1100"/>
            </a:p>
          </xdr:txBody>
        </xdr:sp>
      </mc:Fallback>
    </mc:AlternateContent>
    <xdr:clientData/>
  </xdr:oneCellAnchor>
  <xdr:twoCellAnchor>
    <xdr:from>
      <xdr:col>9</xdr:col>
      <xdr:colOff>502093</xdr:colOff>
      <xdr:row>252</xdr:row>
      <xdr:rowOff>55378</xdr:rowOff>
    </xdr:from>
    <xdr:to>
      <xdr:col>9</xdr:col>
      <xdr:colOff>505785</xdr:colOff>
      <xdr:row>255</xdr:row>
      <xdr:rowOff>95989</xdr:rowOff>
    </xdr:to>
    <xdr:cxnSp macro="">
      <xdr:nvCxnSpPr>
        <xdr:cNvPr id="15" name="Straight Arrow Connector 14">
          <a:extLst>
            <a:ext uri="{FF2B5EF4-FFF2-40B4-BE49-F238E27FC236}">
              <a16:creationId xmlns:a16="http://schemas.microsoft.com/office/drawing/2014/main" id="{DF48BCB2-E39A-6BA8-9A03-B00B73AC25DA}"/>
            </a:ext>
          </a:extLst>
        </xdr:cNvPr>
        <xdr:cNvCxnSpPr/>
      </xdr:nvCxnSpPr>
      <xdr:spPr>
        <a:xfrm flipH="1">
          <a:off x="13541238401" y="27973227"/>
          <a:ext cx="3692" cy="66084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xdr:col>
      <xdr:colOff>820184</xdr:colOff>
      <xdr:row>245</xdr:row>
      <xdr:rowOff>120576</xdr:rowOff>
    </xdr:from>
    <xdr:ext cx="26354" cy="173766"/>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74FAB2C8-5F6B-26B4-6F81-FF94465B8837}"/>
                </a:ext>
              </a:extLst>
            </xdr:cNvPr>
            <xdr:cNvSpPr txBox="1"/>
          </xdr:nvSpPr>
          <xdr:spPr>
            <a:xfrm>
              <a:off x="13545032532" y="26605983"/>
              <a:ext cx="2635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lgn="r" rtl="1"/>
              <a14:m>
                <m:oMathPara xmlns:m="http://schemas.openxmlformats.org/officeDocument/2006/math">
                  <m:oMathParaPr>
                    <m:jc m:val="centerGroup"/>
                  </m:oMathParaPr>
                  <m:oMath xmlns:m="http://schemas.openxmlformats.org/officeDocument/2006/math">
                    <a:fld id="{825F15A7-03F4-43D7-82C5-3E23DA2F108C}" type="mathplaceholder">
                      <a:rPr lang="en-US" sz="1100" i="1">
                        <a:latin typeface="Cambria Math" panose="02040503050406030204" pitchFamily="18" charset="0"/>
                      </a:rPr>
                      <a:t>Type equation here.</a:t>
                    </a:fld>
                  </m:oMath>
                </m:oMathPara>
              </a14:m>
              <a:endParaRPr lang="en-US" sz="1100"/>
            </a:p>
          </xdr:txBody>
        </xdr:sp>
      </mc:Choice>
      <mc:Fallback xmlns="">
        <xdr:sp macro="" textlink="">
          <xdr:nvSpPr>
            <xdr:cNvPr id="16" name="TextBox 15">
              <a:extLst>
                <a:ext uri="{FF2B5EF4-FFF2-40B4-BE49-F238E27FC236}">
                  <a16:creationId xmlns:a16="http://schemas.microsoft.com/office/drawing/2014/main" id="{74FAB2C8-5F6B-26B4-6F81-FF94465B8837}"/>
                </a:ext>
              </a:extLst>
            </xdr:cNvPr>
            <xdr:cNvSpPr txBox="1"/>
          </xdr:nvSpPr>
          <xdr:spPr>
            <a:xfrm>
              <a:off x="13545032532" y="26605983"/>
              <a:ext cx="2635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lgn="r" rtl="1"/>
              <a:r>
                <a:rPr lang="en-US" sz="1100" i="0">
                  <a:latin typeface="Cambria Math" panose="02040503050406030204" pitchFamily="18" charset="0"/>
                </a:rPr>
                <a:t>"Type equation here."</a:t>
              </a:r>
              <a:endParaRPr lang="en-US" sz="1100"/>
            </a:p>
          </xdr:txBody>
        </xdr:sp>
      </mc:Fallback>
    </mc:AlternateContent>
    <xdr:clientData/>
  </xdr:oneCellAnchor>
  <xdr:oneCellAnchor>
    <xdr:from>
      <xdr:col>7</xdr:col>
      <xdr:colOff>550088</xdr:colOff>
      <xdr:row>258</xdr:row>
      <xdr:rowOff>13513</xdr:rowOff>
    </xdr:from>
    <xdr:ext cx="2810608" cy="17722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0A24B833-1344-A6DD-DC7F-E3C6BB1430C2}"/>
                </a:ext>
              </a:extLst>
            </xdr:cNvPr>
            <xdr:cNvSpPr txBox="1"/>
          </xdr:nvSpPr>
          <xdr:spPr>
            <a:xfrm>
              <a:off x="13540037444" y="29160751"/>
              <a:ext cx="2810608"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h𝑎𝑧𝑖</m:t>
                        </m:r>
                        <m:r>
                          <a:rPr lang="en-US" sz="1100" b="0" i="1">
                            <a:latin typeface="Cambria Math" panose="02040503050406030204" pitchFamily="18" charset="0"/>
                          </a:rPr>
                          <m:t> </m:t>
                        </m:r>
                        <m:r>
                          <a:rPr lang="en-US" sz="1100" b="0" i="1">
                            <a:latin typeface="Cambria Math" panose="02040503050406030204" pitchFamily="18" charset="0"/>
                          </a:rPr>
                          <m:t>𝑠h𝑎𝑛𝑎</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1+3%</m:t>
                            </m:r>
                          </m:e>
                        </m:d>
                      </m:e>
                      <m:sup>
                        <m:r>
                          <a:rPr lang="en-US" sz="1100" b="0" i="1">
                            <a:latin typeface="Cambria Math" panose="02040503050406030204" pitchFamily="18" charset="0"/>
                          </a:rPr>
                          <m:t>6</m:t>
                        </m:r>
                      </m:sup>
                    </m:sSup>
                    <m:r>
                      <a:rPr lang="en-US" sz="1100" b="0" i="1">
                        <a:latin typeface="Cambria Math" panose="02040503050406030204" pitchFamily="18" charset="0"/>
                      </a:rPr>
                      <m:t>−1=</m:t>
                    </m:r>
                  </m:oMath>
                </m:oMathPara>
              </a14:m>
              <a:endParaRPr lang="en-US" sz="1100"/>
            </a:p>
          </xdr:txBody>
        </xdr:sp>
      </mc:Choice>
      <mc:Fallback xmlns="">
        <xdr:sp macro="" textlink="">
          <xdr:nvSpPr>
            <xdr:cNvPr id="17" name="TextBox 16">
              <a:extLst>
                <a:ext uri="{FF2B5EF4-FFF2-40B4-BE49-F238E27FC236}">
                  <a16:creationId xmlns:a16="http://schemas.microsoft.com/office/drawing/2014/main" id="{0A24B833-1344-A6DD-DC7F-E3C6BB1430C2}"/>
                </a:ext>
              </a:extLst>
            </xdr:cNvPr>
            <xdr:cNvSpPr txBox="1"/>
          </xdr:nvSpPr>
          <xdr:spPr>
            <a:xfrm>
              <a:off x="13540037444" y="29160751"/>
              <a:ext cx="2810608"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𝑟_(ℎ𝑎𝑧𝑖 𝑠ℎ𝑎𝑛𝑎)=(1+3%)^6−1=</a:t>
              </a:r>
              <a:endParaRPr lang="en-US" sz="1100"/>
            </a:p>
          </xdr:txBody>
        </xdr:sp>
      </mc:Fallback>
    </mc:AlternateContent>
    <xdr:clientData/>
  </xdr:oneCellAnchor>
  <xdr:oneCellAnchor>
    <xdr:from>
      <xdr:col>3</xdr:col>
      <xdr:colOff>564855</xdr:colOff>
      <xdr:row>260</xdr:row>
      <xdr:rowOff>199360</xdr:rowOff>
    </xdr:from>
    <xdr:ext cx="2806870" cy="48474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C941858D-773F-304E-9B2C-AF28DC08AB28}"/>
                </a:ext>
              </a:extLst>
            </xdr:cNvPr>
            <xdr:cNvSpPr txBox="1"/>
          </xdr:nvSpPr>
          <xdr:spPr>
            <a:xfrm>
              <a:off x="13543334322" y="29752703"/>
              <a:ext cx="280687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num>
                      <m:den>
                        <m:r>
                          <a:rPr lang="en-US" sz="1100" b="0" i="1">
                            <a:latin typeface="Cambria Math" panose="02040503050406030204" pitchFamily="18" charset="0"/>
                          </a:rPr>
                          <m:t>𝑟</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𝐹𝑉</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oMath>
                </m:oMathPara>
              </a14:m>
              <a:endParaRPr lang="en-US" sz="1100"/>
            </a:p>
          </xdr:txBody>
        </xdr:sp>
      </mc:Choice>
      <mc:Fallback xmlns="">
        <xdr:sp macro="" textlink="">
          <xdr:nvSpPr>
            <xdr:cNvPr id="18" name="TextBox 17">
              <a:extLst>
                <a:ext uri="{FF2B5EF4-FFF2-40B4-BE49-F238E27FC236}">
                  <a16:creationId xmlns:a16="http://schemas.microsoft.com/office/drawing/2014/main" id="{C941858D-773F-304E-9B2C-AF28DC08AB28}"/>
                </a:ext>
              </a:extLst>
            </xdr:cNvPr>
            <xdr:cNvSpPr txBox="1"/>
          </xdr:nvSpPr>
          <xdr:spPr>
            <a:xfrm>
              <a:off x="13543334322" y="29752703"/>
              <a:ext cx="280687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𝑃𝑉=𝑃𝑀𝑇∗(1−1/(1+𝑟)^𝑛 )/𝑟+𝐹𝑉/(1+𝑟)^𝑛 </a:t>
              </a:r>
              <a:endParaRPr lang="en-US" sz="1100"/>
            </a:p>
          </xdr:txBody>
        </xdr:sp>
      </mc:Fallback>
    </mc:AlternateContent>
    <xdr:clientData/>
  </xdr:oneCellAnchor>
  <xdr:oneCellAnchor>
    <xdr:from>
      <xdr:col>2</xdr:col>
      <xdr:colOff>143984</xdr:colOff>
      <xdr:row>264</xdr:row>
      <xdr:rowOff>44302</xdr:rowOff>
    </xdr:from>
    <xdr:ext cx="4062103" cy="486287"/>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C7B54E05-EBF1-6EDD-1B03-024EB0C61F22}"/>
                </a:ext>
              </a:extLst>
            </xdr:cNvPr>
            <xdr:cNvSpPr txBox="1"/>
          </xdr:nvSpPr>
          <xdr:spPr>
            <a:xfrm>
              <a:off x="13543326937" y="30409854"/>
              <a:ext cx="4062103" cy="4862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=37.5∗</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19.4052%</m:t>
                                    </m:r>
                                  </m:e>
                                </m:d>
                              </m:e>
                              <m:sup>
                                <m:r>
                                  <a:rPr lang="he-IL" sz="1100" b="0" i="1">
                                    <a:latin typeface="Cambria Math" panose="02040503050406030204" pitchFamily="18" charset="0"/>
                                  </a:rPr>
                                  <m:t>14</m:t>
                                </m:r>
                              </m:sup>
                            </m:sSup>
                          </m:den>
                        </m:f>
                      </m:num>
                      <m:den>
                        <m:r>
                          <a:rPr lang="he-IL" sz="1100" b="0" i="1">
                            <a:latin typeface="Cambria Math" panose="02040503050406030204" pitchFamily="18" charset="0"/>
                          </a:rPr>
                          <m:t>19.4052%</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he-IL" sz="1100" b="0" i="1">
                            <a:latin typeface="Cambria Math" panose="02040503050406030204" pitchFamily="18" charset="0"/>
                          </a:rPr>
                          <m:t>500</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19.4052%</m:t>
                                </m:r>
                              </m:e>
                            </m:d>
                          </m:e>
                          <m:sup>
                            <m:r>
                              <a:rPr lang="he-IL" sz="1100" b="0" i="1">
                                <a:latin typeface="Cambria Math" panose="02040503050406030204" pitchFamily="18" charset="0"/>
                              </a:rPr>
                              <m:t>14</m:t>
                            </m:r>
                          </m:sup>
                        </m:sSup>
                      </m:den>
                    </m:f>
                    <m:r>
                      <a:rPr lang="he-IL" sz="1100" b="0" i="1">
                        <a:latin typeface="Cambria Math" panose="02040503050406030204" pitchFamily="18" charset="0"/>
                      </a:rPr>
                      <m:t>=</m:t>
                    </m:r>
                  </m:oMath>
                </m:oMathPara>
              </a14:m>
              <a:endParaRPr lang="en-US" sz="1100"/>
            </a:p>
          </xdr:txBody>
        </xdr:sp>
      </mc:Choice>
      <mc:Fallback xmlns="">
        <xdr:sp macro="" textlink="">
          <xdr:nvSpPr>
            <xdr:cNvPr id="19" name="TextBox 18">
              <a:extLst>
                <a:ext uri="{FF2B5EF4-FFF2-40B4-BE49-F238E27FC236}">
                  <a16:creationId xmlns:a16="http://schemas.microsoft.com/office/drawing/2014/main" id="{C7B54E05-EBF1-6EDD-1B03-024EB0C61F22}"/>
                </a:ext>
              </a:extLst>
            </xdr:cNvPr>
            <xdr:cNvSpPr txBox="1"/>
          </xdr:nvSpPr>
          <xdr:spPr>
            <a:xfrm>
              <a:off x="13543326937" y="30409854"/>
              <a:ext cx="4062103" cy="4862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a:t>
              </a:r>
              <a:r>
                <a:rPr lang="he-IL" sz="1100" b="0" i="0">
                  <a:latin typeface="Cambria Math" panose="02040503050406030204" pitchFamily="18" charset="0"/>
                </a:rPr>
                <a:t>37.5</a:t>
              </a:r>
              <a:r>
                <a:rPr lang="en-US" sz="1100" b="0" i="0">
                  <a:latin typeface="Cambria Math" panose="02040503050406030204" pitchFamily="18" charset="0"/>
                </a:rPr>
                <a:t>∗(1−1/(1+</a:t>
              </a:r>
              <a:r>
                <a:rPr lang="he-IL" sz="1100" b="0" i="0">
                  <a:latin typeface="Cambria Math" panose="02040503050406030204" pitchFamily="18" charset="0"/>
                </a:rPr>
                <a:t>19.4052%</a:t>
              </a:r>
              <a:r>
                <a:rPr lang="en-US" sz="1100" b="0" i="0">
                  <a:latin typeface="Cambria Math" panose="02040503050406030204" pitchFamily="18" charset="0"/>
                </a:rPr>
                <a:t>)^</a:t>
              </a:r>
              <a:r>
                <a:rPr lang="he-IL" sz="1100" b="0" i="0">
                  <a:latin typeface="Cambria Math" panose="02040503050406030204" pitchFamily="18" charset="0"/>
                </a:rPr>
                <a:t>14</a:t>
              </a:r>
              <a:r>
                <a:rPr lang="en-US" sz="1100" b="0" i="0">
                  <a:latin typeface="Cambria Math" panose="02040503050406030204" pitchFamily="18" charset="0"/>
                </a:rPr>
                <a:t> )/(</a:t>
              </a:r>
              <a:r>
                <a:rPr lang="he-IL" sz="1100" b="0" i="0">
                  <a:latin typeface="Cambria Math" panose="02040503050406030204" pitchFamily="18" charset="0"/>
                </a:rPr>
                <a:t>19.4052%</a:t>
              </a:r>
              <a:r>
                <a:rPr lang="en-US" sz="1100" b="0" i="0">
                  <a:latin typeface="Cambria Math" panose="02040503050406030204" pitchFamily="18" charset="0"/>
                </a:rPr>
                <a:t>)+</a:t>
              </a:r>
              <a:r>
                <a:rPr lang="he-IL" sz="1100" b="0" i="0">
                  <a:latin typeface="Cambria Math" panose="02040503050406030204" pitchFamily="18" charset="0"/>
                </a:rPr>
                <a:t>500</a:t>
              </a:r>
              <a:r>
                <a:rPr lang="en-US" sz="1100" b="0" i="0">
                  <a:latin typeface="Cambria Math" panose="02040503050406030204" pitchFamily="18" charset="0"/>
                </a:rPr>
                <a:t>/(1+</a:t>
              </a:r>
              <a:r>
                <a:rPr lang="he-IL" sz="1100" b="0" i="0">
                  <a:latin typeface="Cambria Math" panose="02040503050406030204" pitchFamily="18" charset="0"/>
                </a:rPr>
                <a:t>19.4052%</a:t>
              </a:r>
              <a:r>
                <a:rPr lang="en-US" sz="1100" b="0" i="0">
                  <a:latin typeface="Cambria Math" panose="02040503050406030204" pitchFamily="18" charset="0"/>
                </a:rPr>
                <a:t>)^</a:t>
              </a:r>
              <a:r>
                <a:rPr lang="he-IL" sz="1100" b="0" i="0">
                  <a:latin typeface="Cambria Math" panose="02040503050406030204" pitchFamily="18" charset="0"/>
                </a:rPr>
                <a:t>14</a:t>
              </a:r>
              <a:r>
                <a:rPr lang="en-US" sz="1100" b="0" i="0">
                  <a:latin typeface="Cambria Math" panose="02040503050406030204" pitchFamily="18" charset="0"/>
                </a:rPr>
                <a:t> </a:t>
              </a:r>
              <a:r>
                <a:rPr lang="he-IL" sz="1100" b="0" i="0">
                  <a:latin typeface="Cambria Math" panose="02040503050406030204" pitchFamily="18" charset="0"/>
                </a:rPr>
                <a:t>=</a:t>
              </a:r>
              <a:endParaRPr lang="en-US" sz="1100"/>
            </a:p>
          </xdr:txBody>
        </xdr:sp>
      </mc:Fallback>
    </mc:AlternateContent>
    <xdr:clientData/>
  </xdr:oneCellAnchor>
  <xdr:twoCellAnchor>
    <xdr:from>
      <xdr:col>0</xdr:col>
      <xdr:colOff>110756</xdr:colOff>
      <xdr:row>349</xdr:row>
      <xdr:rowOff>110755</xdr:rowOff>
    </xdr:from>
    <xdr:to>
      <xdr:col>7</xdr:col>
      <xdr:colOff>815902</xdr:colOff>
      <xdr:row>349</xdr:row>
      <xdr:rowOff>114447</xdr:rowOff>
    </xdr:to>
    <xdr:cxnSp macro="">
      <xdr:nvCxnSpPr>
        <xdr:cNvPr id="21" name="Straight Arrow Connector 20">
          <a:extLst>
            <a:ext uri="{FF2B5EF4-FFF2-40B4-BE49-F238E27FC236}">
              <a16:creationId xmlns:a16="http://schemas.microsoft.com/office/drawing/2014/main" id="{6D30E9EB-8700-B672-CE89-42C7E7087AF6}"/>
            </a:ext>
          </a:extLst>
        </xdr:cNvPr>
        <xdr:cNvCxnSpPr/>
      </xdr:nvCxnSpPr>
      <xdr:spPr>
        <a:xfrm>
          <a:off x="13542582238" y="34334302"/>
          <a:ext cx="6493983" cy="369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103373</xdr:colOff>
      <xdr:row>350</xdr:row>
      <xdr:rowOff>138443</xdr:rowOff>
    </xdr:from>
    <xdr:to>
      <xdr:col>6</xdr:col>
      <xdr:colOff>666381</xdr:colOff>
      <xdr:row>351</xdr:row>
      <xdr:rowOff>143982</xdr:rowOff>
    </xdr:to>
    <xdr:sp macro="" textlink="">
      <xdr:nvSpPr>
        <xdr:cNvPr id="24" name="Left Brace 23">
          <a:extLst>
            <a:ext uri="{FF2B5EF4-FFF2-40B4-BE49-F238E27FC236}">
              <a16:creationId xmlns:a16="http://schemas.microsoft.com/office/drawing/2014/main" id="{79072667-6C61-A4A9-09FA-0924BC4C7B38}"/>
            </a:ext>
          </a:extLst>
        </xdr:cNvPr>
        <xdr:cNvSpPr/>
      </xdr:nvSpPr>
      <xdr:spPr>
        <a:xfrm rot="16200000">
          <a:off x="13544976409" y="33147369"/>
          <a:ext cx="208591" cy="3043938"/>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editAs="oneCell">
    <xdr:from>
      <xdr:col>2</xdr:col>
      <xdr:colOff>88311</xdr:colOff>
      <xdr:row>349</xdr:row>
      <xdr:rowOff>186132</xdr:rowOff>
    </xdr:from>
    <xdr:to>
      <xdr:col>2</xdr:col>
      <xdr:colOff>641252</xdr:colOff>
      <xdr:row>352</xdr:row>
      <xdr:rowOff>100169</xdr:rowOff>
    </xdr:to>
    <xdr:pic>
      <xdr:nvPicPr>
        <xdr:cNvPr id="26" name="Picture 25">
          <a:extLst>
            <a:ext uri="{FF2B5EF4-FFF2-40B4-BE49-F238E27FC236}">
              <a16:creationId xmlns:a16="http://schemas.microsoft.com/office/drawing/2014/main" id="{478C15C2-04E6-8AEF-FFFE-68AC431996AC}"/>
            </a:ext>
          </a:extLst>
        </xdr:cNvPr>
        <xdr:cNvPicPr>
          <a:picLocks noChangeAspect="1"/>
        </xdr:cNvPicPr>
      </xdr:nvPicPr>
      <xdr:blipFill>
        <a:blip xmlns:r="http://schemas.openxmlformats.org/officeDocument/2006/relationships" r:embed="rId1"/>
        <a:stretch>
          <a:fillRect/>
        </a:stretch>
      </xdr:blipFill>
      <xdr:spPr>
        <a:xfrm>
          <a:off x="13502095470" y="53879377"/>
          <a:ext cx="552941" cy="519600"/>
        </a:xfrm>
        <a:prstGeom prst="rect">
          <a:avLst/>
        </a:prstGeom>
      </xdr:spPr>
    </xdr:pic>
    <xdr:clientData/>
  </xdr:twoCellAnchor>
  <xdr:twoCellAnchor>
    <xdr:from>
      <xdr:col>0</xdr:col>
      <xdr:colOff>191975</xdr:colOff>
      <xdr:row>352</xdr:row>
      <xdr:rowOff>12921</xdr:rowOff>
    </xdr:from>
    <xdr:to>
      <xdr:col>1</xdr:col>
      <xdr:colOff>616538</xdr:colOff>
      <xdr:row>353</xdr:row>
      <xdr:rowOff>33226</xdr:rowOff>
    </xdr:to>
    <xdr:sp macro="" textlink="">
      <xdr:nvSpPr>
        <xdr:cNvPr id="27" name="Left Brace 26">
          <a:extLst>
            <a:ext uri="{FF2B5EF4-FFF2-40B4-BE49-F238E27FC236}">
              <a16:creationId xmlns:a16="http://schemas.microsoft.com/office/drawing/2014/main" id="{85E708FF-F28D-62F1-9FAB-0BEDD7991522}"/>
            </a:ext>
          </a:extLst>
        </xdr:cNvPr>
        <xdr:cNvSpPr/>
      </xdr:nvSpPr>
      <xdr:spPr>
        <a:xfrm rot="16200000">
          <a:off x="13548257553" y="34331533"/>
          <a:ext cx="223358" cy="1251540"/>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0</xdr:col>
      <xdr:colOff>812209</xdr:colOff>
      <xdr:row>353</xdr:row>
      <xdr:rowOff>14767</xdr:rowOff>
    </xdr:from>
    <xdr:to>
      <xdr:col>0</xdr:col>
      <xdr:colOff>819593</xdr:colOff>
      <xdr:row>358</xdr:row>
      <xdr:rowOff>140291</xdr:rowOff>
    </xdr:to>
    <xdr:cxnSp macro="">
      <xdr:nvCxnSpPr>
        <xdr:cNvPr id="29" name="Straight Arrow Connector 28">
          <a:extLst>
            <a:ext uri="{FF2B5EF4-FFF2-40B4-BE49-F238E27FC236}">
              <a16:creationId xmlns:a16="http://schemas.microsoft.com/office/drawing/2014/main" id="{5373772B-700E-E2CB-E5E9-A504C44742FF}"/>
            </a:ext>
          </a:extLst>
        </xdr:cNvPr>
        <xdr:cNvCxnSpPr/>
      </xdr:nvCxnSpPr>
      <xdr:spPr>
        <a:xfrm>
          <a:off x="13548367384" y="35253575"/>
          <a:ext cx="7384" cy="114078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8</xdr:col>
      <xdr:colOff>40611</xdr:colOff>
      <xdr:row>360</xdr:row>
      <xdr:rowOff>164877</xdr:rowOff>
    </xdr:from>
    <xdr:ext cx="2005782" cy="253403"/>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0424F2B2-1467-3BE5-969F-F967176F23DD}"/>
                </a:ext>
              </a:extLst>
            </xdr:cNvPr>
            <xdr:cNvSpPr txBox="1"/>
          </xdr:nvSpPr>
          <xdr:spPr>
            <a:xfrm>
              <a:off x="13540524770" y="36621999"/>
              <a:ext cx="2005782" cy="2534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𝑟𝑖𝑣𝑜𝑛</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1+12.6825%</m:t>
                            </m:r>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4</m:t>
                            </m:r>
                          </m:den>
                        </m:f>
                      </m:sup>
                    </m:sSup>
                    <m:r>
                      <a:rPr lang="en-US" sz="1100" b="0" i="1">
                        <a:latin typeface="Cambria Math" panose="02040503050406030204" pitchFamily="18" charset="0"/>
                      </a:rPr>
                      <m:t>−1=</m:t>
                    </m:r>
                  </m:oMath>
                </m:oMathPara>
              </a14:m>
              <a:endParaRPr lang="en-US" sz="1100"/>
            </a:p>
          </xdr:txBody>
        </xdr:sp>
      </mc:Choice>
      <mc:Fallback xmlns="">
        <xdr:sp macro="" textlink="">
          <xdr:nvSpPr>
            <xdr:cNvPr id="30" name="TextBox 29">
              <a:extLst>
                <a:ext uri="{FF2B5EF4-FFF2-40B4-BE49-F238E27FC236}">
                  <a16:creationId xmlns:a16="http://schemas.microsoft.com/office/drawing/2014/main" id="{0424F2B2-1467-3BE5-969F-F967176F23DD}"/>
                </a:ext>
              </a:extLst>
            </xdr:cNvPr>
            <xdr:cNvSpPr txBox="1"/>
          </xdr:nvSpPr>
          <xdr:spPr>
            <a:xfrm>
              <a:off x="13540524770" y="36621999"/>
              <a:ext cx="2005782" cy="2534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𝑟_𝑟𝑖𝑣𝑜𝑛=(1+12.6825%)^(1/4)−1=</a:t>
              </a:r>
              <a:endParaRPr lang="en-US" sz="1100"/>
            </a:p>
          </xdr:txBody>
        </xdr:sp>
      </mc:Fallback>
    </mc:AlternateContent>
    <xdr:clientData/>
  </xdr:oneCellAnchor>
  <xdr:twoCellAnchor>
    <xdr:from>
      <xdr:col>0</xdr:col>
      <xdr:colOff>232585</xdr:colOff>
      <xdr:row>347</xdr:row>
      <xdr:rowOff>60916</xdr:rowOff>
    </xdr:from>
    <xdr:to>
      <xdr:col>1</xdr:col>
      <xdr:colOff>657148</xdr:colOff>
      <xdr:row>348</xdr:row>
      <xdr:rowOff>81220</xdr:rowOff>
    </xdr:to>
    <xdr:sp macro="" textlink="">
      <xdr:nvSpPr>
        <xdr:cNvPr id="31" name="Left Brace 30">
          <a:extLst>
            <a:ext uri="{FF2B5EF4-FFF2-40B4-BE49-F238E27FC236}">
              <a16:creationId xmlns:a16="http://schemas.microsoft.com/office/drawing/2014/main" id="{E70730EA-A3B6-0A63-CB21-AFEA73272372}"/>
            </a:ext>
          </a:extLst>
        </xdr:cNvPr>
        <xdr:cNvSpPr/>
      </xdr:nvSpPr>
      <xdr:spPr>
        <a:xfrm rot="5400000">
          <a:off x="13548216943" y="33567319"/>
          <a:ext cx="223357" cy="1251540"/>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1</xdr:col>
      <xdr:colOff>40610</xdr:colOff>
      <xdr:row>347</xdr:row>
      <xdr:rowOff>47994</xdr:rowOff>
    </xdr:from>
    <xdr:to>
      <xdr:col>3</xdr:col>
      <xdr:colOff>406105</xdr:colOff>
      <xdr:row>347</xdr:row>
      <xdr:rowOff>62762</xdr:rowOff>
    </xdr:to>
    <xdr:cxnSp macro="">
      <xdr:nvCxnSpPr>
        <xdr:cNvPr id="33" name="Straight Connector 32">
          <a:extLst>
            <a:ext uri="{FF2B5EF4-FFF2-40B4-BE49-F238E27FC236}">
              <a16:creationId xmlns:a16="http://schemas.microsoft.com/office/drawing/2014/main" id="{34E9A65A-7D8C-2413-7C7F-DC13A99D732D}"/>
            </a:ext>
          </a:extLst>
        </xdr:cNvPr>
        <xdr:cNvCxnSpPr/>
      </xdr:nvCxnSpPr>
      <xdr:spPr>
        <a:xfrm flipH="1" flipV="1">
          <a:off x="13546299942" y="34068488"/>
          <a:ext cx="2019448" cy="14768"/>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395030</xdr:colOff>
      <xdr:row>347</xdr:row>
      <xdr:rowOff>40611</xdr:rowOff>
    </xdr:from>
    <xdr:to>
      <xdr:col>3</xdr:col>
      <xdr:colOff>398721</xdr:colOff>
      <xdr:row>348</xdr:row>
      <xdr:rowOff>29534</xdr:rowOff>
    </xdr:to>
    <xdr:cxnSp macro="">
      <xdr:nvCxnSpPr>
        <xdr:cNvPr id="34" name="Straight Arrow Connector 33">
          <a:extLst>
            <a:ext uri="{FF2B5EF4-FFF2-40B4-BE49-F238E27FC236}">
              <a16:creationId xmlns:a16="http://schemas.microsoft.com/office/drawing/2014/main" id="{7BCDE219-2B21-36BC-52AC-79BA0A79D338}"/>
            </a:ext>
          </a:extLst>
        </xdr:cNvPr>
        <xdr:cNvCxnSpPr/>
      </xdr:nvCxnSpPr>
      <xdr:spPr>
        <a:xfrm>
          <a:off x="13546307326" y="34061105"/>
          <a:ext cx="3691" cy="19197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524245</xdr:colOff>
      <xdr:row>348</xdr:row>
      <xdr:rowOff>110755</xdr:rowOff>
    </xdr:from>
    <xdr:to>
      <xdr:col>3</xdr:col>
      <xdr:colOff>302733</xdr:colOff>
      <xdr:row>348</xdr:row>
      <xdr:rowOff>114448</xdr:rowOff>
    </xdr:to>
    <xdr:cxnSp macro="">
      <xdr:nvCxnSpPr>
        <xdr:cNvPr id="38" name="Straight Arrow Connector 37">
          <a:extLst>
            <a:ext uri="{FF2B5EF4-FFF2-40B4-BE49-F238E27FC236}">
              <a16:creationId xmlns:a16="http://schemas.microsoft.com/office/drawing/2014/main" id="{297DAF6E-663D-9E58-69CB-5D3D819F215D}"/>
            </a:ext>
          </a:extLst>
        </xdr:cNvPr>
        <xdr:cNvCxnSpPr/>
      </xdr:nvCxnSpPr>
      <xdr:spPr>
        <a:xfrm>
          <a:off x="13546403314" y="34537354"/>
          <a:ext cx="605465" cy="369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xdr:col>
      <xdr:colOff>734680</xdr:colOff>
      <xdr:row>347</xdr:row>
      <xdr:rowOff>91041</xdr:rowOff>
    </xdr:from>
    <xdr:ext cx="1787962" cy="176843"/>
    <mc:AlternateContent xmlns:mc="http://schemas.openxmlformats.org/markup-compatibility/2006" xmlns:a14="http://schemas.microsoft.com/office/drawing/2010/main">
      <mc:Choice Requires="a14">
        <xdr:sp macro="" textlink="">
          <xdr:nvSpPr>
            <xdr:cNvPr id="40" name="TextBox 39">
              <a:extLst>
                <a:ext uri="{FF2B5EF4-FFF2-40B4-BE49-F238E27FC236}">
                  <a16:creationId xmlns:a16="http://schemas.microsoft.com/office/drawing/2014/main" id="{33F25C0B-6B17-94CB-3160-3E131C1A899F}"/>
                </a:ext>
              </a:extLst>
            </xdr:cNvPr>
            <xdr:cNvSpPr txBox="1"/>
          </xdr:nvSpPr>
          <xdr:spPr>
            <a:xfrm>
              <a:off x="13545837358" y="34314588"/>
              <a:ext cx="1787962" cy="1768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latin typeface="Cambria Math" panose="02040503050406030204" pitchFamily="18" charset="0"/>
                      </a:rPr>
                      <m:t>∗</m:t>
                    </m:r>
                    <m:sSup>
                      <m:sSupPr>
                        <m:ctrlPr>
                          <a:rPr lang="he-IL"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1+1%</m:t>
                            </m:r>
                          </m:e>
                        </m:d>
                      </m:e>
                      <m:sup>
                        <m:r>
                          <a:rPr lang="he-IL" sz="1100" b="0" i="1">
                            <a:latin typeface="Cambria Math" panose="02040503050406030204" pitchFamily="18" charset="0"/>
                          </a:rPr>
                          <m:t>1</m:t>
                        </m:r>
                      </m:sup>
                    </m:sSup>
                  </m:oMath>
                </m:oMathPara>
              </a14:m>
              <a:endParaRPr lang="en-US" sz="1100"/>
            </a:p>
          </xdr:txBody>
        </xdr:sp>
      </mc:Choice>
      <mc:Fallback xmlns="">
        <xdr:sp macro="" textlink="">
          <xdr:nvSpPr>
            <xdr:cNvPr id="40" name="TextBox 39">
              <a:extLst>
                <a:ext uri="{FF2B5EF4-FFF2-40B4-BE49-F238E27FC236}">
                  <a16:creationId xmlns:a16="http://schemas.microsoft.com/office/drawing/2014/main" id="{33F25C0B-6B17-94CB-3160-3E131C1A899F}"/>
                </a:ext>
              </a:extLst>
            </xdr:cNvPr>
            <xdr:cNvSpPr txBox="1"/>
          </xdr:nvSpPr>
          <xdr:spPr>
            <a:xfrm>
              <a:off x="13545837358" y="34314588"/>
              <a:ext cx="1787962" cy="1768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∗(1+1%)^1</a:t>
              </a:r>
              <a:endParaRPr lang="en-US" sz="1100"/>
            </a:p>
          </xdr:txBody>
        </xdr:sp>
      </mc:Fallback>
    </mc:AlternateContent>
    <xdr:clientData/>
  </xdr:oneCellAnchor>
  <xdr:oneCellAnchor>
    <xdr:from>
      <xdr:col>8</xdr:col>
      <xdr:colOff>7384</xdr:colOff>
      <xdr:row>365</xdr:row>
      <xdr:rowOff>183335</xdr:rowOff>
    </xdr:from>
    <xdr:ext cx="2005782" cy="253403"/>
    <mc:AlternateContent xmlns:mc="http://schemas.openxmlformats.org/markup-compatibility/2006" xmlns:a14="http://schemas.microsoft.com/office/drawing/2010/main">
      <mc:Choice Requires="a14">
        <xdr:sp macro="" textlink="">
          <xdr:nvSpPr>
            <xdr:cNvPr id="41" name="TextBox 40">
              <a:extLst>
                <a:ext uri="{FF2B5EF4-FFF2-40B4-BE49-F238E27FC236}">
                  <a16:creationId xmlns:a16="http://schemas.microsoft.com/office/drawing/2014/main" id="{FBBD6993-0879-170A-80E8-FF4035628095}"/>
                </a:ext>
              </a:extLst>
            </xdr:cNvPr>
            <xdr:cNvSpPr txBox="1"/>
          </xdr:nvSpPr>
          <xdr:spPr>
            <a:xfrm>
              <a:off x="13540557997" y="38083975"/>
              <a:ext cx="2005782" cy="2534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𝑟𝑖𝑣𝑜𝑛</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1+12.6825%</m:t>
                            </m:r>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he-IL" sz="1100" b="0" i="1">
                                <a:latin typeface="Cambria Math" panose="02040503050406030204" pitchFamily="18" charset="0"/>
                              </a:rPr>
                              <m:t>12</m:t>
                            </m:r>
                          </m:den>
                        </m:f>
                      </m:sup>
                    </m:sSup>
                    <m:r>
                      <a:rPr lang="en-US" sz="1100" b="0" i="1">
                        <a:latin typeface="Cambria Math" panose="02040503050406030204" pitchFamily="18" charset="0"/>
                      </a:rPr>
                      <m:t>−1=</m:t>
                    </m:r>
                  </m:oMath>
                </m:oMathPara>
              </a14:m>
              <a:endParaRPr lang="en-US" sz="1100"/>
            </a:p>
          </xdr:txBody>
        </xdr:sp>
      </mc:Choice>
      <mc:Fallback xmlns="">
        <xdr:sp macro="" textlink="">
          <xdr:nvSpPr>
            <xdr:cNvPr id="41" name="TextBox 40">
              <a:extLst>
                <a:ext uri="{FF2B5EF4-FFF2-40B4-BE49-F238E27FC236}">
                  <a16:creationId xmlns:a16="http://schemas.microsoft.com/office/drawing/2014/main" id="{FBBD6993-0879-170A-80E8-FF4035628095}"/>
                </a:ext>
              </a:extLst>
            </xdr:cNvPr>
            <xdr:cNvSpPr txBox="1"/>
          </xdr:nvSpPr>
          <xdr:spPr>
            <a:xfrm>
              <a:off x="13540557997" y="38083975"/>
              <a:ext cx="2005782" cy="2534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𝑟_𝑟𝑖𝑣𝑜𝑛=(1+12.6825%)^(1/</a:t>
              </a:r>
              <a:r>
                <a:rPr lang="he-IL" sz="1100" b="0" i="0">
                  <a:latin typeface="Cambria Math" panose="02040503050406030204" pitchFamily="18" charset="0"/>
                </a:rPr>
                <a:t>12</a:t>
              </a:r>
              <a:r>
                <a:rPr lang="en-US" sz="1100" b="0" i="0">
                  <a:latin typeface="Cambria Math" panose="02040503050406030204" pitchFamily="18" charset="0"/>
                </a:rPr>
                <a:t>)−1=</a:t>
              </a:r>
              <a:endParaRPr lang="en-US" sz="1100"/>
            </a:p>
          </xdr:txBody>
        </xdr:sp>
      </mc:Fallback>
    </mc:AlternateContent>
    <xdr:clientData/>
  </xdr:oneCellAnchor>
  <xdr:oneCellAnchor>
    <xdr:from>
      <xdr:col>3</xdr:col>
      <xdr:colOff>376570</xdr:colOff>
      <xdr:row>367</xdr:row>
      <xdr:rowOff>183337</xdr:rowOff>
    </xdr:from>
    <xdr:ext cx="2098078" cy="173766"/>
    <mc:AlternateContent xmlns:mc="http://schemas.openxmlformats.org/markup-compatibility/2006" xmlns:a14="http://schemas.microsoft.com/office/drawing/2010/main">
      <mc:Choice Requires="a14">
        <xdr:sp macro="" textlink="">
          <xdr:nvSpPr>
            <xdr:cNvPr id="42" name="TextBox 41">
              <a:extLst>
                <a:ext uri="{FF2B5EF4-FFF2-40B4-BE49-F238E27FC236}">
                  <a16:creationId xmlns:a16="http://schemas.microsoft.com/office/drawing/2014/main" id="{A9D31ED5-7A79-DB40-B39B-4D2774D678C2}"/>
                </a:ext>
              </a:extLst>
            </xdr:cNvPr>
            <xdr:cNvSpPr txBox="1"/>
          </xdr:nvSpPr>
          <xdr:spPr>
            <a:xfrm>
              <a:off x="13544231399" y="38490081"/>
              <a:ext cx="209807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25</m:t>
                        </m:r>
                      </m:sub>
                    </m:sSub>
                    <m:r>
                      <a:rPr lang="en-US" sz="1100" b="0" i="1">
                        <a:latin typeface="Cambria Math" panose="02040503050406030204" pitchFamily="18" charset="0"/>
                      </a:rPr>
                      <m:t>=</m:t>
                    </m:r>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24</m:t>
                        </m:r>
                      </m:sub>
                    </m:sSub>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𝑚𝑜𝑛𝑡h</m:t>
                            </m:r>
                          </m:sub>
                        </m:sSub>
                      </m:e>
                    </m:d>
                  </m:oMath>
                </m:oMathPara>
              </a14:m>
              <a:endParaRPr lang="en-US" sz="1100"/>
            </a:p>
          </xdr:txBody>
        </xdr:sp>
      </mc:Choice>
      <mc:Fallback xmlns="">
        <xdr:sp macro="" textlink="">
          <xdr:nvSpPr>
            <xdr:cNvPr id="42" name="TextBox 41">
              <a:extLst>
                <a:ext uri="{FF2B5EF4-FFF2-40B4-BE49-F238E27FC236}">
                  <a16:creationId xmlns:a16="http://schemas.microsoft.com/office/drawing/2014/main" id="{A9D31ED5-7A79-DB40-B39B-4D2774D678C2}"/>
                </a:ext>
              </a:extLst>
            </xdr:cNvPr>
            <xdr:cNvSpPr txBox="1"/>
          </xdr:nvSpPr>
          <xdr:spPr>
            <a:xfrm>
              <a:off x="13544231399" y="38490081"/>
              <a:ext cx="209807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𝑃𝑉_25=𝑃𝑉_24∗(1+𝑟_𝑚𝑜𝑛𝑡ℎ )</a:t>
              </a:r>
              <a:endParaRPr lang="en-US" sz="1100"/>
            </a:p>
          </xdr:txBody>
        </xdr:sp>
      </mc:Fallback>
    </mc:AlternateContent>
    <xdr:clientData/>
  </xdr:oneCellAnchor>
  <xdr:oneCellAnchor>
    <xdr:from>
      <xdr:col>3</xdr:col>
      <xdr:colOff>372878</xdr:colOff>
      <xdr:row>369</xdr:row>
      <xdr:rowOff>28279</xdr:rowOff>
    </xdr:from>
    <xdr:ext cx="2098078" cy="173766"/>
    <mc:AlternateContent xmlns:mc="http://schemas.openxmlformats.org/markup-compatibility/2006" xmlns:a14="http://schemas.microsoft.com/office/drawing/2010/main">
      <mc:Choice Requires="a14">
        <xdr:sp macro="" textlink="">
          <xdr:nvSpPr>
            <xdr:cNvPr id="43" name="TextBox 42">
              <a:extLst>
                <a:ext uri="{FF2B5EF4-FFF2-40B4-BE49-F238E27FC236}">
                  <a16:creationId xmlns:a16="http://schemas.microsoft.com/office/drawing/2014/main" id="{2CEA5A90-0F76-2B72-325C-5A3876DE0D18}"/>
                </a:ext>
              </a:extLst>
            </xdr:cNvPr>
            <xdr:cNvSpPr txBox="1"/>
          </xdr:nvSpPr>
          <xdr:spPr>
            <a:xfrm>
              <a:off x="13544235091" y="38741128"/>
              <a:ext cx="209807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25</m:t>
                        </m:r>
                      </m:sub>
                    </m:sSub>
                    <m:r>
                      <a:rPr lang="en-US" sz="1100" b="0" i="1">
                        <a:latin typeface="Cambria Math" panose="02040503050406030204" pitchFamily="18" charset="0"/>
                      </a:rPr>
                      <m:t>=91.05∗</m:t>
                    </m:r>
                    <m:d>
                      <m:dPr>
                        <m:ctrlPr>
                          <a:rPr lang="en-US" sz="1100" b="0" i="1">
                            <a:latin typeface="Cambria Math" panose="02040503050406030204" pitchFamily="18" charset="0"/>
                          </a:rPr>
                        </m:ctrlPr>
                      </m:dPr>
                      <m:e>
                        <m:r>
                          <a:rPr lang="en-US" sz="1100" b="0" i="1">
                            <a:latin typeface="Cambria Math" panose="02040503050406030204" pitchFamily="18" charset="0"/>
                          </a:rPr>
                          <m:t>1+1%</m:t>
                        </m:r>
                      </m:e>
                    </m:d>
                    <m:r>
                      <a:rPr lang="en-US" sz="1100" b="0" i="1">
                        <a:latin typeface="Cambria Math" panose="02040503050406030204" pitchFamily="18" charset="0"/>
                      </a:rPr>
                      <m:t>=</m:t>
                    </m:r>
                  </m:oMath>
                </m:oMathPara>
              </a14:m>
              <a:endParaRPr lang="en-US" sz="1100"/>
            </a:p>
          </xdr:txBody>
        </xdr:sp>
      </mc:Choice>
      <mc:Fallback xmlns="">
        <xdr:sp macro="" textlink="">
          <xdr:nvSpPr>
            <xdr:cNvPr id="43" name="TextBox 42">
              <a:extLst>
                <a:ext uri="{FF2B5EF4-FFF2-40B4-BE49-F238E27FC236}">
                  <a16:creationId xmlns:a16="http://schemas.microsoft.com/office/drawing/2014/main" id="{2CEA5A90-0F76-2B72-325C-5A3876DE0D18}"/>
                </a:ext>
              </a:extLst>
            </xdr:cNvPr>
            <xdr:cNvSpPr txBox="1"/>
          </xdr:nvSpPr>
          <xdr:spPr>
            <a:xfrm>
              <a:off x="13544235091" y="38741128"/>
              <a:ext cx="209807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𝑃𝑉_25=91.05∗(1+1%)=</a:t>
              </a:r>
              <a:endParaRPr lang="en-US" sz="1100"/>
            </a:p>
          </xdr:txBody>
        </xdr:sp>
      </mc:Fallback>
    </mc:AlternateContent>
    <xdr:clientData/>
  </xdr:oneCellAnchor>
  <xdr:oneCellAnchor>
    <xdr:from>
      <xdr:col>3</xdr:col>
      <xdr:colOff>0</xdr:colOff>
      <xdr:row>376</xdr:row>
      <xdr:rowOff>0</xdr:rowOff>
    </xdr:from>
    <xdr:ext cx="2806870" cy="484748"/>
    <mc:AlternateContent xmlns:mc="http://schemas.openxmlformats.org/markup-compatibility/2006" xmlns:a14="http://schemas.microsoft.com/office/drawing/2010/main">
      <mc:Choice Requires="a14">
        <xdr:sp macro="" textlink="">
          <xdr:nvSpPr>
            <xdr:cNvPr id="44" name="TextBox 43">
              <a:extLst>
                <a:ext uri="{FF2B5EF4-FFF2-40B4-BE49-F238E27FC236}">
                  <a16:creationId xmlns:a16="http://schemas.microsoft.com/office/drawing/2014/main" id="{5053AF4B-C13D-4A46-9B9E-3AD15C7C306B}"/>
                </a:ext>
              </a:extLst>
            </xdr:cNvPr>
            <xdr:cNvSpPr txBox="1"/>
          </xdr:nvSpPr>
          <xdr:spPr>
            <a:xfrm>
              <a:off x="13533957856" y="40426884"/>
              <a:ext cx="280687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num>
                      <m:den>
                        <m:r>
                          <a:rPr lang="en-US" sz="1100" b="0" i="1">
                            <a:latin typeface="Cambria Math" panose="02040503050406030204" pitchFamily="18" charset="0"/>
                          </a:rPr>
                          <m:t>𝑟</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𝐹𝑉</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oMath>
                </m:oMathPara>
              </a14:m>
              <a:endParaRPr lang="en-US" sz="1100"/>
            </a:p>
          </xdr:txBody>
        </xdr:sp>
      </mc:Choice>
      <mc:Fallback xmlns="">
        <xdr:sp macro="" textlink="">
          <xdr:nvSpPr>
            <xdr:cNvPr id="44" name="TextBox 43">
              <a:extLst>
                <a:ext uri="{FF2B5EF4-FFF2-40B4-BE49-F238E27FC236}">
                  <a16:creationId xmlns:a16="http://schemas.microsoft.com/office/drawing/2014/main" id="{5053AF4B-C13D-4A46-9B9E-3AD15C7C306B}"/>
                </a:ext>
              </a:extLst>
            </xdr:cNvPr>
            <xdr:cNvSpPr txBox="1"/>
          </xdr:nvSpPr>
          <xdr:spPr>
            <a:xfrm>
              <a:off x="13533957856" y="40426884"/>
              <a:ext cx="280687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𝑃𝑉=𝑃𝑀𝑇∗(1−1/(1+𝑟)^𝑛 )/𝑟+𝐹𝑉/(1+𝑟)^𝑛 </a:t>
              </a:r>
              <a:endParaRPr lang="en-US" sz="1100"/>
            </a:p>
          </xdr:txBody>
        </xdr:sp>
      </mc:Fallback>
    </mc:AlternateContent>
    <xdr:clientData/>
  </xdr:oneCellAnchor>
  <xdr:oneCellAnchor>
    <xdr:from>
      <xdr:col>2</xdr:col>
      <xdr:colOff>278357</xdr:colOff>
      <xdr:row>379</xdr:row>
      <xdr:rowOff>26097</xdr:rowOff>
    </xdr:from>
    <xdr:ext cx="4398719" cy="486672"/>
    <mc:AlternateContent xmlns:mc="http://schemas.openxmlformats.org/markup-compatibility/2006" xmlns:a14="http://schemas.microsoft.com/office/drawing/2010/main">
      <mc:Choice Requires="a14">
        <xdr:sp macro="" textlink="">
          <xdr:nvSpPr>
            <xdr:cNvPr id="45" name="TextBox 44">
              <a:extLst>
                <a:ext uri="{FF2B5EF4-FFF2-40B4-BE49-F238E27FC236}">
                  <a16:creationId xmlns:a16="http://schemas.microsoft.com/office/drawing/2014/main" id="{0D160BD9-9EFF-0857-D765-67B300ADD548}"/>
                </a:ext>
              </a:extLst>
            </xdr:cNvPr>
            <xdr:cNvSpPr txBox="1"/>
          </xdr:nvSpPr>
          <xdr:spPr>
            <a:xfrm>
              <a:off x="13532914020" y="41066234"/>
              <a:ext cx="4398719" cy="4866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d>
                      <m:dPr>
                        <m:ctrlPr>
                          <a:rPr lang="en-US" sz="1100" b="0" i="1">
                            <a:latin typeface="Cambria Math" panose="02040503050406030204" pitchFamily="18" charset="0"/>
                          </a:rPr>
                        </m:ctrlPr>
                      </m:dPr>
                      <m:e>
                        <m:r>
                          <a:rPr lang="he-IL" sz="1100" b="0" i="1">
                            <a:latin typeface="Cambria Math" panose="02040503050406030204" pitchFamily="18" charset="0"/>
                          </a:rPr>
                          <m:t>2.5</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3.0301%</m:t>
                                        </m:r>
                                      </m:e>
                                    </m:d>
                                  </m:e>
                                  <m:sup>
                                    <m:r>
                                      <a:rPr lang="he-IL" sz="1100" b="0" i="1">
                                        <a:latin typeface="Cambria Math" panose="02040503050406030204" pitchFamily="18" charset="0"/>
                                      </a:rPr>
                                      <m:t>24</m:t>
                                    </m:r>
                                  </m:sup>
                                </m:sSup>
                              </m:den>
                            </m:f>
                          </m:num>
                          <m:den>
                            <m:r>
                              <a:rPr lang="he-IL" sz="1100" b="0" i="1">
                                <a:latin typeface="Cambria Math" panose="02040503050406030204" pitchFamily="18" charset="0"/>
                              </a:rPr>
                              <m:t>3.0301%</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he-IL" sz="1100" b="0" i="1">
                                <a:latin typeface="Cambria Math" panose="02040503050406030204" pitchFamily="18" charset="0"/>
                              </a:rPr>
                              <m:t>100</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3.0301%</m:t>
                                    </m:r>
                                  </m:e>
                                </m:d>
                              </m:e>
                              <m:sup>
                                <m:r>
                                  <a:rPr lang="he-IL" sz="1100" b="0" i="1">
                                    <a:latin typeface="Cambria Math" panose="02040503050406030204" pitchFamily="18" charset="0"/>
                                  </a:rPr>
                                  <m:t>24</m:t>
                                </m:r>
                              </m:sup>
                            </m:sSup>
                          </m:den>
                        </m:f>
                      </m:e>
                    </m:d>
                    <m:r>
                      <a:rPr lang="he-IL" sz="1100" b="0" i="1">
                        <a:latin typeface="Cambria Math" panose="02040503050406030204" pitchFamily="18" charset="0"/>
                      </a:rPr>
                      <m:t>∗</m:t>
                    </m:r>
                    <m:d>
                      <m:dPr>
                        <m:ctrlPr>
                          <a:rPr lang="he-IL" sz="1100" b="0" i="1">
                            <a:latin typeface="Cambria Math" panose="02040503050406030204" pitchFamily="18" charset="0"/>
                          </a:rPr>
                        </m:ctrlPr>
                      </m:dPr>
                      <m:e>
                        <m:r>
                          <a:rPr lang="he-IL" sz="1100" b="0" i="1">
                            <a:latin typeface="Cambria Math" panose="02040503050406030204" pitchFamily="18" charset="0"/>
                          </a:rPr>
                          <m:t>1+1%</m:t>
                        </m:r>
                      </m:e>
                    </m:d>
                    <m:r>
                      <a:rPr lang="he-IL" sz="1100" b="0" i="1">
                        <a:latin typeface="Cambria Math" panose="02040503050406030204" pitchFamily="18" charset="0"/>
                      </a:rPr>
                      <m:t>=</m:t>
                    </m:r>
                  </m:oMath>
                </m:oMathPara>
              </a14:m>
              <a:endParaRPr lang="en-US" sz="1100"/>
            </a:p>
          </xdr:txBody>
        </xdr:sp>
      </mc:Choice>
      <mc:Fallback xmlns="">
        <xdr:sp macro="" textlink="">
          <xdr:nvSpPr>
            <xdr:cNvPr id="45" name="TextBox 44">
              <a:extLst>
                <a:ext uri="{FF2B5EF4-FFF2-40B4-BE49-F238E27FC236}">
                  <a16:creationId xmlns:a16="http://schemas.microsoft.com/office/drawing/2014/main" id="{0D160BD9-9EFF-0857-D765-67B300ADD548}"/>
                </a:ext>
              </a:extLst>
            </xdr:cNvPr>
            <xdr:cNvSpPr txBox="1"/>
          </xdr:nvSpPr>
          <xdr:spPr>
            <a:xfrm>
              <a:off x="13532914020" y="41066234"/>
              <a:ext cx="4398719" cy="4866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a:t>
              </a:r>
              <a:r>
                <a:rPr lang="he-IL" sz="1100" b="0" i="0">
                  <a:latin typeface="Cambria Math" panose="02040503050406030204" pitchFamily="18" charset="0"/>
                </a:rPr>
                <a:t>2.5</a:t>
              </a:r>
              <a:r>
                <a:rPr lang="en-US" sz="1100" b="0" i="0">
                  <a:latin typeface="Cambria Math" panose="02040503050406030204" pitchFamily="18" charset="0"/>
                </a:rPr>
                <a:t>∗(1−1/(1+</a:t>
              </a:r>
              <a:r>
                <a:rPr lang="he-IL" sz="1100" b="0" i="0">
                  <a:latin typeface="Cambria Math" panose="02040503050406030204" pitchFamily="18" charset="0"/>
                </a:rPr>
                <a:t>3.0301%)</a:t>
              </a:r>
              <a:r>
                <a:rPr lang="en-US" sz="1100" b="0" i="0">
                  <a:latin typeface="Cambria Math" panose="02040503050406030204" pitchFamily="18" charset="0"/>
                </a:rPr>
                <a:t>^</a:t>
              </a:r>
              <a:r>
                <a:rPr lang="he-IL" sz="1100" b="0" i="0">
                  <a:latin typeface="Cambria Math" panose="02040503050406030204" pitchFamily="18" charset="0"/>
                </a:rPr>
                <a:t>24 </a:t>
              </a:r>
              <a:r>
                <a:rPr lang="en-US" sz="1100" b="0" i="0">
                  <a:latin typeface="Cambria Math" panose="02040503050406030204" pitchFamily="18" charset="0"/>
                </a:rPr>
                <a:t>)/(</a:t>
              </a:r>
              <a:r>
                <a:rPr lang="he-IL" sz="1100" b="0" i="0">
                  <a:latin typeface="Cambria Math" panose="02040503050406030204" pitchFamily="18" charset="0"/>
                </a:rPr>
                <a:t>3.0301%</a:t>
              </a:r>
              <a:r>
                <a:rPr lang="en-US" sz="1100" b="0" i="0">
                  <a:latin typeface="Cambria Math" panose="02040503050406030204" pitchFamily="18" charset="0"/>
                </a:rPr>
                <a:t>)+</a:t>
              </a:r>
              <a:r>
                <a:rPr lang="he-IL" sz="1100" b="0" i="0">
                  <a:latin typeface="Cambria Math" panose="02040503050406030204" pitchFamily="18" charset="0"/>
                </a:rPr>
                <a:t>100</a:t>
              </a:r>
              <a:r>
                <a:rPr lang="en-US" sz="1100" b="0" i="0">
                  <a:latin typeface="Cambria Math" panose="02040503050406030204" pitchFamily="18" charset="0"/>
                </a:rPr>
                <a:t>/(1+</a:t>
              </a:r>
              <a:r>
                <a:rPr lang="he-IL" sz="1100" b="0" i="0">
                  <a:latin typeface="Cambria Math" panose="02040503050406030204" pitchFamily="18" charset="0"/>
                </a:rPr>
                <a:t>3.0301%)</a:t>
              </a:r>
              <a:r>
                <a:rPr lang="en-US" sz="1100" b="0" i="0">
                  <a:latin typeface="Cambria Math" panose="02040503050406030204" pitchFamily="18" charset="0"/>
                </a:rPr>
                <a:t>^</a:t>
              </a:r>
              <a:r>
                <a:rPr lang="he-IL" sz="1100" b="0" i="0">
                  <a:latin typeface="Cambria Math" panose="02040503050406030204" pitchFamily="18" charset="0"/>
                </a:rPr>
                <a:t>24 </a:t>
              </a:r>
              <a:r>
                <a:rPr lang="en-US" sz="1100" b="0" i="0">
                  <a:latin typeface="Cambria Math" panose="02040503050406030204" pitchFamily="18" charset="0"/>
                </a:rPr>
                <a:t>)</a:t>
              </a:r>
              <a:r>
                <a:rPr lang="he-IL" sz="1100" b="0" i="0">
                  <a:latin typeface="Cambria Math" panose="02040503050406030204" pitchFamily="18" charset="0"/>
                </a:rPr>
                <a:t>∗(1+1%)=</a:t>
              </a:r>
              <a:endParaRPr lang="en-US" sz="1100"/>
            </a:p>
          </xdr:txBody>
        </xdr:sp>
      </mc:Fallback>
    </mc:AlternateContent>
    <xdr:clientData/>
  </xdr:oneCellAnchor>
  <xdr:twoCellAnchor>
    <xdr:from>
      <xdr:col>1</xdr:col>
      <xdr:colOff>24038</xdr:colOff>
      <xdr:row>17</xdr:row>
      <xdr:rowOff>136215</xdr:rowOff>
    </xdr:from>
    <xdr:to>
      <xdr:col>7</xdr:col>
      <xdr:colOff>436688</xdr:colOff>
      <xdr:row>17</xdr:row>
      <xdr:rowOff>152240</xdr:rowOff>
    </xdr:to>
    <xdr:cxnSp macro="">
      <xdr:nvCxnSpPr>
        <xdr:cNvPr id="8" name="Straight Arrow Connector 7">
          <a:extLst>
            <a:ext uri="{FF2B5EF4-FFF2-40B4-BE49-F238E27FC236}">
              <a16:creationId xmlns:a16="http://schemas.microsoft.com/office/drawing/2014/main" id="{7F6DC379-F09E-FF70-6D3C-F4A891B858CC}"/>
            </a:ext>
          </a:extLst>
        </xdr:cNvPr>
        <xdr:cNvCxnSpPr/>
      </xdr:nvCxnSpPr>
      <xdr:spPr>
        <a:xfrm>
          <a:off x="13515496246" y="3633723"/>
          <a:ext cx="5364448" cy="1602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392619</xdr:colOff>
      <xdr:row>17</xdr:row>
      <xdr:rowOff>103040</xdr:rowOff>
    </xdr:from>
    <xdr:to>
      <xdr:col>5</xdr:col>
      <xdr:colOff>423548</xdr:colOff>
      <xdr:row>19</xdr:row>
      <xdr:rowOff>12019</xdr:rowOff>
    </xdr:to>
    <xdr:sp macro="" textlink="">
      <xdr:nvSpPr>
        <xdr:cNvPr id="14" name="Left Brace 13">
          <a:extLst>
            <a:ext uri="{FF2B5EF4-FFF2-40B4-BE49-F238E27FC236}">
              <a16:creationId xmlns:a16="http://schemas.microsoft.com/office/drawing/2014/main" id="{4C972509-8FA3-974A-390D-2E858DB898F1}"/>
            </a:ext>
          </a:extLst>
        </xdr:cNvPr>
        <xdr:cNvSpPr/>
      </xdr:nvSpPr>
      <xdr:spPr>
        <a:xfrm rot="16200000">
          <a:off x="13518667239" y="2093295"/>
          <a:ext cx="317622" cy="3332127"/>
        </a:xfrm>
        <a:prstGeom prst="leftBrace">
          <a:avLst/>
        </a:prstGeom>
      </xdr:spPr>
      <xdr:style>
        <a:lnRef idx="3">
          <a:schemeClr val="accent2"/>
        </a:lnRef>
        <a:fillRef idx="0">
          <a:schemeClr val="accent2"/>
        </a:fillRef>
        <a:effectRef idx="2">
          <a:schemeClr val="accent2"/>
        </a:effectRef>
        <a:fontRef idx="minor">
          <a:schemeClr val="tx1"/>
        </a:fontRef>
      </xdr:style>
      <xdr:txBody>
        <a:bodyPr vertOverflow="clip" horzOverflow="clip" rtlCol="0" anchor="t"/>
        <a:lstStyle/>
        <a:p>
          <a:pPr algn="r" rtl="1"/>
          <a:endParaRPr lang="en-US" sz="1100"/>
        </a:p>
      </xdr:txBody>
    </xdr:sp>
    <xdr:clientData/>
  </xdr:twoCellAnchor>
  <xdr:oneCellAnchor>
    <xdr:from>
      <xdr:col>2</xdr:col>
      <xdr:colOff>224355</xdr:colOff>
      <xdr:row>19</xdr:row>
      <xdr:rowOff>81648</xdr:rowOff>
    </xdr:from>
    <xdr:ext cx="1968933" cy="172227"/>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C67B807C-3B95-C2FF-B440-59E4CC907BBA}"/>
                </a:ext>
              </a:extLst>
            </xdr:cNvPr>
            <xdr:cNvSpPr txBox="1"/>
          </xdr:nvSpPr>
          <xdr:spPr>
            <a:xfrm>
              <a:off x="13517866145" y="3987799"/>
              <a:ext cx="196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𝑝𝑚𝑡</m:t>
                    </m:r>
                    <m:r>
                      <a:rPr lang="en-US" sz="1100" b="0" i="1">
                        <a:latin typeface="Cambria Math" panose="02040503050406030204" pitchFamily="18" charset="0"/>
                      </a:rPr>
                      <m:t>=−2,000</m:t>
                    </m:r>
                  </m:oMath>
                </m:oMathPara>
              </a14:m>
              <a:endParaRPr lang="en-US" sz="1100"/>
            </a:p>
          </xdr:txBody>
        </xdr:sp>
      </mc:Choice>
      <mc:Fallback xmlns="">
        <xdr:sp macro="" textlink="">
          <xdr:nvSpPr>
            <xdr:cNvPr id="20" name="TextBox 19">
              <a:extLst>
                <a:ext uri="{FF2B5EF4-FFF2-40B4-BE49-F238E27FC236}">
                  <a16:creationId xmlns:a16="http://schemas.microsoft.com/office/drawing/2014/main" id="{C67B807C-3B95-C2FF-B440-59E4CC907BBA}"/>
                </a:ext>
              </a:extLst>
            </xdr:cNvPr>
            <xdr:cNvSpPr txBox="1"/>
          </xdr:nvSpPr>
          <xdr:spPr>
            <a:xfrm>
              <a:off x="13517866145" y="3987799"/>
              <a:ext cx="196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𝑝𝑚𝑡=−2,000</a:t>
              </a:r>
              <a:endParaRPr lang="en-US" sz="1100"/>
            </a:p>
          </xdr:txBody>
        </xdr:sp>
      </mc:Fallback>
    </mc:AlternateContent>
    <xdr:clientData/>
  </xdr:oneCellAnchor>
  <xdr:oneCellAnchor>
    <xdr:from>
      <xdr:col>2</xdr:col>
      <xdr:colOff>224355</xdr:colOff>
      <xdr:row>20</xdr:row>
      <xdr:rowOff>85654</xdr:rowOff>
    </xdr:from>
    <xdr:ext cx="1968933" cy="172227"/>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7D7266E0-E9EF-F50D-0F8B-AC54A7EF4433}"/>
                </a:ext>
              </a:extLst>
            </xdr:cNvPr>
            <xdr:cNvSpPr txBox="1"/>
          </xdr:nvSpPr>
          <xdr:spPr>
            <a:xfrm>
              <a:off x="13517866145" y="4196127"/>
              <a:ext cx="196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𝑛</m:t>
                    </m:r>
                    <m:r>
                      <a:rPr lang="en-US" sz="1100" b="0" i="1">
                        <a:latin typeface="Cambria Math" panose="02040503050406030204" pitchFamily="18" charset="0"/>
                      </a:rPr>
                      <m:t>=11</m:t>
                    </m:r>
                  </m:oMath>
                </m:oMathPara>
              </a14:m>
              <a:endParaRPr lang="en-US" sz="1100"/>
            </a:p>
          </xdr:txBody>
        </xdr:sp>
      </mc:Choice>
      <mc:Fallback xmlns="">
        <xdr:sp macro="" textlink="">
          <xdr:nvSpPr>
            <xdr:cNvPr id="22" name="TextBox 21">
              <a:extLst>
                <a:ext uri="{FF2B5EF4-FFF2-40B4-BE49-F238E27FC236}">
                  <a16:creationId xmlns:a16="http://schemas.microsoft.com/office/drawing/2014/main" id="{7D7266E0-E9EF-F50D-0F8B-AC54A7EF4433}"/>
                </a:ext>
              </a:extLst>
            </xdr:cNvPr>
            <xdr:cNvSpPr txBox="1"/>
          </xdr:nvSpPr>
          <xdr:spPr>
            <a:xfrm>
              <a:off x="13517866145" y="4196127"/>
              <a:ext cx="196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𝑛=11</a:t>
              </a:r>
              <a:endParaRPr lang="en-US" sz="1100"/>
            </a:p>
          </xdr:txBody>
        </xdr:sp>
      </mc:Fallback>
    </mc:AlternateContent>
    <xdr:clientData/>
  </xdr:oneCellAnchor>
  <xdr:oneCellAnchor>
    <xdr:from>
      <xdr:col>2</xdr:col>
      <xdr:colOff>204243</xdr:colOff>
      <xdr:row>21</xdr:row>
      <xdr:rowOff>92985</xdr:rowOff>
    </xdr:from>
    <xdr:ext cx="1968933" cy="172227"/>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E7DDAFCA-1293-4FA5-16F2-3DB0A128BD3C}"/>
                </a:ext>
              </a:extLst>
            </xdr:cNvPr>
            <xdr:cNvSpPr txBox="1"/>
          </xdr:nvSpPr>
          <xdr:spPr>
            <a:xfrm>
              <a:off x="13521167824" y="4385585"/>
              <a:ext cx="196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𝐼</m:t>
                    </m:r>
                    <m:r>
                      <a:rPr lang="en-US" sz="1100" b="0" i="1">
                        <a:latin typeface="Cambria Math" panose="02040503050406030204" pitchFamily="18" charset="0"/>
                      </a:rPr>
                      <m:t>%=?</m:t>
                    </m:r>
                  </m:oMath>
                </m:oMathPara>
              </a14:m>
              <a:endParaRPr lang="en-US" sz="1100"/>
            </a:p>
          </xdr:txBody>
        </xdr:sp>
      </mc:Choice>
      <mc:Fallback xmlns="">
        <xdr:sp macro="" textlink="">
          <xdr:nvSpPr>
            <xdr:cNvPr id="23" name="TextBox 22">
              <a:extLst>
                <a:ext uri="{FF2B5EF4-FFF2-40B4-BE49-F238E27FC236}">
                  <a16:creationId xmlns:a16="http://schemas.microsoft.com/office/drawing/2014/main" id="{E7DDAFCA-1293-4FA5-16F2-3DB0A128BD3C}"/>
                </a:ext>
              </a:extLst>
            </xdr:cNvPr>
            <xdr:cNvSpPr txBox="1"/>
          </xdr:nvSpPr>
          <xdr:spPr>
            <a:xfrm>
              <a:off x="13521167824" y="4385585"/>
              <a:ext cx="196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𝐼%=?</a:t>
              </a:r>
              <a:endParaRPr lang="en-US" sz="1100"/>
            </a:p>
          </xdr:txBody>
        </xdr:sp>
      </mc:Fallback>
    </mc:AlternateContent>
    <xdr:clientData/>
  </xdr:oneCellAnchor>
  <xdr:oneCellAnchor>
    <xdr:from>
      <xdr:col>2</xdr:col>
      <xdr:colOff>742950</xdr:colOff>
      <xdr:row>40</xdr:row>
      <xdr:rowOff>42861</xdr:rowOff>
    </xdr:from>
    <xdr:ext cx="3341055" cy="224549"/>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229D0092-3287-22E5-113B-D624F8BE024D}"/>
                </a:ext>
              </a:extLst>
            </xdr:cNvPr>
            <xdr:cNvSpPr txBox="1"/>
          </xdr:nvSpPr>
          <xdr:spPr>
            <a:xfrm>
              <a:off x="13519256995" y="8196261"/>
              <a:ext cx="3341055" cy="2245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𝑚𝑜𝑛𝑡h</m:t>
                                </m:r>
                              </m:e>
                            </m:d>
                          </m:e>
                        </m:d>
                      </m:e>
                      <m:sup>
                        <m:r>
                          <a:rPr lang="en-US" sz="1100" b="0" i="1">
                            <a:latin typeface="Cambria Math" panose="02040503050406030204" pitchFamily="18" charset="0"/>
                          </a:rPr>
                          <m:t>12</m:t>
                        </m:r>
                      </m:sup>
                    </m:sSup>
                    <m:r>
                      <a:rPr lang="en-US" sz="1100" b="0" i="1">
                        <a:latin typeface="Cambria Math" panose="02040503050406030204" pitchFamily="18" charset="0"/>
                      </a:rPr>
                      <m:t>−1</m:t>
                    </m:r>
                  </m:oMath>
                </m:oMathPara>
              </a14:m>
              <a:endParaRPr lang="en-US" sz="1100"/>
            </a:p>
          </xdr:txBody>
        </xdr:sp>
      </mc:Choice>
      <mc:Fallback xmlns="">
        <xdr:sp macro="" textlink="">
          <xdr:nvSpPr>
            <xdr:cNvPr id="25" name="TextBox 24">
              <a:extLst>
                <a:ext uri="{FF2B5EF4-FFF2-40B4-BE49-F238E27FC236}">
                  <a16:creationId xmlns:a16="http://schemas.microsoft.com/office/drawing/2014/main" id="{229D0092-3287-22E5-113B-D624F8BE024D}"/>
                </a:ext>
              </a:extLst>
            </xdr:cNvPr>
            <xdr:cNvSpPr txBox="1"/>
          </xdr:nvSpPr>
          <xdr:spPr>
            <a:xfrm>
              <a:off x="13519256995" y="8196261"/>
              <a:ext cx="3341055" cy="2245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(𝑎𝑛𝑛𝑢𝑎𝑙)=(1+𝑟_𝑒 (𝑚𝑜𝑛𝑡ℎ))^12−1</a:t>
              </a:r>
              <a:endParaRPr lang="en-US" sz="1100"/>
            </a:p>
          </xdr:txBody>
        </xdr:sp>
      </mc:Fallback>
    </mc:AlternateContent>
    <xdr:clientData/>
  </xdr:oneCellAnchor>
  <xdr:oneCellAnchor>
    <xdr:from>
      <xdr:col>2</xdr:col>
      <xdr:colOff>809625</xdr:colOff>
      <xdr:row>42</xdr:row>
      <xdr:rowOff>26986</xdr:rowOff>
    </xdr:from>
    <xdr:ext cx="3341055" cy="177228"/>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ED41CA25-D4F2-EA7D-7102-73AD72F89FB0}"/>
                </a:ext>
              </a:extLst>
            </xdr:cNvPr>
            <xdr:cNvSpPr txBox="1"/>
          </xdr:nvSpPr>
          <xdr:spPr>
            <a:xfrm>
              <a:off x="13519190320" y="8586786"/>
              <a:ext cx="3341055"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1+3.503%</m:t>
                            </m:r>
                          </m:e>
                        </m:d>
                      </m:e>
                      <m:sup>
                        <m:r>
                          <a:rPr lang="en-US" sz="1100" b="0" i="1">
                            <a:latin typeface="Cambria Math" panose="02040503050406030204" pitchFamily="18" charset="0"/>
                          </a:rPr>
                          <m:t>12</m:t>
                        </m:r>
                      </m:sup>
                    </m:sSup>
                    <m:r>
                      <a:rPr lang="en-US" sz="1100" b="0" i="1">
                        <a:latin typeface="Cambria Math" panose="02040503050406030204" pitchFamily="18" charset="0"/>
                      </a:rPr>
                      <m:t>−1=</m:t>
                    </m:r>
                  </m:oMath>
                </m:oMathPara>
              </a14:m>
              <a:endParaRPr lang="en-US" sz="1100"/>
            </a:p>
          </xdr:txBody>
        </xdr:sp>
      </mc:Choice>
      <mc:Fallback xmlns="">
        <xdr:sp macro="" textlink="">
          <xdr:nvSpPr>
            <xdr:cNvPr id="28" name="TextBox 27">
              <a:extLst>
                <a:ext uri="{FF2B5EF4-FFF2-40B4-BE49-F238E27FC236}">
                  <a16:creationId xmlns:a16="http://schemas.microsoft.com/office/drawing/2014/main" id="{ED41CA25-D4F2-EA7D-7102-73AD72F89FB0}"/>
                </a:ext>
              </a:extLst>
            </xdr:cNvPr>
            <xdr:cNvSpPr txBox="1"/>
          </xdr:nvSpPr>
          <xdr:spPr>
            <a:xfrm>
              <a:off x="13519190320" y="8586786"/>
              <a:ext cx="3341055"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(𝑎𝑛𝑛𝑢𝑎𝑙)=(1+3.503%)^12−1=</a:t>
              </a:r>
              <a:endParaRPr lang="en-US" sz="1100"/>
            </a:p>
          </xdr:txBody>
        </xdr:sp>
      </mc:Fallback>
    </mc:AlternateContent>
    <xdr:clientData/>
  </xdr:oneCellAnchor>
  <xdr:oneCellAnchor>
    <xdr:from>
      <xdr:col>7</xdr:col>
      <xdr:colOff>737892</xdr:colOff>
      <xdr:row>34</xdr:row>
      <xdr:rowOff>52625</xdr:rowOff>
    </xdr:from>
    <xdr:ext cx="2225375" cy="390363"/>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AD1F2787-F4DC-8275-774E-5472862BD19D}"/>
                </a:ext>
              </a:extLst>
            </xdr:cNvPr>
            <xdr:cNvSpPr txBox="1"/>
          </xdr:nvSpPr>
          <xdr:spPr>
            <a:xfrm>
              <a:off x="13544872421" y="6950240"/>
              <a:ext cx="2225375" cy="3903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18,000=</m:t>
                    </m:r>
                    <m:f>
                      <m:fPr>
                        <m:ctrlPr>
                          <a:rPr lang="en-US" sz="1100" b="0" i="1">
                            <a:latin typeface="Cambria Math" panose="02040503050406030204" pitchFamily="18" charset="0"/>
                          </a:rPr>
                        </m:ctrlPr>
                      </m:fPr>
                      <m:num>
                        <m:r>
                          <a:rPr lang="en-US" sz="1100" b="0" i="1">
                            <a:latin typeface="Cambria Math" panose="02040503050406030204" pitchFamily="18" charset="0"/>
                          </a:rPr>
                          <m:t>2,000</m:t>
                        </m:r>
                      </m:num>
                      <m:den>
                        <m:r>
                          <a:rPr lang="en-US" sz="1100" b="0" i="1">
                            <a:latin typeface="Cambria Math" panose="02040503050406030204" pitchFamily="18" charset="0"/>
                          </a:rPr>
                          <m:t>𝑟</m:t>
                        </m:r>
                      </m:den>
                    </m:f>
                    <m:r>
                      <a:rPr lang="en-US" sz="1100" b="0" i="1">
                        <a:latin typeface="Cambria Math" panose="02040503050406030204" pitchFamily="18" charset="0"/>
                      </a:rPr>
                      <m:t>∗1−</m:t>
                    </m:r>
                    <m:sSup>
                      <m:sSupPr>
                        <m:ctrlPr>
                          <a:rPr lang="en-US" sz="1100" b="0" i="1">
                            <a:latin typeface="Cambria Math" panose="02040503050406030204" pitchFamily="18" charset="0"/>
                          </a:rPr>
                        </m:ctrlPr>
                      </m:sSupPr>
                      <m:e>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11</m:t>
                                </m:r>
                              </m:sup>
                            </m:sSup>
                          </m:den>
                        </m:f>
                      </m:e>
                      <m:sup/>
                    </m:sSup>
                  </m:oMath>
                </m:oMathPara>
              </a14:m>
              <a:endParaRPr lang="en-US" sz="1100"/>
            </a:p>
          </xdr:txBody>
        </xdr:sp>
      </mc:Choice>
      <mc:Fallback xmlns="">
        <xdr:sp macro="" textlink="">
          <xdr:nvSpPr>
            <xdr:cNvPr id="32" name="TextBox 31">
              <a:extLst>
                <a:ext uri="{FF2B5EF4-FFF2-40B4-BE49-F238E27FC236}">
                  <a16:creationId xmlns:a16="http://schemas.microsoft.com/office/drawing/2014/main" id="{AD1F2787-F4DC-8275-774E-5472862BD19D}"/>
                </a:ext>
              </a:extLst>
            </xdr:cNvPr>
            <xdr:cNvSpPr txBox="1"/>
          </xdr:nvSpPr>
          <xdr:spPr>
            <a:xfrm>
              <a:off x="13544872421" y="6950240"/>
              <a:ext cx="2225375" cy="3903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18,000=2,000/𝑟∗1−〖1/(1+𝑟)^11 〗^</a:t>
              </a:r>
              <a:endParaRPr lang="en-US" sz="1100"/>
            </a:p>
          </xdr:txBody>
        </xdr:sp>
      </mc:Fallback>
    </mc:AlternateContent>
    <xdr:clientData/>
  </xdr:oneCellAnchor>
  <xdr:twoCellAnchor>
    <xdr:from>
      <xdr:col>0</xdr:col>
      <xdr:colOff>0</xdr:colOff>
      <xdr:row>54</xdr:row>
      <xdr:rowOff>76200</xdr:rowOff>
    </xdr:from>
    <xdr:to>
      <xdr:col>7</xdr:col>
      <xdr:colOff>120650</xdr:colOff>
      <xdr:row>54</xdr:row>
      <xdr:rowOff>88900</xdr:rowOff>
    </xdr:to>
    <xdr:cxnSp macro="">
      <xdr:nvCxnSpPr>
        <xdr:cNvPr id="36" name="Straight Arrow Connector 35">
          <a:extLst>
            <a:ext uri="{FF2B5EF4-FFF2-40B4-BE49-F238E27FC236}">
              <a16:creationId xmlns:a16="http://schemas.microsoft.com/office/drawing/2014/main" id="{3A01DDEE-0A3A-29C2-2D47-6CACBD98EB80}"/>
            </a:ext>
          </a:extLst>
        </xdr:cNvPr>
        <xdr:cNvCxnSpPr/>
      </xdr:nvCxnSpPr>
      <xdr:spPr>
        <a:xfrm>
          <a:off x="13519092850" y="11099800"/>
          <a:ext cx="5899150" cy="1270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390525</xdr:colOff>
      <xdr:row>54</xdr:row>
      <xdr:rowOff>19049</xdr:rowOff>
    </xdr:from>
    <xdr:to>
      <xdr:col>5</xdr:col>
      <xdr:colOff>425450</xdr:colOff>
      <xdr:row>55</xdr:row>
      <xdr:rowOff>73024</xdr:rowOff>
    </xdr:to>
    <xdr:sp macro="" textlink="">
      <xdr:nvSpPr>
        <xdr:cNvPr id="39" name="Left Brace 38">
          <a:extLst>
            <a:ext uri="{FF2B5EF4-FFF2-40B4-BE49-F238E27FC236}">
              <a16:creationId xmlns:a16="http://schemas.microsoft.com/office/drawing/2014/main" id="{80B4E13C-00F4-5881-DA9F-589346ADD956}"/>
            </a:ext>
          </a:extLst>
        </xdr:cNvPr>
        <xdr:cNvSpPr/>
      </xdr:nvSpPr>
      <xdr:spPr>
        <a:xfrm rot="16200000">
          <a:off x="13521153425" y="10328274"/>
          <a:ext cx="257175" cy="1685925"/>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oneCellAnchor>
    <xdr:from>
      <xdr:col>3</xdr:col>
      <xdr:colOff>511176</xdr:colOff>
      <xdr:row>56</xdr:row>
      <xdr:rowOff>20636</xdr:rowOff>
    </xdr:from>
    <xdr:ext cx="1490029" cy="173766"/>
    <mc:AlternateContent xmlns:mc="http://schemas.openxmlformats.org/markup-compatibility/2006" xmlns:a14="http://schemas.microsoft.com/office/drawing/2010/main">
      <mc:Choice Requires="a14">
        <xdr:sp macro="" textlink="">
          <xdr:nvSpPr>
            <xdr:cNvPr id="46" name="TextBox 45">
              <a:extLst>
                <a:ext uri="{FF2B5EF4-FFF2-40B4-BE49-F238E27FC236}">
                  <a16:creationId xmlns:a16="http://schemas.microsoft.com/office/drawing/2014/main" id="{87F60189-FA4B-E582-9197-C509562DC6A5}"/>
                </a:ext>
              </a:extLst>
            </xdr:cNvPr>
            <xdr:cNvSpPr txBox="1"/>
          </xdr:nvSpPr>
          <xdr:spPr>
            <a:xfrm>
              <a:off x="13520514295" y="11450636"/>
              <a:ext cx="149002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𝑃𝑀𝑇</m:t>
                    </m:r>
                    <m:r>
                      <a:rPr lang="en-US" sz="1100" b="0" i="1">
                        <a:latin typeface="Cambria Math" panose="02040503050406030204" pitchFamily="18" charset="0"/>
                      </a:rPr>
                      <m:t>=32,000</m:t>
                    </m:r>
                  </m:oMath>
                </m:oMathPara>
              </a14:m>
              <a:endParaRPr lang="en-US" sz="1100"/>
            </a:p>
          </xdr:txBody>
        </xdr:sp>
      </mc:Choice>
      <mc:Fallback xmlns="">
        <xdr:sp macro="" textlink="">
          <xdr:nvSpPr>
            <xdr:cNvPr id="46" name="TextBox 45">
              <a:extLst>
                <a:ext uri="{FF2B5EF4-FFF2-40B4-BE49-F238E27FC236}">
                  <a16:creationId xmlns:a16="http://schemas.microsoft.com/office/drawing/2014/main" id="{87F60189-FA4B-E582-9197-C509562DC6A5}"/>
                </a:ext>
              </a:extLst>
            </xdr:cNvPr>
            <xdr:cNvSpPr txBox="1"/>
          </xdr:nvSpPr>
          <xdr:spPr>
            <a:xfrm>
              <a:off x="13520514295" y="11450636"/>
              <a:ext cx="149002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𝑃𝑀𝑇=32,000</a:t>
              </a:r>
              <a:endParaRPr lang="en-US" sz="1100"/>
            </a:p>
          </xdr:txBody>
        </xdr:sp>
      </mc:Fallback>
    </mc:AlternateContent>
    <xdr:clientData/>
  </xdr:oneCellAnchor>
  <xdr:oneCellAnchor>
    <xdr:from>
      <xdr:col>3</xdr:col>
      <xdr:colOff>511176</xdr:colOff>
      <xdr:row>57</xdr:row>
      <xdr:rowOff>49211</xdr:rowOff>
    </xdr:from>
    <xdr:ext cx="1490029" cy="173766"/>
    <mc:AlternateContent xmlns:mc="http://schemas.openxmlformats.org/markup-compatibility/2006" xmlns:a14="http://schemas.microsoft.com/office/drawing/2010/main">
      <mc:Choice Requires="a14">
        <xdr:sp macro="" textlink="">
          <xdr:nvSpPr>
            <xdr:cNvPr id="47" name="TextBox 46">
              <a:extLst>
                <a:ext uri="{FF2B5EF4-FFF2-40B4-BE49-F238E27FC236}">
                  <a16:creationId xmlns:a16="http://schemas.microsoft.com/office/drawing/2014/main" id="{F085E8DA-E890-91A0-5AC8-291EB31CAAD4}"/>
                </a:ext>
              </a:extLst>
            </xdr:cNvPr>
            <xdr:cNvSpPr txBox="1"/>
          </xdr:nvSpPr>
          <xdr:spPr>
            <a:xfrm>
              <a:off x="13520514295" y="11682411"/>
              <a:ext cx="149002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𝑛</m:t>
                    </m:r>
                    <m:r>
                      <a:rPr lang="en-US" sz="1100" b="0" i="1">
                        <a:latin typeface="Cambria Math" panose="02040503050406030204" pitchFamily="18" charset="0"/>
                      </a:rPr>
                      <m:t>=15</m:t>
                    </m:r>
                  </m:oMath>
                </m:oMathPara>
              </a14:m>
              <a:endParaRPr lang="en-US" sz="1100"/>
            </a:p>
          </xdr:txBody>
        </xdr:sp>
      </mc:Choice>
      <mc:Fallback xmlns="">
        <xdr:sp macro="" textlink="">
          <xdr:nvSpPr>
            <xdr:cNvPr id="47" name="TextBox 46">
              <a:extLst>
                <a:ext uri="{FF2B5EF4-FFF2-40B4-BE49-F238E27FC236}">
                  <a16:creationId xmlns:a16="http://schemas.microsoft.com/office/drawing/2014/main" id="{F085E8DA-E890-91A0-5AC8-291EB31CAAD4}"/>
                </a:ext>
              </a:extLst>
            </xdr:cNvPr>
            <xdr:cNvSpPr txBox="1"/>
          </xdr:nvSpPr>
          <xdr:spPr>
            <a:xfrm>
              <a:off x="13520514295" y="11682411"/>
              <a:ext cx="149002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𝑛=15</a:t>
              </a:r>
              <a:endParaRPr lang="en-US" sz="1100"/>
            </a:p>
          </xdr:txBody>
        </xdr:sp>
      </mc:Fallback>
    </mc:AlternateContent>
    <xdr:clientData/>
  </xdr:oneCellAnchor>
  <xdr:oneCellAnchor>
    <xdr:from>
      <xdr:col>3</xdr:col>
      <xdr:colOff>495301</xdr:colOff>
      <xdr:row>58</xdr:row>
      <xdr:rowOff>55561</xdr:rowOff>
    </xdr:from>
    <xdr:ext cx="1490029" cy="173766"/>
    <mc:AlternateContent xmlns:mc="http://schemas.openxmlformats.org/markup-compatibility/2006" xmlns:a14="http://schemas.microsoft.com/office/drawing/2010/main">
      <mc:Choice Requires="a14">
        <xdr:sp macro="" textlink="">
          <xdr:nvSpPr>
            <xdr:cNvPr id="48" name="TextBox 47">
              <a:extLst>
                <a:ext uri="{FF2B5EF4-FFF2-40B4-BE49-F238E27FC236}">
                  <a16:creationId xmlns:a16="http://schemas.microsoft.com/office/drawing/2014/main" id="{31A51C20-962B-C9A5-457D-2E2290F1B027}"/>
                </a:ext>
              </a:extLst>
            </xdr:cNvPr>
            <xdr:cNvSpPr txBox="1"/>
          </xdr:nvSpPr>
          <xdr:spPr>
            <a:xfrm>
              <a:off x="13520530170" y="11891961"/>
              <a:ext cx="149002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𝐼</m:t>
                    </m:r>
                    <m:r>
                      <a:rPr lang="en-US" sz="1100" b="0" i="1">
                        <a:latin typeface="Cambria Math" panose="02040503050406030204" pitchFamily="18" charset="0"/>
                      </a:rPr>
                      <m:t>%=8</m:t>
                    </m:r>
                  </m:oMath>
                </m:oMathPara>
              </a14:m>
              <a:endParaRPr lang="en-US" sz="1100"/>
            </a:p>
          </xdr:txBody>
        </xdr:sp>
      </mc:Choice>
      <mc:Fallback xmlns="">
        <xdr:sp macro="" textlink="">
          <xdr:nvSpPr>
            <xdr:cNvPr id="48" name="TextBox 47">
              <a:extLst>
                <a:ext uri="{FF2B5EF4-FFF2-40B4-BE49-F238E27FC236}">
                  <a16:creationId xmlns:a16="http://schemas.microsoft.com/office/drawing/2014/main" id="{31A51C20-962B-C9A5-457D-2E2290F1B027}"/>
                </a:ext>
              </a:extLst>
            </xdr:cNvPr>
            <xdr:cNvSpPr txBox="1"/>
          </xdr:nvSpPr>
          <xdr:spPr>
            <a:xfrm>
              <a:off x="13520530170" y="11891961"/>
              <a:ext cx="149002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𝐼%=8</a:t>
              </a:r>
              <a:endParaRPr lang="en-US" sz="1100"/>
            </a:p>
          </xdr:txBody>
        </xdr:sp>
      </mc:Fallback>
    </mc:AlternateContent>
    <xdr:clientData/>
  </xdr:oneCellAnchor>
  <xdr:twoCellAnchor>
    <xdr:from>
      <xdr:col>0</xdr:col>
      <xdr:colOff>406400</xdr:colOff>
      <xdr:row>54</xdr:row>
      <xdr:rowOff>22224</xdr:rowOff>
    </xdr:from>
    <xdr:to>
      <xdr:col>2</xdr:col>
      <xdr:colOff>441325</xdr:colOff>
      <xdr:row>55</xdr:row>
      <xdr:rowOff>76199</xdr:rowOff>
    </xdr:to>
    <xdr:sp macro="" textlink="">
      <xdr:nvSpPr>
        <xdr:cNvPr id="49" name="Left Brace 48">
          <a:extLst>
            <a:ext uri="{FF2B5EF4-FFF2-40B4-BE49-F238E27FC236}">
              <a16:creationId xmlns:a16="http://schemas.microsoft.com/office/drawing/2014/main" id="{5D5FC641-7171-1940-F048-9A8B59B48B89}"/>
            </a:ext>
          </a:extLst>
        </xdr:cNvPr>
        <xdr:cNvSpPr/>
      </xdr:nvSpPr>
      <xdr:spPr>
        <a:xfrm rot="16200000">
          <a:off x="13523614050" y="10331449"/>
          <a:ext cx="257175" cy="1685925"/>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oneCellAnchor>
    <xdr:from>
      <xdr:col>0</xdr:col>
      <xdr:colOff>593726</xdr:colOff>
      <xdr:row>56</xdr:row>
      <xdr:rowOff>7936</xdr:rowOff>
    </xdr:from>
    <xdr:ext cx="1490029" cy="173766"/>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CDD7CDDC-43C2-FB1D-A415-AB32CE902871}"/>
                </a:ext>
              </a:extLst>
            </xdr:cNvPr>
            <xdr:cNvSpPr txBox="1"/>
          </xdr:nvSpPr>
          <xdr:spPr>
            <a:xfrm>
              <a:off x="13522908245" y="11437936"/>
              <a:ext cx="149002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𝑃𝑀𝑇</m:t>
                    </m:r>
                    <m:r>
                      <a:rPr lang="en-US" sz="1100" b="0" i="1">
                        <a:latin typeface="Cambria Math" panose="02040503050406030204" pitchFamily="18" charset="0"/>
                      </a:rPr>
                      <m:t>=23,000</m:t>
                    </m:r>
                  </m:oMath>
                </m:oMathPara>
              </a14:m>
              <a:endParaRPr lang="en-US" sz="1100"/>
            </a:p>
          </xdr:txBody>
        </xdr:sp>
      </mc:Choice>
      <mc:Fallback xmlns="">
        <xdr:sp macro="" textlink="">
          <xdr:nvSpPr>
            <xdr:cNvPr id="50" name="TextBox 49">
              <a:extLst>
                <a:ext uri="{FF2B5EF4-FFF2-40B4-BE49-F238E27FC236}">
                  <a16:creationId xmlns:a16="http://schemas.microsoft.com/office/drawing/2014/main" id="{CDD7CDDC-43C2-FB1D-A415-AB32CE902871}"/>
                </a:ext>
              </a:extLst>
            </xdr:cNvPr>
            <xdr:cNvSpPr txBox="1"/>
          </xdr:nvSpPr>
          <xdr:spPr>
            <a:xfrm>
              <a:off x="13522908245" y="11437936"/>
              <a:ext cx="149002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𝑃𝑀𝑇=23,000</a:t>
              </a:r>
              <a:endParaRPr lang="en-US" sz="1100"/>
            </a:p>
          </xdr:txBody>
        </xdr:sp>
      </mc:Fallback>
    </mc:AlternateContent>
    <xdr:clientData/>
  </xdr:oneCellAnchor>
  <xdr:oneCellAnchor>
    <xdr:from>
      <xdr:col>0</xdr:col>
      <xdr:colOff>536576</xdr:colOff>
      <xdr:row>57</xdr:row>
      <xdr:rowOff>20636</xdr:rowOff>
    </xdr:from>
    <xdr:ext cx="1490029" cy="173766"/>
    <mc:AlternateContent xmlns:mc="http://schemas.openxmlformats.org/markup-compatibility/2006" xmlns:a14="http://schemas.microsoft.com/office/drawing/2010/main">
      <mc:Choice Requires="a14">
        <xdr:sp macro="" textlink="">
          <xdr:nvSpPr>
            <xdr:cNvPr id="51" name="TextBox 50">
              <a:extLst>
                <a:ext uri="{FF2B5EF4-FFF2-40B4-BE49-F238E27FC236}">
                  <a16:creationId xmlns:a16="http://schemas.microsoft.com/office/drawing/2014/main" id="{4C7D9455-F77E-13D1-4C3E-857DB60C7051}"/>
                </a:ext>
              </a:extLst>
            </xdr:cNvPr>
            <xdr:cNvSpPr txBox="1"/>
          </xdr:nvSpPr>
          <xdr:spPr>
            <a:xfrm>
              <a:off x="13522965395" y="11653836"/>
              <a:ext cx="149002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𝑛</m:t>
                    </m:r>
                    <m:r>
                      <a:rPr lang="en-US" sz="1100" b="0" i="1">
                        <a:latin typeface="Cambria Math" panose="02040503050406030204" pitchFamily="18" charset="0"/>
                      </a:rPr>
                      <m:t>=999</m:t>
                    </m:r>
                  </m:oMath>
                </m:oMathPara>
              </a14:m>
              <a:endParaRPr lang="en-US" sz="1100"/>
            </a:p>
          </xdr:txBody>
        </xdr:sp>
      </mc:Choice>
      <mc:Fallback xmlns="">
        <xdr:sp macro="" textlink="">
          <xdr:nvSpPr>
            <xdr:cNvPr id="51" name="TextBox 50">
              <a:extLst>
                <a:ext uri="{FF2B5EF4-FFF2-40B4-BE49-F238E27FC236}">
                  <a16:creationId xmlns:a16="http://schemas.microsoft.com/office/drawing/2014/main" id="{4C7D9455-F77E-13D1-4C3E-857DB60C7051}"/>
                </a:ext>
              </a:extLst>
            </xdr:cNvPr>
            <xdr:cNvSpPr txBox="1"/>
          </xdr:nvSpPr>
          <xdr:spPr>
            <a:xfrm>
              <a:off x="13522965395" y="11653836"/>
              <a:ext cx="149002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𝑛=999</a:t>
              </a:r>
              <a:endParaRPr lang="en-US" sz="1100"/>
            </a:p>
          </xdr:txBody>
        </xdr:sp>
      </mc:Fallback>
    </mc:AlternateContent>
    <xdr:clientData/>
  </xdr:oneCellAnchor>
  <xdr:oneCellAnchor>
    <xdr:from>
      <xdr:col>0</xdr:col>
      <xdr:colOff>561976</xdr:colOff>
      <xdr:row>58</xdr:row>
      <xdr:rowOff>30161</xdr:rowOff>
    </xdr:from>
    <xdr:ext cx="1490029" cy="173766"/>
    <mc:AlternateContent xmlns:mc="http://schemas.openxmlformats.org/markup-compatibility/2006" xmlns:a14="http://schemas.microsoft.com/office/drawing/2010/main">
      <mc:Choice Requires="a14">
        <xdr:sp macro="" textlink="">
          <xdr:nvSpPr>
            <xdr:cNvPr id="52" name="TextBox 51">
              <a:extLst>
                <a:ext uri="{FF2B5EF4-FFF2-40B4-BE49-F238E27FC236}">
                  <a16:creationId xmlns:a16="http://schemas.microsoft.com/office/drawing/2014/main" id="{2DB95EA5-2EE6-91DF-2C32-F078ECDA04DA}"/>
                </a:ext>
              </a:extLst>
            </xdr:cNvPr>
            <xdr:cNvSpPr txBox="1"/>
          </xdr:nvSpPr>
          <xdr:spPr>
            <a:xfrm>
              <a:off x="13522939995" y="11866561"/>
              <a:ext cx="149002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𝐼</m:t>
                    </m:r>
                    <m:r>
                      <a:rPr lang="en-US" sz="1100" b="0" i="1">
                        <a:latin typeface="Cambria Math" panose="02040503050406030204" pitchFamily="18" charset="0"/>
                      </a:rPr>
                      <m:t>%=8</m:t>
                    </m:r>
                  </m:oMath>
                </m:oMathPara>
              </a14:m>
              <a:endParaRPr lang="en-US" sz="1100"/>
            </a:p>
          </xdr:txBody>
        </xdr:sp>
      </mc:Choice>
      <mc:Fallback xmlns="">
        <xdr:sp macro="" textlink="">
          <xdr:nvSpPr>
            <xdr:cNvPr id="52" name="TextBox 51">
              <a:extLst>
                <a:ext uri="{FF2B5EF4-FFF2-40B4-BE49-F238E27FC236}">
                  <a16:creationId xmlns:a16="http://schemas.microsoft.com/office/drawing/2014/main" id="{2DB95EA5-2EE6-91DF-2C32-F078ECDA04DA}"/>
                </a:ext>
              </a:extLst>
            </xdr:cNvPr>
            <xdr:cNvSpPr txBox="1"/>
          </xdr:nvSpPr>
          <xdr:spPr>
            <a:xfrm>
              <a:off x="13522939995" y="11866561"/>
              <a:ext cx="149002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𝐼%=8</a:t>
              </a:r>
              <a:endParaRPr lang="en-US" sz="1100"/>
            </a:p>
          </xdr:txBody>
        </xdr:sp>
      </mc:Fallback>
    </mc:AlternateContent>
    <xdr:clientData/>
  </xdr:oneCellAnchor>
  <xdr:twoCellAnchor>
    <xdr:from>
      <xdr:col>1</xdr:col>
      <xdr:colOff>207934</xdr:colOff>
      <xdr:row>59</xdr:row>
      <xdr:rowOff>70378</xdr:rowOff>
    </xdr:from>
    <xdr:to>
      <xdr:col>1</xdr:col>
      <xdr:colOff>591814</xdr:colOff>
      <xdr:row>60</xdr:row>
      <xdr:rowOff>163148</xdr:rowOff>
    </xdr:to>
    <xdr:sp macro="" textlink="">
      <xdr:nvSpPr>
        <xdr:cNvPr id="53" name="Rounded Rectangle 52">
          <a:extLst>
            <a:ext uri="{FF2B5EF4-FFF2-40B4-BE49-F238E27FC236}">
              <a16:creationId xmlns:a16="http://schemas.microsoft.com/office/drawing/2014/main" id="{D1B0C4F9-DF5B-6FC6-8FAF-BA03F695E362}"/>
            </a:ext>
          </a:extLst>
        </xdr:cNvPr>
        <xdr:cNvSpPr/>
      </xdr:nvSpPr>
      <xdr:spPr>
        <a:xfrm>
          <a:off x="13520954231" y="12188161"/>
          <a:ext cx="383880" cy="29750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rtl="1"/>
          <a:r>
            <a:rPr lang="he-IL" sz="1100"/>
            <a:t>א</a:t>
          </a:r>
          <a:endParaRPr lang="en-US" sz="1100"/>
        </a:p>
      </xdr:txBody>
    </xdr:sp>
    <xdr:clientData/>
  </xdr:twoCellAnchor>
  <xdr:twoCellAnchor>
    <xdr:from>
      <xdr:col>4</xdr:col>
      <xdr:colOff>188740</xdr:colOff>
      <xdr:row>59</xdr:row>
      <xdr:rowOff>147154</xdr:rowOff>
    </xdr:from>
    <xdr:to>
      <xdr:col>4</xdr:col>
      <xdr:colOff>572620</xdr:colOff>
      <xdr:row>61</xdr:row>
      <xdr:rowOff>35189</xdr:rowOff>
    </xdr:to>
    <xdr:sp macro="" textlink="">
      <xdr:nvSpPr>
        <xdr:cNvPr id="54" name="Rounded Rectangle 53">
          <a:extLst>
            <a:ext uri="{FF2B5EF4-FFF2-40B4-BE49-F238E27FC236}">
              <a16:creationId xmlns:a16="http://schemas.microsoft.com/office/drawing/2014/main" id="{BEEA60E0-6445-FBC1-3FE8-10A583AB819D}"/>
            </a:ext>
          </a:extLst>
        </xdr:cNvPr>
        <xdr:cNvSpPr/>
      </xdr:nvSpPr>
      <xdr:spPr>
        <a:xfrm>
          <a:off x="13518497405" y="12264937"/>
          <a:ext cx="383880" cy="29750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rtl="1"/>
          <a:r>
            <a:rPr lang="he-IL" sz="1100"/>
            <a:t>ב</a:t>
          </a:r>
          <a:endParaRPr lang="en-US" sz="1100"/>
        </a:p>
      </xdr:txBody>
    </xdr:sp>
    <xdr:clientData/>
  </xdr:twoCellAnchor>
  <xdr:twoCellAnchor>
    <xdr:from>
      <xdr:col>2</xdr:col>
      <xdr:colOff>403073</xdr:colOff>
      <xdr:row>54</xdr:row>
      <xdr:rowOff>198337</xdr:rowOff>
    </xdr:from>
    <xdr:to>
      <xdr:col>2</xdr:col>
      <xdr:colOff>422267</xdr:colOff>
      <xdr:row>61</xdr:row>
      <xdr:rowOff>172746</xdr:rowOff>
    </xdr:to>
    <xdr:cxnSp macro="">
      <xdr:nvCxnSpPr>
        <xdr:cNvPr id="56" name="Straight Connector 55">
          <a:extLst>
            <a:ext uri="{FF2B5EF4-FFF2-40B4-BE49-F238E27FC236}">
              <a16:creationId xmlns:a16="http://schemas.microsoft.com/office/drawing/2014/main" id="{70F8DE7E-7A4F-F3E1-ABDC-8CEE70C9F939}"/>
            </a:ext>
          </a:extLst>
        </xdr:cNvPr>
        <xdr:cNvCxnSpPr/>
      </xdr:nvCxnSpPr>
      <xdr:spPr>
        <a:xfrm>
          <a:off x="13520298438" y="11292443"/>
          <a:ext cx="19194" cy="1407557"/>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374282</xdr:colOff>
      <xdr:row>56</xdr:row>
      <xdr:rowOff>67179</xdr:rowOff>
    </xdr:from>
    <xdr:to>
      <xdr:col>3</xdr:col>
      <xdr:colOff>374282</xdr:colOff>
      <xdr:row>61</xdr:row>
      <xdr:rowOff>166348</xdr:rowOff>
    </xdr:to>
    <xdr:cxnSp macro="">
      <xdr:nvCxnSpPr>
        <xdr:cNvPr id="57" name="Straight Connector 56">
          <a:extLst>
            <a:ext uri="{FF2B5EF4-FFF2-40B4-BE49-F238E27FC236}">
              <a16:creationId xmlns:a16="http://schemas.microsoft.com/office/drawing/2014/main" id="{0CB5593D-168D-5E4A-ED01-49E799D95A1B}"/>
            </a:ext>
          </a:extLst>
        </xdr:cNvPr>
        <xdr:cNvCxnSpPr/>
      </xdr:nvCxnSpPr>
      <xdr:spPr>
        <a:xfrm>
          <a:off x="13519521083" y="11570756"/>
          <a:ext cx="0" cy="1122846"/>
        </a:xfrm>
        <a:prstGeom prst="line">
          <a:avLst/>
        </a:prstGeom>
        <a:ln>
          <a:headEnd type="arrow" w="med" len="med"/>
          <a:tailEnd type="none" w="med"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403073</xdr:colOff>
      <xdr:row>61</xdr:row>
      <xdr:rowOff>163149</xdr:rowOff>
    </xdr:from>
    <xdr:to>
      <xdr:col>3</xdr:col>
      <xdr:colOff>380680</xdr:colOff>
      <xdr:row>61</xdr:row>
      <xdr:rowOff>166348</xdr:rowOff>
    </xdr:to>
    <xdr:cxnSp macro="">
      <xdr:nvCxnSpPr>
        <xdr:cNvPr id="58" name="Straight Connector 57">
          <a:extLst>
            <a:ext uri="{FF2B5EF4-FFF2-40B4-BE49-F238E27FC236}">
              <a16:creationId xmlns:a16="http://schemas.microsoft.com/office/drawing/2014/main" id="{FED3EAF2-1B2A-D881-DD60-17F8B9215DFE}"/>
            </a:ext>
          </a:extLst>
        </xdr:cNvPr>
        <xdr:cNvCxnSpPr/>
      </xdr:nvCxnSpPr>
      <xdr:spPr>
        <a:xfrm flipH="1">
          <a:off x="13519514685" y="12690403"/>
          <a:ext cx="802947" cy="3199"/>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387078</xdr:colOff>
      <xdr:row>55</xdr:row>
      <xdr:rowOff>25591</xdr:rowOff>
    </xdr:from>
    <xdr:to>
      <xdr:col>5</xdr:col>
      <xdr:colOff>387078</xdr:colOff>
      <xdr:row>56</xdr:row>
      <xdr:rowOff>179143</xdr:rowOff>
    </xdr:to>
    <xdr:cxnSp macro="">
      <xdr:nvCxnSpPr>
        <xdr:cNvPr id="62" name="Straight Connector 61">
          <a:extLst>
            <a:ext uri="{FF2B5EF4-FFF2-40B4-BE49-F238E27FC236}">
              <a16:creationId xmlns:a16="http://schemas.microsoft.com/office/drawing/2014/main" id="{036FF864-EAF3-61CA-A24E-F6F9875202A7}"/>
            </a:ext>
          </a:extLst>
        </xdr:cNvPr>
        <xdr:cNvCxnSpPr/>
      </xdr:nvCxnSpPr>
      <xdr:spPr>
        <a:xfrm>
          <a:off x="13517857607" y="11324432"/>
          <a:ext cx="0" cy="358288"/>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3199</xdr:colOff>
      <xdr:row>54</xdr:row>
      <xdr:rowOff>70378</xdr:rowOff>
    </xdr:from>
    <xdr:to>
      <xdr:col>6</xdr:col>
      <xdr:colOff>255919</xdr:colOff>
      <xdr:row>56</xdr:row>
      <xdr:rowOff>156750</xdr:rowOff>
    </xdr:to>
    <xdr:cxnSp macro="">
      <xdr:nvCxnSpPr>
        <xdr:cNvPr id="63" name="Straight Connector 62">
          <a:extLst>
            <a:ext uri="{FF2B5EF4-FFF2-40B4-BE49-F238E27FC236}">
              <a16:creationId xmlns:a16="http://schemas.microsoft.com/office/drawing/2014/main" id="{98DED675-12D2-6D9D-025D-4914637C789D}"/>
            </a:ext>
          </a:extLst>
        </xdr:cNvPr>
        <xdr:cNvCxnSpPr/>
      </xdr:nvCxnSpPr>
      <xdr:spPr>
        <a:xfrm>
          <a:off x="13517163426" y="11164484"/>
          <a:ext cx="252720" cy="495843"/>
        </a:xfrm>
        <a:prstGeom prst="line">
          <a:avLst/>
        </a:prstGeom>
        <a:ln>
          <a:headEnd type="arrow" w="med" len="med"/>
          <a:tailEnd type="none" w="med"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390277</xdr:colOff>
      <xdr:row>56</xdr:row>
      <xdr:rowOff>169546</xdr:rowOff>
    </xdr:from>
    <xdr:to>
      <xdr:col>6</xdr:col>
      <xdr:colOff>15995</xdr:colOff>
      <xdr:row>56</xdr:row>
      <xdr:rowOff>175944</xdr:rowOff>
    </xdr:to>
    <xdr:cxnSp macro="">
      <xdr:nvCxnSpPr>
        <xdr:cNvPr id="67" name="Straight Connector 66">
          <a:extLst>
            <a:ext uri="{FF2B5EF4-FFF2-40B4-BE49-F238E27FC236}">
              <a16:creationId xmlns:a16="http://schemas.microsoft.com/office/drawing/2014/main" id="{ECC194A8-8F92-9747-4F7C-E392F0EA290A}"/>
            </a:ext>
          </a:extLst>
        </xdr:cNvPr>
        <xdr:cNvCxnSpPr/>
      </xdr:nvCxnSpPr>
      <xdr:spPr>
        <a:xfrm flipH="1" flipV="1">
          <a:off x="13517403350" y="11673123"/>
          <a:ext cx="451058" cy="6398"/>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652639</xdr:colOff>
      <xdr:row>68</xdr:row>
      <xdr:rowOff>130528</xdr:rowOff>
    </xdr:from>
    <xdr:to>
      <xdr:col>4</xdr:col>
      <xdr:colOff>91722</xdr:colOff>
      <xdr:row>70</xdr:row>
      <xdr:rowOff>17639</xdr:rowOff>
    </xdr:to>
    <xdr:cxnSp macro="">
      <xdr:nvCxnSpPr>
        <xdr:cNvPr id="73" name="Straight Arrow Connector 72">
          <a:extLst>
            <a:ext uri="{FF2B5EF4-FFF2-40B4-BE49-F238E27FC236}">
              <a16:creationId xmlns:a16="http://schemas.microsoft.com/office/drawing/2014/main" id="{D81FE088-30FC-13F5-63C4-2F7D1B6F10FF}"/>
            </a:ext>
          </a:extLst>
        </xdr:cNvPr>
        <xdr:cNvCxnSpPr/>
      </xdr:nvCxnSpPr>
      <xdr:spPr>
        <a:xfrm>
          <a:off x="13521661778" y="14086417"/>
          <a:ext cx="264583" cy="29633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249100</xdr:colOff>
      <xdr:row>73</xdr:row>
      <xdr:rowOff>71625</xdr:rowOff>
    </xdr:from>
    <xdr:ext cx="3795682" cy="341953"/>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278743EB-0A4D-6D21-7B27-6B7A077105F0}"/>
                </a:ext>
              </a:extLst>
            </xdr:cNvPr>
            <xdr:cNvSpPr txBox="1"/>
          </xdr:nvSpPr>
          <xdr:spPr>
            <a:xfrm>
              <a:off x="13509326922" y="15050275"/>
              <a:ext cx="3795682" cy="3419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d>
                      <m:dPr>
                        <m:ctrlPr>
                          <a:rPr lang="en-US" sz="1100" b="0" i="1">
                            <a:latin typeface="Cambria Math" panose="02040503050406030204" pitchFamily="18" charset="0"/>
                          </a:rPr>
                        </m:ctrlPr>
                      </m:dPr>
                      <m:e>
                        <m:r>
                          <a:rPr lang="he-IL" sz="1100" b="0" i="1">
                            <a:latin typeface="Cambria Math" panose="02040503050406030204" pitchFamily="18" charset="0"/>
                          </a:rPr>
                          <m:t>סופית</m:t>
                        </m:r>
                        <m:r>
                          <a:rPr lang="he-IL" sz="1100" b="0" i="1">
                            <a:latin typeface="Cambria Math" panose="02040503050406030204" pitchFamily="18" charset="0"/>
                          </a:rPr>
                          <m:t> </m:t>
                        </m:r>
                        <m:r>
                          <a:rPr lang="he-IL" sz="1100" b="0" i="1">
                            <a:latin typeface="Cambria Math" panose="02040503050406030204" pitchFamily="18" charset="0"/>
                          </a:rPr>
                          <m:t>סדרה</m:t>
                        </m:r>
                      </m:e>
                    </m:d>
                    <m:r>
                      <a:rPr lang="he-IL" sz="1100" b="0" i="1">
                        <a:latin typeface="Cambria Math" panose="02040503050406030204" pitchFamily="18" charset="0"/>
                      </a:rPr>
                      <m:t>=</m:t>
                    </m:r>
                    <m:f>
                      <m:fPr>
                        <m:ctrlPr>
                          <a:rPr lang="he-IL" sz="1100" b="0" i="1">
                            <a:latin typeface="Cambria Math" panose="02040503050406030204" pitchFamily="18" charset="0"/>
                          </a:rPr>
                        </m:ctrlPr>
                      </m:fPr>
                      <m:num>
                        <m:r>
                          <a:rPr lang="he-IL" sz="1100" b="0" i="1">
                            <a:latin typeface="Cambria Math" panose="02040503050406030204" pitchFamily="18" charset="0"/>
                          </a:rPr>
                          <m:t>32,000</m:t>
                        </m:r>
                      </m:num>
                      <m:den>
                        <m:r>
                          <a:rPr lang="he-IL" sz="1100" b="0" i="1">
                            <a:latin typeface="Cambria Math" panose="02040503050406030204" pitchFamily="18" charset="0"/>
                          </a:rPr>
                          <m:t>8%</m:t>
                        </m:r>
                      </m:den>
                    </m:f>
                    <m:r>
                      <a:rPr lang="he-IL" sz="1100" b="0" i="1">
                        <a:latin typeface="Cambria Math" panose="02040503050406030204" pitchFamily="18" charset="0"/>
                      </a:rPr>
                      <m:t>∗</m:t>
                    </m:r>
                    <m:d>
                      <m:dPr>
                        <m:begChr m:val="["/>
                        <m:endChr m:val="]"/>
                        <m:ctrlPr>
                          <a:rPr lang="en-US" sz="1100" b="0" i="1">
                            <a:latin typeface="Cambria Math" panose="02040503050406030204" pitchFamily="18" charset="0"/>
                          </a:rPr>
                        </m:ctrlPr>
                      </m:dPr>
                      <m:e>
                        <m:r>
                          <a:rPr lang="he-IL" sz="1100" b="0" i="1">
                            <a:latin typeface="Cambria Math" panose="02040503050406030204" pitchFamily="18" charset="0"/>
                          </a:rPr>
                          <m:t>1−</m:t>
                        </m:r>
                        <m:f>
                          <m:fPr>
                            <m:ctrlPr>
                              <a:rPr lang="he-IL" sz="1100" b="0" i="1">
                                <a:latin typeface="Cambria Math" panose="02040503050406030204" pitchFamily="18" charset="0"/>
                              </a:rPr>
                            </m:ctrlPr>
                          </m:fPr>
                          <m:num>
                            <m:r>
                              <a:rPr lang="he-IL"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m:t>
                                    </m:r>
                                    <m:r>
                                      <a:rPr lang="en-US" sz="1100" b="0" i="1">
                                        <a:latin typeface="Cambria Math" panose="02040503050406030204" pitchFamily="18" charset="0"/>
                                      </a:rPr>
                                      <m:t>8%</m:t>
                                    </m:r>
                                  </m:e>
                                </m:d>
                              </m:e>
                              <m:sup>
                                <m:r>
                                  <a:rPr lang="en-US" sz="1100" b="0" i="1">
                                    <a:latin typeface="Cambria Math" panose="02040503050406030204" pitchFamily="18" charset="0"/>
                                  </a:rPr>
                                  <m:t>15</m:t>
                                </m:r>
                              </m:sup>
                            </m:sSup>
                          </m:den>
                        </m:f>
                      </m:e>
                    </m:d>
                    <m:r>
                      <a:rPr lang="en-US" sz="1100" b="0" i="0">
                        <a:latin typeface="Cambria Math" panose="02040503050406030204" pitchFamily="18" charset="0"/>
                      </a:rPr>
                      <m:t>=</m:t>
                    </m:r>
                  </m:oMath>
                </m:oMathPara>
              </a14:m>
              <a:endParaRPr lang="en-US" sz="1100"/>
            </a:p>
          </xdr:txBody>
        </xdr:sp>
      </mc:Choice>
      <mc:Fallback xmlns="">
        <xdr:sp macro="" textlink="">
          <xdr:nvSpPr>
            <xdr:cNvPr id="74" name="TextBox 73">
              <a:extLst>
                <a:ext uri="{FF2B5EF4-FFF2-40B4-BE49-F238E27FC236}">
                  <a16:creationId xmlns:a16="http://schemas.microsoft.com/office/drawing/2014/main" id="{278743EB-0A4D-6D21-7B27-6B7A077105F0}"/>
                </a:ext>
              </a:extLst>
            </xdr:cNvPr>
            <xdr:cNvSpPr txBox="1"/>
          </xdr:nvSpPr>
          <xdr:spPr>
            <a:xfrm>
              <a:off x="13509326922" y="15050275"/>
              <a:ext cx="3795682" cy="3419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a:t>
              </a:r>
              <a:r>
                <a:rPr lang="he-IL" sz="1100" b="0" i="0">
                  <a:latin typeface="Cambria Math" panose="02040503050406030204" pitchFamily="18" charset="0"/>
                </a:rPr>
                <a:t>סופית סדרה)=32,000/(8%)∗</a:t>
              </a:r>
              <a:r>
                <a:rPr lang="en-US" sz="1100" b="0" i="0">
                  <a:latin typeface="Cambria Math" panose="02040503050406030204" pitchFamily="18" charset="0"/>
                </a:rPr>
                <a:t>[</a:t>
              </a:r>
              <a:r>
                <a:rPr lang="he-IL" sz="1100" b="0" i="0">
                  <a:latin typeface="Cambria Math" panose="02040503050406030204" pitchFamily="18" charset="0"/>
                </a:rPr>
                <a:t>1−1/(1+</a:t>
              </a:r>
              <a:r>
                <a:rPr lang="en-US" sz="1100" b="0" i="0">
                  <a:latin typeface="Cambria Math" panose="02040503050406030204" pitchFamily="18" charset="0"/>
                </a:rPr>
                <a:t>8%)^15</a:t>
              </a:r>
              <a:r>
                <a:rPr lang="he-IL" sz="1100" b="0" i="0">
                  <a:latin typeface="Cambria Math" panose="02040503050406030204" pitchFamily="18" charset="0"/>
                </a:rPr>
                <a:t> </a:t>
              </a:r>
              <a:r>
                <a:rPr lang="en-US" sz="1100" b="0" i="0">
                  <a:latin typeface="Cambria Math" panose="02040503050406030204" pitchFamily="18" charset="0"/>
                </a:rPr>
                <a:t>]=</a:t>
              </a:r>
              <a:endParaRPr lang="en-US" sz="1100"/>
            </a:p>
          </xdr:txBody>
        </xdr:sp>
      </mc:Fallback>
    </mc:AlternateContent>
    <xdr:clientData/>
  </xdr:oneCellAnchor>
  <xdr:oneCellAnchor>
    <xdr:from>
      <xdr:col>3</xdr:col>
      <xdr:colOff>249100</xdr:colOff>
      <xdr:row>75</xdr:row>
      <xdr:rowOff>87960</xdr:rowOff>
    </xdr:from>
    <xdr:ext cx="2705362" cy="465320"/>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AB715852-8899-2E27-1E2D-E109C7B7025E}"/>
                </a:ext>
              </a:extLst>
            </xdr:cNvPr>
            <xdr:cNvSpPr txBox="1"/>
          </xdr:nvSpPr>
          <xdr:spPr>
            <a:xfrm>
              <a:off x="13509592355" y="15474970"/>
              <a:ext cx="2705362" cy="465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d>
                      <m:dPr>
                        <m:ctrlPr>
                          <a:rPr lang="en-US" sz="1100" b="0" i="1">
                            <a:latin typeface="Cambria Math" panose="02040503050406030204" pitchFamily="18" charset="0"/>
                          </a:rPr>
                        </m:ctrlPr>
                      </m:dPr>
                      <m:e>
                        <m:r>
                          <a:rPr lang="he-IL" sz="1100" b="0" i="1">
                            <a:latin typeface="Cambria Math" panose="02040503050406030204" pitchFamily="18" charset="0"/>
                          </a:rPr>
                          <m:t>אינסופית</m:t>
                        </m:r>
                        <m:r>
                          <a:rPr lang="he-IL" sz="1100" b="0" i="1">
                            <a:latin typeface="Cambria Math" panose="02040503050406030204" pitchFamily="18" charset="0"/>
                          </a:rPr>
                          <m:t> </m:t>
                        </m:r>
                        <m:r>
                          <a:rPr lang="he-IL" sz="1100" b="0" i="1">
                            <a:latin typeface="Cambria Math" panose="02040503050406030204" pitchFamily="18" charset="0"/>
                          </a:rPr>
                          <m:t>סדרה</m:t>
                        </m:r>
                      </m:e>
                    </m:d>
                    <m:r>
                      <a:rPr lang="he-IL" sz="1100" b="0" i="1">
                        <a:latin typeface="Cambria Math" panose="02040503050406030204" pitchFamily="18" charset="0"/>
                      </a:rPr>
                      <m:t>=</m:t>
                    </m:r>
                    <m:f>
                      <m:fPr>
                        <m:ctrlPr>
                          <a:rPr lang="en-US" sz="1100" b="0" i="1">
                            <a:latin typeface="Cambria Math" panose="02040503050406030204" pitchFamily="18" charset="0"/>
                          </a:rPr>
                        </m:ctrlPr>
                      </m:fPr>
                      <m:num>
                        <m:f>
                          <m:fPr>
                            <m:ctrlPr>
                              <a:rPr lang="en-US" sz="1100" b="0" i="1">
                                <a:latin typeface="Cambria Math" panose="02040503050406030204" pitchFamily="18" charset="0"/>
                              </a:rPr>
                            </m:ctrlPr>
                          </m:fPr>
                          <m:num>
                            <m:r>
                              <a:rPr lang="en-US" sz="1100" b="0" i="1">
                                <a:latin typeface="Cambria Math" panose="02040503050406030204" pitchFamily="18" charset="0"/>
                              </a:rPr>
                              <m:t>23,000</m:t>
                            </m:r>
                          </m:num>
                          <m:den>
                            <m:r>
                              <a:rPr lang="en-US" sz="1100" b="0" i="1">
                                <a:latin typeface="Cambria Math" panose="02040503050406030204" pitchFamily="18" charset="0"/>
                              </a:rPr>
                              <m:t>8%</m:t>
                            </m:r>
                          </m:den>
                        </m:f>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1+8%</m:t>
                                </m:r>
                              </m:e>
                            </m:d>
                          </m:e>
                          <m:sup>
                            <m:r>
                              <a:rPr lang="en-US" sz="1100" b="0" i="1">
                                <a:latin typeface="Cambria Math" panose="02040503050406030204" pitchFamily="18" charset="0"/>
                              </a:rPr>
                              <m:t>15</m:t>
                            </m:r>
                          </m:sup>
                        </m:sSup>
                      </m:den>
                    </m:f>
                    <m:r>
                      <a:rPr lang="en-US" sz="1100" b="0" i="1">
                        <a:latin typeface="Cambria Math" panose="02040503050406030204" pitchFamily="18" charset="0"/>
                      </a:rPr>
                      <m:t>=</m:t>
                    </m:r>
                  </m:oMath>
                </m:oMathPara>
              </a14:m>
              <a:endParaRPr lang="en-US" sz="1100"/>
            </a:p>
          </xdr:txBody>
        </xdr:sp>
      </mc:Choice>
      <mc:Fallback xmlns="">
        <xdr:sp macro="" textlink="">
          <xdr:nvSpPr>
            <xdr:cNvPr id="75" name="TextBox 74">
              <a:extLst>
                <a:ext uri="{FF2B5EF4-FFF2-40B4-BE49-F238E27FC236}">
                  <a16:creationId xmlns:a16="http://schemas.microsoft.com/office/drawing/2014/main" id="{AB715852-8899-2E27-1E2D-E109C7B7025E}"/>
                </a:ext>
              </a:extLst>
            </xdr:cNvPr>
            <xdr:cNvSpPr txBox="1"/>
          </xdr:nvSpPr>
          <xdr:spPr>
            <a:xfrm>
              <a:off x="13509592355" y="15474970"/>
              <a:ext cx="2705362" cy="465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a:t>
              </a:r>
              <a:r>
                <a:rPr lang="he-IL" sz="1100" b="0" i="0">
                  <a:latin typeface="Cambria Math" panose="02040503050406030204" pitchFamily="18" charset="0"/>
                </a:rPr>
                <a:t>אינסופית סדרה)=</a:t>
              </a:r>
              <a:r>
                <a:rPr lang="en-US" sz="1100" b="0" i="0">
                  <a:latin typeface="Cambria Math" panose="02040503050406030204" pitchFamily="18" charset="0"/>
                </a:rPr>
                <a:t>(23,000/(8%))/(1+8%)^15 =</a:t>
              </a:r>
              <a:endParaRPr lang="en-US" sz="1100"/>
            </a:p>
          </xdr:txBody>
        </xdr:sp>
      </mc:Fallback>
    </mc:AlternateContent>
    <xdr:clientData/>
  </xdr:oneCellAnchor>
  <xdr:twoCellAnchor>
    <xdr:from>
      <xdr:col>0</xdr:col>
      <xdr:colOff>169121</xdr:colOff>
      <xdr:row>226</xdr:row>
      <xdr:rowOff>105302</xdr:rowOff>
    </xdr:from>
    <xdr:to>
      <xdr:col>7</xdr:col>
      <xdr:colOff>695629</xdr:colOff>
      <xdr:row>226</xdr:row>
      <xdr:rowOff>111684</xdr:rowOff>
    </xdr:to>
    <xdr:cxnSp macro="">
      <xdr:nvCxnSpPr>
        <xdr:cNvPr id="77" name="Straight Arrow Connector 76">
          <a:extLst>
            <a:ext uri="{FF2B5EF4-FFF2-40B4-BE49-F238E27FC236}">
              <a16:creationId xmlns:a16="http://schemas.microsoft.com/office/drawing/2014/main" id="{22FF5ED1-E3B8-A45E-0E41-58FEBB63CD10}"/>
            </a:ext>
          </a:extLst>
        </xdr:cNvPr>
        <xdr:cNvCxnSpPr/>
      </xdr:nvCxnSpPr>
      <xdr:spPr>
        <a:xfrm flipV="1">
          <a:off x="13534195351" y="43783091"/>
          <a:ext cx="6375528" cy="638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236131</xdr:colOff>
      <xdr:row>228</xdr:row>
      <xdr:rowOff>170714</xdr:rowOff>
    </xdr:from>
    <xdr:to>
      <xdr:col>2</xdr:col>
      <xdr:colOff>569585</xdr:colOff>
      <xdr:row>229</xdr:row>
      <xdr:rowOff>156356</xdr:rowOff>
    </xdr:to>
    <xdr:sp macro="" textlink="">
      <xdr:nvSpPr>
        <xdr:cNvPr id="81" name="Left Brace 80">
          <a:extLst>
            <a:ext uri="{FF2B5EF4-FFF2-40B4-BE49-F238E27FC236}">
              <a16:creationId xmlns:a16="http://schemas.microsoft.com/office/drawing/2014/main" id="{9B4A9747-2F05-82E7-B978-2BBFCE8C7B2B}"/>
            </a:ext>
          </a:extLst>
        </xdr:cNvPr>
        <xdr:cNvSpPr/>
      </xdr:nvSpPr>
      <xdr:spPr>
        <a:xfrm rot="16200000">
          <a:off x="13539415753" y="43358692"/>
          <a:ext cx="189863" cy="1986369"/>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oneCellAnchor>
    <xdr:from>
      <xdr:col>0</xdr:col>
      <xdr:colOff>504172</xdr:colOff>
      <xdr:row>230</xdr:row>
      <xdr:rowOff>3892</xdr:rowOff>
    </xdr:from>
    <xdr:ext cx="1512445" cy="173766"/>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E4029899-091E-351B-F5C1-88D92EDEC2EB}"/>
                </a:ext>
              </a:extLst>
            </xdr:cNvPr>
            <xdr:cNvSpPr txBox="1"/>
          </xdr:nvSpPr>
          <xdr:spPr>
            <a:xfrm>
              <a:off x="13538723383" y="44498565"/>
              <a:ext cx="1512445"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𝑃𝑀𝑇</m:t>
                    </m:r>
                    <m:r>
                      <a:rPr lang="en-US" sz="1100" b="0" i="1">
                        <a:latin typeface="Cambria Math" panose="02040503050406030204" pitchFamily="18" charset="0"/>
                      </a:rPr>
                      <m:t>=37.5</m:t>
                    </m:r>
                  </m:oMath>
                </m:oMathPara>
              </a14:m>
              <a:endParaRPr lang="en-US" sz="1100"/>
            </a:p>
          </xdr:txBody>
        </xdr:sp>
      </mc:Choice>
      <mc:Fallback xmlns="">
        <xdr:sp macro="" textlink="">
          <xdr:nvSpPr>
            <xdr:cNvPr id="82" name="TextBox 81">
              <a:extLst>
                <a:ext uri="{FF2B5EF4-FFF2-40B4-BE49-F238E27FC236}">
                  <a16:creationId xmlns:a16="http://schemas.microsoft.com/office/drawing/2014/main" id="{E4029899-091E-351B-F5C1-88D92EDEC2EB}"/>
                </a:ext>
              </a:extLst>
            </xdr:cNvPr>
            <xdr:cNvSpPr txBox="1"/>
          </xdr:nvSpPr>
          <xdr:spPr>
            <a:xfrm>
              <a:off x="13538723383" y="44498565"/>
              <a:ext cx="1512445"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𝑃𝑀𝑇=37.5</a:t>
              </a:r>
              <a:endParaRPr lang="en-US" sz="1100"/>
            </a:p>
          </xdr:txBody>
        </xdr:sp>
      </mc:Fallback>
    </mc:AlternateContent>
    <xdr:clientData/>
  </xdr:oneCellAnchor>
  <xdr:oneCellAnchor>
    <xdr:from>
      <xdr:col>0</xdr:col>
      <xdr:colOff>294087</xdr:colOff>
      <xdr:row>231</xdr:row>
      <xdr:rowOff>23665</xdr:rowOff>
    </xdr:from>
    <xdr:ext cx="1512445"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5C0A34DC-6F14-CA68-AC51-9F0D5624A062}"/>
                </a:ext>
              </a:extLst>
            </xdr:cNvPr>
            <xdr:cNvSpPr txBox="1"/>
          </xdr:nvSpPr>
          <xdr:spPr>
            <a:xfrm>
              <a:off x="13514358425" y="46796571"/>
              <a:ext cx="1512445"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𝑛</m:t>
                    </m:r>
                    <m:r>
                      <a:rPr lang="en-US" sz="1100" b="0" i="1">
                        <a:latin typeface="Cambria Math" panose="02040503050406030204" pitchFamily="18" charset="0"/>
                      </a:rPr>
                      <m:t>=18−4=14</m:t>
                    </m:r>
                  </m:oMath>
                </m:oMathPara>
              </a14:m>
              <a:endParaRPr lang="en-US" sz="1100"/>
            </a:p>
          </xdr:txBody>
        </xdr:sp>
      </mc:Choice>
      <mc:Fallback xmlns="">
        <xdr:sp macro="" textlink="">
          <xdr:nvSpPr>
            <xdr:cNvPr id="83" name="TextBox 82">
              <a:extLst>
                <a:ext uri="{FF2B5EF4-FFF2-40B4-BE49-F238E27FC236}">
                  <a16:creationId xmlns:a16="http://schemas.microsoft.com/office/drawing/2014/main" id="{5C0A34DC-6F14-CA68-AC51-9F0D5624A062}"/>
                </a:ext>
              </a:extLst>
            </xdr:cNvPr>
            <xdr:cNvSpPr txBox="1"/>
          </xdr:nvSpPr>
          <xdr:spPr>
            <a:xfrm>
              <a:off x="13514358425" y="46796571"/>
              <a:ext cx="1512445"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𝑛=</a:t>
              </a:r>
              <a:r>
                <a:rPr lang="he-IL" sz="1100" b="0" i="0">
                  <a:latin typeface="Cambria Math" panose="02040503050406030204" pitchFamily="18" charset="0"/>
                </a:rPr>
                <a:t>18−4=</a:t>
              </a:r>
              <a:r>
                <a:rPr lang="en-US" sz="1100" b="0" i="0">
                  <a:latin typeface="Cambria Math" panose="02040503050406030204" pitchFamily="18" charset="0"/>
                </a:rPr>
                <a:t>14</a:t>
              </a:r>
              <a:endParaRPr lang="en-US" sz="1100"/>
            </a:p>
          </xdr:txBody>
        </xdr:sp>
      </mc:Fallback>
    </mc:AlternateContent>
    <xdr:clientData/>
  </xdr:oneCellAnchor>
  <xdr:oneCellAnchor>
    <xdr:from>
      <xdr:col>1</xdr:col>
      <xdr:colOff>6757</xdr:colOff>
      <xdr:row>232</xdr:row>
      <xdr:rowOff>57417</xdr:rowOff>
    </xdr:from>
    <xdr:ext cx="2850743" cy="177228"/>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6F7FE43-106A-DC6F-A0E3-DA0C4356F31B}"/>
                </a:ext>
              </a:extLst>
            </xdr:cNvPr>
            <xdr:cNvSpPr txBox="1"/>
          </xdr:nvSpPr>
          <xdr:spPr>
            <a:xfrm>
              <a:off x="13512482500" y="47031135"/>
              <a:ext cx="2850743"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𝐼</m:t>
                    </m:r>
                    <m:sSub>
                      <m:sSubPr>
                        <m:ctrlPr>
                          <a:rPr lang="en-US" sz="1100" b="0" i="1">
                            <a:latin typeface="Cambria Math" panose="02040503050406030204" pitchFamily="18" charset="0"/>
                          </a:rPr>
                        </m:ctrlPr>
                      </m:sSubPr>
                      <m:e>
                        <m:r>
                          <a:rPr lang="en-US" sz="1100" b="0" i="1">
                            <a:latin typeface="Cambria Math" panose="02040503050406030204" pitchFamily="18" charset="0"/>
                          </a:rPr>
                          <m:t>%</m:t>
                        </m:r>
                      </m:e>
                      <m:sub>
                        <m:r>
                          <a:rPr lang="en-US" sz="1100" b="0" i="1">
                            <a:latin typeface="Cambria Math" panose="02040503050406030204" pitchFamily="18" charset="0"/>
                          </a:rPr>
                          <m:t>𝐻𝑎𝑧𝑖𝑆h𝑎𝑛𝑎</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1+3%</m:t>
                            </m:r>
                          </m:e>
                        </m:d>
                      </m:e>
                      <m:sup>
                        <m:r>
                          <a:rPr lang="en-US" sz="1100" b="0" i="1">
                            <a:latin typeface="Cambria Math" panose="02040503050406030204" pitchFamily="18" charset="0"/>
                          </a:rPr>
                          <m:t>6</m:t>
                        </m:r>
                      </m:sup>
                    </m:sSup>
                    <m:r>
                      <a:rPr lang="en-US" sz="1100" b="0" i="1">
                        <a:latin typeface="Cambria Math" panose="02040503050406030204" pitchFamily="18" charset="0"/>
                      </a:rPr>
                      <m:t>−1=19.405%</m:t>
                    </m:r>
                  </m:oMath>
                </m:oMathPara>
              </a14:m>
              <a:endParaRPr lang="en-US" sz="1100"/>
            </a:p>
          </xdr:txBody>
        </xdr:sp>
      </mc:Choice>
      <mc:Fallback xmlns="">
        <xdr:sp macro="" textlink="">
          <xdr:nvSpPr>
            <xdr:cNvPr id="84" name="TextBox 83">
              <a:extLst>
                <a:ext uri="{FF2B5EF4-FFF2-40B4-BE49-F238E27FC236}">
                  <a16:creationId xmlns:a16="http://schemas.microsoft.com/office/drawing/2014/main" id="{86F7FE43-106A-DC6F-A0E3-DA0C4356F31B}"/>
                </a:ext>
              </a:extLst>
            </xdr:cNvPr>
            <xdr:cNvSpPr txBox="1"/>
          </xdr:nvSpPr>
          <xdr:spPr>
            <a:xfrm>
              <a:off x="13512482500" y="47031135"/>
              <a:ext cx="2850743"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𝐼%_𝐻𝑎𝑧𝑖𝑆ℎ𝑎𝑛𝑎=(1+3%)^6−1=19.405%</a:t>
              </a:r>
              <a:endParaRPr lang="en-US" sz="1100"/>
            </a:p>
          </xdr:txBody>
        </xdr:sp>
      </mc:Fallback>
    </mc:AlternateContent>
    <xdr:clientData/>
  </xdr:oneCellAnchor>
  <xdr:twoCellAnchor>
    <xdr:from>
      <xdr:col>3</xdr:col>
      <xdr:colOff>726197</xdr:colOff>
      <xdr:row>233</xdr:row>
      <xdr:rowOff>131729</xdr:rowOff>
    </xdr:from>
    <xdr:to>
      <xdr:col>3</xdr:col>
      <xdr:colOff>732952</xdr:colOff>
      <xdr:row>234</xdr:row>
      <xdr:rowOff>128351</xdr:rowOff>
    </xdr:to>
    <xdr:cxnSp macro="">
      <xdr:nvCxnSpPr>
        <xdr:cNvPr id="86" name="Straight Arrow Connector 85">
          <a:extLst>
            <a:ext uri="{FF2B5EF4-FFF2-40B4-BE49-F238E27FC236}">
              <a16:creationId xmlns:a16="http://schemas.microsoft.com/office/drawing/2014/main" id="{7536A100-77B9-B52C-187A-324FAA035E8E}"/>
            </a:ext>
          </a:extLst>
        </xdr:cNvPr>
        <xdr:cNvCxnSpPr/>
      </xdr:nvCxnSpPr>
      <xdr:spPr>
        <a:xfrm flipH="1">
          <a:off x="13499714947" y="44905984"/>
          <a:ext cx="6755" cy="19928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520160</xdr:colOff>
      <xdr:row>233</xdr:row>
      <xdr:rowOff>81064</xdr:rowOff>
    </xdr:from>
    <xdr:to>
      <xdr:col>2</xdr:col>
      <xdr:colOff>523537</xdr:colOff>
      <xdr:row>237</xdr:row>
      <xdr:rowOff>0</xdr:rowOff>
    </xdr:to>
    <xdr:cxnSp macro="">
      <xdr:nvCxnSpPr>
        <xdr:cNvPr id="87" name="Straight Arrow Connector 86">
          <a:extLst>
            <a:ext uri="{FF2B5EF4-FFF2-40B4-BE49-F238E27FC236}">
              <a16:creationId xmlns:a16="http://schemas.microsoft.com/office/drawing/2014/main" id="{C774394B-9994-FEEC-4051-BBB7DBE2FA35}"/>
            </a:ext>
          </a:extLst>
        </xdr:cNvPr>
        <xdr:cNvCxnSpPr/>
      </xdr:nvCxnSpPr>
      <xdr:spPr>
        <a:xfrm flipH="1">
          <a:off x="13500748511" y="44855319"/>
          <a:ext cx="3377" cy="7295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327633</xdr:colOff>
      <xdr:row>232</xdr:row>
      <xdr:rowOff>202659</xdr:rowOff>
    </xdr:from>
    <xdr:to>
      <xdr:col>2</xdr:col>
      <xdr:colOff>354655</xdr:colOff>
      <xdr:row>235</xdr:row>
      <xdr:rowOff>131729</xdr:rowOff>
    </xdr:to>
    <xdr:cxnSp macro="">
      <xdr:nvCxnSpPr>
        <xdr:cNvPr id="89" name="Straight Arrow Connector 88">
          <a:extLst>
            <a:ext uri="{FF2B5EF4-FFF2-40B4-BE49-F238E27FC236}">
              <a16:creationId xmlns:a16="http://schemas.microsoft.com/office/drawing/2014/main" id="{0A1E772E-D2A6-81AF-7C08-BC0749E08AFE}"/>
            </a:ext>
          </a:extLst>
        </xdr:cNvPr>
        <xdr:cNvCxnSpPr/>
      </xdr:nvCxnSpPr>
      <xdr:spPr>
        <a:xfrm>
          <a:off x="13500917393" y="44774255"/>
          <a:ext cx="851171" cy="53704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3</xdr:col>
      <xdr:colOff>222882</xdr:colOff>
      <xdr:row>222</xdr:row>
      <xdr:rowOff>46259</xdr:rowOff>
    </xdr:from>
    <xdr:to>
      <xdr:col>4</xdr:col>
      <xdr:colOff>9084</xdr:colOff>
      <xdr:row>225</xdr:row>
      <xdr:rowOff>34855</xdr:rowOff>
    </xdr:to>
    <xdr:pic>
      <xdr:nvPicPr>
        <xdr:cNvPr id="91" name="Picture 90">
          <a:extLst>
            <a:ext uri="{FF2B5EF4-FFF2-40B4-BE49-F238E27FC236}">
              <a16:creationId xmlns:a16="http://schemas.microsoft.com/office/drawing/2014/main" id="{B4C9FEC7-6FE3-A3D3-02A8-53923CCCF6AE}"/>
            </a:ext>
          </a:extLst>
        </xdr:cNvPr>
        <xdr:cNvPicPr>
          <a:picLocks noChangeAspect="1"/>
        </xdr:cNvPicPr>
      </xdr:nvPicPr>
      <xdr:blipFill>
        <a:blip xmlns:r="http://schemas.openxmlformats.org/officeDocument/2006/relationships" r:embed="rId2"/>
        <a:stretch>
          <a:fillRect/>
        </a:stretch>
      </xdr:blipFill>
      <xdr:spPr>
        <a:xfrm>
          <a:off x="13501079161" y="42410431"/>
          <a:ext cx="610441" cy="610441"/>
        </a:xfrm>
        <a:prstGeom prst="rect">
          <a:avLst/>
        </a:prstGeom>
      </xdr:spPr>
    </xdr:pic>
    <xdr:clientData/>
  </xdr:twoCellAnchor>
  <xdr:twoCellAnchor>
    <xdr:from>
      <xdr:col>1</xdr:col>
      <xdr:colOff>622386</xdr:colOff>
      <xdr:row>223</xdr:row>
      <xdr:rowOff>126159</xdr:rowOff>
    </xdr:from>
    <xdr:to>
      <xdr:col>3</xdr:col>
      <xdr:colOff>155598</xdr:colOff>
      <xdr:row>224</xdr:row>
      <xdr:rowOff>185033</xdr:rowOff>
    </xdr:to>
    <xdr:sp macro="" textlink="">
      <xdr:nvSpPr>
        <xdr:cNvPr id="92" name="Freeform 91">
          <a:extLst>
            <a:ext uri="{FF2B5EF4-FFF2-40B4-BE49-F238E27FC236}">
              <a16:creationId xmlns:a16="http://schemas.microsoft.com/office/drawing/2014/main" id="{A03D5EF4-1243-6EA6-BC5C-06EF36F91654}"/>
            </a:ext>
          </a:extLst>
        </xdr:cNvPr>
        <xdr:cNvSpPr/>
      </xdr:nvSpPr>
      <xdr:spPr>
        <a:xfrm>
          <a:off x="13501756886" y="42692185"/>
          <a:ext cx="1181689" cy="260729"/>
        </a:xfrm>
        <a:custGeom>
          <a:avLst/>
          <a:gdLst>
            <a:gd name="connsiteX0" fmla="*/ 0 w 566928"/>
            <a:gd name="connsiteY0" fmla="*/ 16822 h 58877"/>
            <a:gd name="connsiteX1" fmla="*/ 84106 w 566928"/>
            <a:gd name="connsiteY1" fmla="*/ 16822 h 58877"/>
            <a:gd name="connsiteX2" fmla="*/ 121954 w 566928"/>
            <a:gd name="connsiteY2" fmla="*/ 8411 h 58877"/>
            <a:gd name="connsiteX3" fmla="*/ 176623 w 566928"/>
            <a:gd name="connsiteY3" fmla="*/ 0 h 58877"/>
            <a:gd name="connsiteX4" fmla="*/ 391093 w 566928"/>
            <a:gd name="connsiteY4" fmla="*/ 4206 h 58877"/>
            <a:gd name="connsiteX5" fmla="*/ 428941 w 566928"/>
            <a:gd name="connsiteY5" fmla="*/ 8411 h 58877"/>
            <a:gd name="connsiteX6" fmla="*/ 479404 w 566928"/>
            <a:gd name="connsiteY6" fmla="*/ 25232 h 58877"/>
            <a:gd name="connsiteX7" fmla="*/ 496226 w 566928"/>
            <a:gd name="connsiteY7" fmla="*/ 29438 h 58877"/>
            <a:gd name="connsiteX8" fmla="*/ 529868 w 566928"/>
            <a:gd name="connsiteY8" fmla="*/ 42053 h 58877"/>
            <a:gd name="connsiteX9" fmla="*/ 559305 w 566928"/>
            <a:gd name="connsiteY9" fmla="*/ 58875 h 5887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Lst>
          <a:rect l="l" t="t" r="r" b="b"/>
          <a:pathLst>
            <a:path w="566928" h="58877">
              <a:moveTo>
                <a:pt x="0" y="16822"/>
              </a:moveTo>
              <a:cubicBezTo>
                <a:pt x="39044" y="24630"/>
                <a:pt x="21699" y="23063"/>
                <a:pt x="84106" y="16822"/>
              </a:cubicBezTo>
              <a:cubicBezTo>
                <a:pt x="107471" y="14485"/>
                <a:pt x="100891" y="11921"/>
                <a:pt x="121954" y="8411"/>
              </a:cubicBezTo>
              <a:cubicBezTo>
                <a:pt x="213545" y="-6853"/>
                <a:pt x="112348" y="12857"/>
                <a:pt x="176623" y="0"/>
              </a:cubicBezTo>
              <a:lnTo>
                <a:pt x="391093" y="4206"/>
              </a:lnTo>
              <a:cubicBezTo>
                <a:pt x="403780" y="4629"/>
                <a:pt x="416441" y="6205"/>
                <a:pt x="428941" y="8411"/>
              </a:cubicBezTo>
              <a:cubicBezTo>
                <a:pt x="485476" y="18388"/>
                <a:pt x="443127" y="11628"/>
                <a:pt x="479404" y="25232"/>
              </a:cubicBezTo>
              <a:cubicBezTo>
                <a:pt x="484816" y="27261"/>
                <a:pt x="490814" y="27409"/>
                <a:pt x="496226" y="29438"/>
              </a:cubicBezTo>
              <a:cubicBezTo>
                <a:pt x="540200" y="45928"/>
                <a:pt x="486697" y="31261"/>
                <a:pt x="529868" y="42053"/>
              </a:cubicBezTo>
              <a:cubicBezTo>
                <a:pt x="564764" y="59502"/>
                <a:pt x="576048" y="58875"/>
                <a:pt x="559305" y="58875"/>
              </a:cubicBezTo>
            </a:path>
          </a:pathLst>
        </a:custGeom>
        <a:noFill/>
        <a:ln>
          <a:prstDash val="sys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4</xdr:col>
      <xdr:colOff>25233</xdr:colOff>
      <xdr:row>221</xdr:row>
      <xdr:rowOff>0</xdr:rowOff>
    </xdr:from>
    <xdr:to>
      <xdr:col>6</xdr:col>
      <xdr:colOff>126160</xdr:colOff>
      <xdr:row>224</xdr:row>
      <xdr:rowOff>75695</xdr:rowOff>
    </xdr:to>
    <xdr:sp macro="" textlink="">
      <xdr:nvSpPr>
        <xdr:cNvPr id="93" name="Cloud Callout 92">
          <a:extLst>
            <a:ext uri="{FF2B5EF4-FFF2-40B4-BE49-F238E27FC236}">
              <a16:creationId xmlns:a16="http://schemas.microsoft.com/office/drawing/2014/main" id="{A9DF4D96-0F10-C4B2-71E3-A5C8C6D5C470}"/>
            </a:ext>
          </a:extLst>
        </xdr:cNvPr>
        <xdr:cNvSpPr/>
      </xdr:nvSpPr>
      <xdr:spPr>
        <a:xfrm>
          <a:off x="13499250529" y="42162318"/>
          <a:ext cx="1812483" cy="681258"/>
        </a:xfrm>
        <a:prstGeom prst="cloudCallout">
          <a:avLst>
            <a:gd name="adj1" fmla="val 50094"/>
            <a:gd name="adj2" fmla="val 59098"/>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מממ מעניין מה אקבל מזה</a:t>
          </a:r>
          <a:endParaRPr lang="en-US" sz="1100"/>
        </a:p>
      </xdr:txBody>
    </xdr:sp>
    <xdr:clientData/>
  </xdr:twoCellAnchor>
  <xdr:twoCellAnchor>
    <xdr:from>
      <xdr:col>2</xdr:col>
      <xdr:colOff>273291</xdr:colOff>
      <xdr:row>288</xdr:row>
      <xdr:rowOff>128608</xdr:rowOff>
    </xdr:from>
    <xdr:to>
      <xdr:col>7</xdr:col>
      <xdr:colOff>442088</xdr:colOff>
      <xdr:row>288</xdr:row>
      <xdr:rowOff>144683</xdr:rowOff>
    </xdr:to>
    <xdr:cxnSp macro="">
      <xdr:nvCxnSpPr>
        <xdr:cNvPr id="35" name="Straight Arrow Connector 34">
          <a:extLst>
            <a:ext uri="{FF2B5EF4-FFF2-40B4-BE49-F238E27FC236}">
              <a16:creationId xmlns:a16="http://schemas.microsoft.com/office/drawing/2014/main" id="{7A1283F4-B58A-AE5D-1FE8-2989F355997F}"/>
            </a:ext>
          </a:extLst>
        </xdr:cNvPr>
        <xdr:cNvCxnSpPr/>
      </xdr:nvCxnSpPr>
      <xdr:spPr>
        <a:xfrm>
          <a:off x="13492443829" y="55048070"/>
          <a:ext cx="4352563" cy="160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590791</xdr:colOff>
      <xdr:row>288</xdr:row>
      <xdr:rowOff>100474</xdr:rowOff>
    </xdr:from>
    <xdr:to>
      <xdr:col>4</xdr:col>
      <xdr:colOff>470220</xdr:colOff>
      <xdr:row>289</xdr:row>
      <xdr:rowOff>136646</xdr:rowOff>
    </xdr:to>
    <xdr:sp macro="" textlink="">
      <xdr:nvSpPr>
        <xdr:cNvPr id="55" name="Left Brace 54">
          <a:extLst>
            <a:ext uri="{FF2B5EF4-FFF2-40B4-BE49-F238E27FC236}">
              <a16:creationId xmlns:a16="http://schemas.microsoft.com/office/drawing/2014/main" id="{3FB7A3F3-4AA7-0CAF-D1FA-1D8E59D3D3FA}"/>
            </a:ext>
          </a:extLst>
        </xdr:cNvPr>
        <xdr:cNvSpPr/>
      </xdr:nvSpPr>
      <xdr:spPr>
        <a:xfrm rot="16200000">
          <a:off x="13495594715" y="54376899"/>
          <a:ext cx="241140" cy="1527214"/>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4</xdr:col>
      <xdr:colOff>522468</xdr:colOff>
      <xdr:row>286</xdr:row>
      <xdr:rowOff>48228</xdr:rowOff>
    </xdr:from>
    <xdr:to>
      <xdr:col>5</xdr:col>
      <xdr:colOff>172816</xdr:colOff>
      <xdr:row>288</xdr:row>
      <xdr:rowOff>92437</xdr:rowOff>
    </xdr:to>
    <xdr:cxnSp macro="">
      <xdr:nvCxnSpPr>
        <xdr:cNvPr id="61" name="Straight Connector 60">
          <a:extLst>
            <a:ext uri="{FF2B5EF4-FFF2-40B4-BE49-F238E27FC236}">
              <a16:creationId xmlns:a16="http://schemas.microsoft.com/office/drawing/2014/main" id="{6C39F3A2-19BD-5BFC-39DA-28CF41C81105}"/>
            </a:ext>
          </a:extLst>
        </xdr:cNvPr>
        <xdr:cNvCxnSpPr/>
      </xdr:nvCxnSpPr>
      <xdr:spPr>
        <a:xfrm flipH="1" flipV="1">
          <a:off x="13494360886" y="54557753"/>
          <a:ext cx="538544" cy="454146"/>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168798</xdr:colOff>
      <xdr:row>286</xdr:row>
      <xdr:rowOff>32152</xdr:rowOff>
    </xdr:from>
    <xdr:to>
      <xdr:col>6</xdr:col>
      <xdr:colOff>297405</xdr:colOff>
      <xdr:row>286</xdr:row>
      <xdr:rowOff>44209</xdr:rowOff>
    </xdr:to>
    <xdr:cxnSp macro="">
      <xdr:nvCxnSpPr>
        <xdr:cNvPr id="64" name="Straight Connector 63">
          <a:extLst>
            <a:ext uri="{FF2B5EF4-FFF2-40B4-BE49-F238E27FC236}">
              <a16:creationId xmlns:a16="http://schemas.microsoft.com/office/drawing/2014/main" id="{BF626C8B-1477-1001-B1F1-FA0F891860D8}"/>
            </a:ext>
          </a:extLst>
        </xdr:cNvPr>
        <xdr:cNvCxnSpPr/>
      </xdr:nvCxnSpPr>
      <xdr:spPr>
        <a:xfrm flipH="1" flipV="1">
          <a:off x="13493412405" y="54541677"/>
          <a:ext cx="952499" cy="12057"/>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293386</xdr:colOff>
      <xdr:row>286</xdr:row>
      <xdr:rowOff>24114</xdr:rowOff>
    </xdr:from>
    <xdr:to>
      <xdr:col>6</xdr:col>
      <xdr:colOff>377785</xdr:colOff>
      <xdr:row>287</xdr:row>
      <xdr:rowOff>48228</xdr:rowOff>
    </xdr:to>
    <xdr:cxnSp macro="">
      <xdr:nvCxnSpPr>
        <xdr:cNvPr id="66" name="Straight Connector 65">
          <a:extLst>
            <a:ext uri="{FF2B5EF4-FFF2-40B4-BE49-F238E27FC236}">
              <a16:creationId xmlns:a16="http://schemas.microsoft.com/office/drawing/2014/main" id="{7CD6EFF1-7A17-B88D-B405-1B4925FB98F1}"/>
            </a:ext>
          </a:extLst>
        </xdr:cNvPr>
        <xdr:cNvCxnSpPr/>
      </xdr:nvCxnSpPr>
      <xdr:spPr>
        <a:xfrm flipV="1">
          <a:off x="13493332025" y="54533639"/>
          <a:ext cx="84399" cy="22908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196930</xdr:colOff>
      <xdr:row>284</xdr:row>
      <xdr:rowOff>120569</xdr:rowOff>
    </xdr:from>
    <xdr:to>
      <xdr:col>5</xdr:col>
      <xdr:colOff>478259</xdr:colOff>
      <xdr:row>285</xdr:row>
      <xdr:rowOff>164779</xdr:rowOff>
    </xdr:to>
    <xdr:sp macro="" textlink="">
      <xdr:nvSpPr>
        <xdr:cNvPr id="72" name="Rounded Rectangle 71">
          <a:extLst>
            <a:ext uri="{FF2B5EF4-FFF2-40B4-BE49-F238E27FC236}">
              <a16:creationId xmlns:a16="http://schemas.microsoft.com/office/drawing/2014/main" id="{338BA4D3-0997-8E54-7C51-36D2AABCDE12}"/>
            </a:ext>
          </a:extLst>
        </xdr:cNvPr>
        <xdr:cNvSpPr/>
      </xdr:nvSpPr>
      <xdr:spPr>
        <a:xfrm>
          <a:off x="13494055443" y="54425126"/>
          <a:ext cx="281329" cy="24917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en-US" sz="1100"/>
            <a:t>1</a:t>
          </a:r>
        </a:p>
      </xdr:txBody>
    </xdr:sp>
    <xdr:clientData/>
  </xdr:twoCellAnchor>
  <xdr:twoCellAnchor>
    <xdr:from>
      <xdr:col>5</xdr:col>
      <xdr:colOff>679208</xdr:colOff>
      <xdr:row>287</xdr:row>
      <xdr:rowOff>116551</xdr:rowOff>
    </xdr:from>
    <xdr:to>
      <xdr:col>6</xdr:col>
      <xdr:colOff>353671</xdr:colOff>
      <xdr:row>287</xdr:row>
      <xdr:rowOff>124589</xdr:rowOff>
    </xdr:to>
    <xdr:cxnSp macro="">
      <xdr:nvCxnSpPr>
        <xdr:cNvPr id="76" name="Straight Connector 75">
          <a:extLst>
            <a:ext uri="{FF2B5EF4-FFF2-40B4-BE49-F238E27FC236}">
              <a16:creationId xmlns:a16="http://schemas.microsoft.com/office/drawing/2014/main" id="{017786E2-6215-F61D-417A-F22BDC868730}"/>
            </a:ext>
          </a:extLst>
        </xdr:cNvPr>
        <xdr:cNvCxnSpPr/>
      </xdr:nvCxnSpPr>
      <xdr:spPr>
        <a:xfrm>
          <a:off x="13493356139" y="55036013"/>
          <a:ext cx="498355" cy="8038"/>
        </a:xfrm>
        <a:prstGeom prst="line">
          <a:avLst/>
        </a:prstGeom>
        <a:ln>
          <a:headEnd type="none" w="med" len="med"/>
          <a:tailEnd type="arrow" w="med"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815854</xdr:colOff>
      <xdr:row>286</xdr:row>
      <xdr:rowOff>60284</xdr:rowOff>
    </xdr:from>
    <xdr:to>
      <xdr:col>6</xdr:col>
      <xdr:colOff>273291</xdr:colOff>
      <xdr:row>287</xdr:row>
      <xdr:rowOff>104494</xdr:rowOff>
    </xdr:to>
    <xdr:sp macro="" textlink="">
      <xdr:nvSpPr>
        <xdr:cNvPr id="79" name="Rounded Rectangle 78">
          <a:extLst>
            <a:ext uri="{FF2B5EF4-FFF2-40B4-BE49-F238E27FC236}">
              <a16:creationId xmlns:a16="http://schemas.microsoft.com/office/drawing/2014/main" id="{94181C13-02DE-8564-C03F-0E23F9F8A6BA}"/>
            </a:ext>
          </a:extLst>
        </xdr:cNvPr>
        <xdr:cNvSpPr/>
      </xdr:nvSpPr>
      <xdr:spPr>
        <a:xfrm>
          <a:off x="13493436519" y="54774778"/>
          <a:ext cx="281329" cy="24917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en-US" sz="1100"/>
            <a:t>2</a:t>
          </a:r>
        </a:p>
      </xdr:txBody>
    </xdr:sp>
    <xdr:clientData/>
  </xdr:twoCellAnchor>
  <xdr:twoCellAnchor>
    <xdr:from>
      <xdr:col>0</xdr:col>
      <xdr:colOff>397879</xdr:colOff>
      <xdr:row>296</xdr:row>
      <xdr:rowOff>200949</xdr:rowOff>
    </xdr:from>
    <xdr:to>
      <xdr:col>0</xdr:col>
      <xdr:colOff>679208</xdr:colOff>
      <xdr:row>298</xdr:row>
      <xdr:rowOff>40190</xdr:rowOff>
    </xdr:to>
    <xdr:sp macro="" textlink="">
      <xdr:nvSpPr>
        <xdr:cNvPr id="80" name="Rounded Rectangle 79">
          <a:extLst>
            <a:ext uri="{FF2B5EF4-FFF2-40B4-BE49-F238E27FC236}">
              <a16:creationId xmlns:a16="http://schemas.microsoft.com/office/drawing/2014/main" id="{3B5E6522-E941-73C2-F162-843FA20EC439}"/>
            </a:ext>
          </a:extLst>
        </xdr:cNvPr>
        <xdr:cNvSpPr/>
      </xdr:nvSpPr>
      <xdr:spPr>
        <a:xfrm>
          <a:off x="13498038260" y="56965126"/>
          <a:ext cx="281329" cy="24917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en-US" sz="1100"/>
            <a:t>1</a:t>
          </a:r>
        </a:p>
      </xdr:txBody>
    </xdr:sp>
    <xdr:clientData/>
  </xdr:twoCellAnchor>
  <xdr:twoCellAnchor>
    <xdr:from>
      <xdr:col>0</xdr:col>
      <xdr:colOff>325537</xdr:colOff>
      <xdr:row>301</xdr:row>
      <xdr:rowOff>200949</xdr:rowOff>
    </xdr:from>
    <xdr:to>
      <xdr:col>0</xdr:col>
      <xdr:colOff>606866</xdr:colOff>
      <xdr:row>303</xdr:row>
      <xdr:rowOff>40190</xdr:rowOff>
    </xdr:to>
    <xdr:sp macro="" textlink="">
      <xdr:nvSpPr>
        <xdr:cNvPr id="85" name="Rounded Rectangle 84">
          <a:extLst>
            <a:ext uri="{FF2B5EF4-FFF2-40B4-BE49-F238E27FC236}">
              <a16:creationId xmlns:a16="http://schemas.microsoft.com/office/drawing/2014/main" id="{F0A9AF4B-23E1-C7C7-6C4F-2E7B2DACCEED}"/>
            </a:ext>
          </a:extLst>
        </xdr:cNvPr>
        <xdr:cNvSpPr/>
      </xdr:nvSpPr>
      <xdr:spPr>
        <a:xfrm>
          <a:off x="13498110602" y="57989968"/>
          <a:ext cx="281329" cy="24917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en-US" sz="1100"/>
            <a:t>2</a:t>
          </a:r>
        </a:p>
      </xdr:txBody>
    </xdr:sp>
    <xdr:clientData/>
  </xdr:twoCellAnchor>
  <xdr:oneCellAnchor>
    <xdr:from>
      <xdr:col>9</xdr:col>
      <xdr:colOff>745306</xdr:colOff>
      <xdr:row>178</xdr:row>
      <xdr:rowOff>22776</xdr:rowOff>
    </xdr:from>
    <xdr:ext cx="934553" cy="1737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68C0A1E-5825-9053-D73D-10F3986C8F9B}"/>
                </a:ext>
              </a:extLst>
            </xdr:cNvPr>
            <xdr:cNvSpPr txBox="1"/>
          </xdr:nvSpPr>
          <xdr:spPr>
            <a:xfrm>
              <a:off x="13471946902" y="36340006"/>
              <a:ext cx="93455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𝐴</m:t>
                        </m:r>
                      </m:sub>
                    </m:sSub>
                    <m:r>
                      <a:rPr lang="en-US" sz="1100" b="0" i="1">
                        <a:latin typeface="Cambria Math" panose="02040503050406030204" pitchFamily="18" charset="0"/>
                      </a:rPr>
                      <m:t>=</m:t>
                    </m:r>
                  </m:oMath>
                </m:oMathPara>
              </a14:m>
              <a:endParaRPr lang="en-US" sz="1100"/>
            </a:p>
          </xdr:txBody>
        </xdr:sp>
      </mc:Choice>
      <mc:Fallback xmlns="">
        <xdr:sp macro="" textlink="">
          <xdr:nvSpPr>
            <xdr:cNvPr id="4" name="TextBox 3">
              <a:extLst>
                <a:ext uri="{FF2B5EF4-FFF2-40B4-BE49-F238E27FC236}">
                  <a16:creationId xmlns:a16="http://schemas.microsoft.com/office/drawing/2014/main" id="{F68C0A1E-5825-9053-D73D-10F3986C8F9B}"/>
                </a:ext>
              </a:extLst>
            </xdr:cNvPr>
            <xdr:cNvSpPr txBox="1"/>
          </xdr:nvSpPr>
          <xdr:spPr>
            <a:xfrm>
              <a:off x="13471946902" y="36340006"/>
              <a:ext cx="93455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𝑃𝑉_𝐴=</a:t>
              </a:r>
              <a:endParaRPr lang="en-US" sz="1100"/>
            </a:p>
          </xdr:txBody>
        </xdr:sp>
      </mc:Fallback>
    </mc:AlternateContent>
    <xdr:clientData/>
  </xdr:oneCellAnchor>
  <xdr:oneCellAnchor>
    <xdr:from>
      <xdr:col>9</xdr:col>
      <xdr:colOff>775119</xdr:colOff>
      <xdr:row>182</xdr:row>
      <xdr:rowOff>82400</xdr:rowOff>
    </xdr:from>
    <xdr:ext cx="934553" cy="173766"/>
    <mc:AlternateContent xmlns:mc="http://schemas.openxmlformats.org/markup-compatibility/2006" xmlns:a14="http://schemas.microsoft.com/office/drawing/2010/main">
      <mc:Choice Requires="a14">
        <xdr:sp macro="" textlink="">
          <xdr:nvSpPr>
            <xdr:cNvPr id="37" name="TextBox 36">
              <a:extLst>
                <a:ext uri="{FF2B5EF4-FFF2-40B4-BE49-F238E27FC236}">
                  <a16:creationId xmlns:a16="http://schemas.microsoft.com/office/drawing/2014/main" id="{6D0338F1-A595-D796-4AB9-73D760E42F10}"/>
                </a:ext>
              </a:extLst>
            </xdr:cNvPr>
            <xdr:cNvSpPr txBox="1"/>
          </xdr:nvSpPr>
          <xdr:spPr>
            <a:xfrm>
              <a:off x="13471917089" y="37210522"/>
              <a:ext cx="93455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𝐵</m:t>
                        </m:r>
                      </m:sub>
                    </m:sSub>
                    <m:r>
                      <a:rPr lang="en-US" sz="1100" b="0" i="1">
                        <a:latin typeface="Cambria Math" panose="02040503050406030204" pitchFamily="18" charset="0"/>
                      </a:rPr>
                      <m:t>=</m:t>
                    </m:r>
                  </m:oMath>
                </m:oMathPara>
              </a14:m>
              <a:endParaRPr lang="en-US" sz="1100"/>
            </a:p>
          </xdr:txBody>
        </xdr:sp>
      </mc:Choice>
      <mc:Fallback xmlns="">
        <xdr:sp macro="" textlink="">
          <xdr:nvSpPr>
            <xdr:cNvPr id="37" name="TextBox 36">
              <a:extLst>
                <a:ext uri="{FF2B5EF4-FFF2-40B4-BE49-F238E27FC236}">
                  <a16:creationId xmlns:a16="http://schemas.microsoft.com/office/drawing/2014/main" id="{6D0338F1-A595-D796-4AB9-73D760E42F10}"/>
                </a:ext>
              </a:extLst>
            </xdr:cNvPr>
            <xdr:cNvSpPr txBox="1"/>
          </xdr:nvSpPr>
          <xdr:spPr>
            <a:xfrm>
              <a:off x="13471917089" y="37210522"/>
              <a:ext cx="93455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𝑃𝑉_𝐵=</a:t>
              </a:r>
              <a:endParaRPr lang="en-US" sz="1100"/>
            </a:p>
          </xdr:txBody>
        </xdr:sp>
      </mc:Fallback>
    </mc:AlternateContent>
    <xdr:clientData/>
  </xdr:oneCellAnchor>
  <xdr:twoCellAnchor>
    <xdr:from>
      <xdr:col>5</xdr:col>
      <xdr:colOff>578358</xdr:colOff>
      <xdr:row>201</xdr:row>
      <xdr:rowOff>131174</xdr:rowOff>
    </xdr:from>
    <xdr:to>
      <xdr:col>5</xdr:col>
      <xdr:colOff>739344</xdr:colOff>
      <xdr:row>202</xdr:row>
      <xdr:rowOff>113286</xdr:rowOff>
    </xdr:to>
    <xdr:sp macro="" textlink="">
      <xdr:nvSpPr>
        <xdr:cNvPr id="59" name="Down Arrow 58">
          <a:extLst>
            <a:ext uri="{FF2B5EF4-FFF2-40B4-BE49-F238E27FC236}">
              <a16:creationId xmlns:a16="http://schemas.microsoft.com/office/drawing/2014/main" id="{C5CF8D2C-304E-B651-9F69-801463DA5C03}"/>
            </a:ext>
          </a:extLst>
        </xdr:cNvPr>
        <xdr:cNvSpPr/>
      </xdr:nvSpPr>
      <xdr:spPr>
        <a:xfrm>
          <a:off x="13476178685" y="41134883"/>
          <a:ext cx="160986" cy="184835"/>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4</xdr:col>
      <xdr:colOff>387559</xdr:colOff>
      <xdr:row>201</xdr:row>
      <xdr:rowOff>107324</xdr:rowOff>
    </xdr:from>
    <xdr:to>
      <xdr:col>4</xdr:col>
      <xdr:colOff>548545</xdr:colOff>
      <xdr:row>202</xdr:row>
      <xdr:rowOff>89436</xdr:rowOff>
    </xdr:to>
    <xdr:sp macro="" textlink="">
      <xdr:nvSpPr>
        <xdr:cNvPr id="60" name="Down Arrow 59">
          <a:extLst>
            <a:ext uri="{FF2B5EF4-FFF2-40B4-BE49-F238E27FC236}">
              <a16:creationId xmlns:a16="http://schemas.microsoft.com/office/drawing/2014/main" id="{88ABBB4E-1AA4-7238-EE8D-D912F57C54A0}"/>
            </a:ext>
          </a:extLst>
        </xdr:cNvPr>
        <xdr:cNvSpPr/>
      </xdr:nvSpPr>
      <xdr:spPr>
        <a:xfrm>
          <a:off x="13477257887" y="41111033"/>
          <a:ext cx="160986" cy="184835"/>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8</xdr:col>
      <xdr:colOff>681845</xdr:colOff>
      <xdr:row>220</xdr:row>
      <xdr:rowOff>26856</xdr:rowOff>
    </xdr:from>
    <xdr:ext cx="1328417" cy="173766"/>
    <mc:AlternateContent xmlns:mc="http://schemas.openxmlformats.org/markup-compatibility/2006" xmlns:a14="http://schemas.microsoft.com/office/drawing/2010/main">
      <mc:Choice Requires="a14">
        <xdr:sp macro="" textlink="">
          <xdr:nvSpPr>
            <xdr:cNvPr id="65" name="TextBox 64">
              <a:extLst>
                <a:ext uri="{FF2B5EF4-FFF2-40B4-BE49-F238E27FC236}">
                  <a16:creationId xmlns:a16="http://schemas.microsoft.com/office/drawing/2014/main" id="{FF0B6339-5BFA-901E-71BC-FF9825EBA23C}"/>
                </a:ext>
              </a:extLst>
            </xdr:cNvPr>
            <xdr:cNvSpPr txBox="1"/>
          </xdr:nvSpPr>
          <xdr:spPr>
            <a:xfrm>
              <a:off x="13550472033" y="44919274"/>
              <a:ext cx="132841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oMath>
                </m:oMathPara>
              </a14:m>
              <a:endParaRPr lang="en-US" sz="1100"/>
            </a:p>
          </xdr:txBody>
        </xdr:sp>
      </mc:Choice>
      <mc:Fallback xmlns="">
        <xdr:sp macro="" textlink="">
          <xdr:nvSpPr>
            <xdr:cNvPr id="65" name="TextBox 64">
              <a:extLst>
                <a:ext uri="{FF2B5EF4-FFF2-40B4-BE49-F238E27FC236}">
                  <a16:creationId xmlns:a16="http://schemas.microsoft.com/office/drawing/2014/main" id="{FF0B6339-5BFA-901E-71BC-FF9825EBA23C}"/>
                </a:ext>
              </a:extLst>
            </xdr:cNvPr>
            <xdr:cNvSpPr txBox="1"/>
          </xdr:nvSpPr>
          <xdr:spPr>
            <a:xfrm>
              <a:off x="13550472033" y="44919274"/>
              <a:ext cx="132841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a:t>
              </a:r>
              <a:endParaRPr lang="en-US" sz="1100"/>
            </a:p>
          </xdr:txBody>
        </xdr:sp>
      </mc:Fallback>
    </mc:AlternateContent>
    <xdr:clientData/>
  </xdr:oneCellAnchor>
  <xdr:twoCellAnchor>
    <xdr:from>
      <xdr:col>9</xdr:col>
      <xdr:colOff>588156</xdr:colOff>
      <xdr:row>221</xdr:row>
      <xdr:rowOff>56922</xdr:rowOff>
    </xdr:from>
    <xdr:to>
      <xdr:col>9</xdr:col>
      <xdr:colOff>588875</xdr:colOff>
      <xdr:row>234</xdr:row>
      <xdr:rowOff>150943</xdr:rowOff>
    </xdr:to>
    <xdr:cxnSp macro="">
      <xdr:nvCxnSpPr>
        <xdr:cNvPr id="68" name="Straight Arrow Connector 67">
          <a:extLst>
            <a:ext uri="{FF2B5EF4-FFF2-40B4-BE49-F238E27FC236}">
              <a16:creationId xmlns:a16="http://schemas.microsoft.com/office/drawing/2014/main" id="{D036AA90-8B7A-6718-787C-03583A575E10}"/>
            </a:ext>
          </a:extLst>
        </xdr:cNvPr>
        <xdr:cNvCxnSpPr/>
      </xdr:nvCxnSpPr>
      <xdr:spPr>
        <a:xfrm>
          <a:off x="13551065838" y="45152332"/>
          <a:ext cx="719" cy="2732914"/>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173675</xdr:colOff>
      <xdr:row>274</xdr:row>
      <xdr:rowOff>86837</xdr:rowOff>
    </xdr:from>
    <xdr:to>
      <xdr:col>9</xdr:col>
      <xdr:colOff>184529</xdr:colOff>
      <xdr:row>279</xdr:row>
      <xdr:rowOff>141111</xdr:rowOff>
    </xdr:to>
    <xdr:cxnSp macro="">
      <xdr:nvCxnSpPr>
        <xdr:cNvPr id="71" name="Straight Arrow Connector 70">
          <a:extLst>
            <a:ext uri="{FF2B5EF4-FFF2-40B4-BE49-F238E27FC236}">
              <a16:creationId xmlns:a16="http://schemas.microsoft.com/office/drawing/2014/main" id="{272B3E80-8EF6-D044-05EA-C8EF40B3EB30}"/>
            </a:ext>
          </a:extLst>
        </xdr:cNvPr>
        <xdr:cNvCxnSpPr/>
      </xdr:nvCxnSpPr>
      <xdr:spPr>
        <a:xfrm flipH="1">
          <a:off x="13508490684" y="54121538"/>
          <a:ext cx="10854" cy="1058334"/>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548162</xdr:colOff>
      <xdr:row>281</xdr:row>
      <xdr:rowOff>135684</xdr:rowOff>
    </xdr:from>
    <xdr:to>
      <xdr:col>16</xdr:col>
      <xdr:colOff>314786</xdr:colOff>
      <xdr:row>281</xdr:row>
      <xdr:rowOff>146538</xdr:rowOff>
    </xdr:to>
    <xdr:cxnSp macro="">
      <xdr:nvCxnSpPr>
        <xdr:cNvPr id="78" name="Straight Arrow Connector 77">
          <a:extLst>
            <a:ext uri="{FF2B5EF4-FFF2-40B4-BE49-F238E27FC236}">
              <a16:creationId xmlns:a16="http://schemas.microsoft.com/office/drawing/2014/main" id="{F5CAAA3A-17FB-4B1A-42EA-F302FF6673D4}"/>
            </a:ext>
          </a:extLst>
        </xdr:cNvPr>
        <xdr:cNvCxnSpPr/>
      </xdr:nvCxnSpPr>
      <xdr:spPr>
        <a:xfrm>
          <a:off x="13502585727" y="55576069"/>
          <a:ext cx="3066453" cy="10854"/>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499316</xdr:colOff>
      <xdr:row>282</xdr:row>
      <xdr:rowOff>113974</xdr:rowOff>
    </xdr:from>
    <xdr:to>
      <xdr:col>13</xdr:col>
      <xdr:colOff>75982</xdr:colOff>
      <xdr:row>282</xdr:row>
      <xdr:rowOff>113974</xdr:rowOff>
    </xdr:to>
    <xdr:cxnSp macro="">
      <xdr:nvCxnSpPr>
        <xdr:cNvPr id="95" name="Straight Arrow Connector 94">
          <a:extLst>
            <a:ext uri="{FF2B5EF4-FFF2-40B4-BE49-F238E27FC236}">
              <a16:creationId xmlns:a16="http://schemas.microsoft.com/office/drawing/2014/main" id="{559368C7-3AB7-2AE2-1A7E-31BB4A20F0F9}"/>
            </a:ext>
          </a:extLst>
        </xdr:cNvPr>
        <xdr:cNvCxnSpPr/>
      </xdr:nvCxnSpPr>
      <xdr:spPr>
        <a:xfrm>
          <a:off x="13505299402" y="55755171"/>
          <a:ext cx="401624"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434185</xdr:colOff>
      <xdr:row>282</xdr:row>
      <xdr:rowOff>157394</xdr:rowOff>
    </xdr:from>
    <xdr:to>
      <xdr:col>13</xdr:col>
      <xdr:colOff>694699</xdr:colOff>
      <xdr:row>283</xdr:row>
      <xdr:rowOff>168247</xdr:rowOff>
    </xdr:to>
    <xdr:sp macro="" textlink="">
      <xdr:nvSpPr>
        <xdr:cNvPr id="96" name="Left Brace 95">
          <a:extLst>
            <a:ext uri="{FF2B5EF4-FFF2-40B4-BE49-F238E27FC236}">
              <a16:creationId xmlns:a16="http://schemas.microsoft.com/office/drawing/2014/main" id="{41F5174F-6351-9C0C-97AF-A7CE1506AE4A}"/>
            </a:ext>
          </a:extLst>
        </xdr:cNvPr>
        <xdr:cNvSpPr/>
      </xdr:nvSpPr>
      <xdr:spPr>
        <a:xfrm rot="16200000">
          <a:off x="13505117588" y="55361688"/>
          <a:ext cx="211665" cy="1085472"/>
        </a:xfrm>
        <a:prstGeom prst="leftBrace">
          <a:avLst>
            <a:gd name="adj1" fmla="val 8333"/>
            <a:gd name="adj2" fmla="val 28000"/>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13</xdr:col>
      <xdr:colOff>428760</xdr:colOff>
      <xdr:row>274</xdr:row>
      <xdr:rowOff>65128</xdr:rowOff>
    </xdr:from>
    <xdr:to>
      <xdr:col>13</xdr:col>
      <xdr:colOff>428760</xdr:colOff>
      <xdr:row>278</xdr:row>
      <xdr:rowOff>10854</xdr:rowOff>
    </xdr:to>
    <xdr:cxnSp macro="">
      <xdr:nvCxnSpPr>
        <xdr:cNvPr id="98" name="Straight Connector 97">
          <a:extLst>
            <a:ext uri="{FF2B5EF4-FFF2-40B4-BE49-F238E27FC236}">
              <a16:creationId xmlns:a16="http://schemas.microsoft.com/office/drawing/2014/main" id="{6685C4C4-CE4A-2CC3-E591-B31D243DAD6A}"/>
            </a:ext>
          </a:extLst>
        </xdr:cNvPr>
        <xdr:cNvCxnSpPr/>
      </xdr:nvCxnSpPr>
      <xdr:spPr>
        <a:xfrm flipV="1">
          <a:off x="13504946624" y="54099829"/>
          <a:ext cx="0" cy="748974"/>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423332</xdr:colOff>
      <xdr:row>274</xdr:row>
      <xdr:rowOff>70556</xdr:rowOff>
    </xdr:from>
    <xdr:to>
      <xdr:col>15</xdr:col>
      <xdr:colOff>537307</xdr:colOff>
      <xdr:row>274</xdr:row>
      <xdr:rowOff>75983</xdr:rowOff>
    </xdr:to>
    <xdr:cxnSp macro="">
      <xdr:nvCxnSpPr>
        <xdr:cNvPr id="99" name="Straight Connector 98">
          <a:extLst>
            <a:ext uri="{FF2B5EF4-FFF2-40B4-BE49-F238E27FC236}">
              <a16:creationId xmlns:a16="http://schemas.microsoft.com/office/drawing/2014/main" id="{1AA703D5-F682-384F-6CE4-0C3CFD8AC3FD}"/>
            </a:ext>
          </a:extLst>
        </xdr:cNvPr>
        <xdr:cNvCxnSpPr/>
      </xdr:nvCxnSpPr>
      <xdr:spPr>
        <a:xfrm flipV="1">
          <a:off x="13503188163" y="54105257"/>
          <a:ext cx="1763889" cy="5427"/>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542735</xdr:colOff>
      <xdr:row>274</xdr:row>
      <xdr:rowOff>70556</xdr:rowOff>
    </xdr:from>
    <xdr:to>
      <xdr:col>15</xdr:col>
      <xdr:colOff>542735</xdr:colOff>
      <xdr:row>278</xdr:row>
      <xdr:rowOff>16282</xdr:rowOff>
    </xdr:to>
    <xdr:cxnSp macro="">
      <xdr:nvCxnSpPr>
        <xdr:cNvPr id="102" name="Straight Connector 101">
          <a:extLst>
            <a:ext uri="{FF2B5EF4-FFF2-40B4-BE49-F238E27FC236}">
              <a16:creationId xmlns:a16="http://schemas.microsoft.com/office/drawing/2014/main" id="{EB633889-E577-CDDC-80A1-1F28FF438EF3}"/>
            </a:ext>
          </a:extLst>
        </xdr:cNvPr>
        <xdr:cNvCxnSpPr/>
      </xdr:nvCxnSpPr>
      <xdr:spPr>
        <a:xfrm flipV="1">
          <a:off x="13503182735" y="54105257"/>
          <a:ext cx="0" cy="748974"/>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472179</xdr:colOff>
      <xdr:row>282</xdr:row>
      <xdr:rowOff>97692</xdr:rowOff>
    </xdr:from>
    <xdr:to>
      <xdr:col>15</xdr:col>
      <xdr:colOff>124828</xdr:colOff>
      <xdr:row>284</xdr:row>
      <xdr:rowOff>103120</xdr:rowOff>
    </xdr:to>
    <xdr:cxnSp macro="">
      <xdr:nvCxnSpPr>
        <xdr:cNvPr id="103" name="Straight Arrow Connector 102">
          <a:extLst>
            <a:ext uri="{FF2B5EF4-FFF2-40B4-BE49-F238E27FC236}">
              <a16:creationId xmlns:a16="http://schemas.microsoft.com/office/drawing/2014/main" id="{5349F525-BC77-B344-4329-819CBCC99424}"/>
            </a:ext>
          </a:extLst>
        </xdr:cNvPr>
        <xdr:cNvCxnSpPr/>
      </xdr:nvCxnSpPr>
      <xdr:spPr>
        <a:xfrm flipV="1">
          <a:off x="13503600642" y="55738889"/>
          <a:ext cx="477606" cy="40705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13</xdr:col>
      <xdr:colOff>618719</xdr:colOff>
      <xdr:row>283</xdr:row>
      <xdr:rowOff>50553</xdr:rowOff>
    </xdr:from>
    <xdr:ext cx="1466796" cy="184025"/>
    <mc:AlternateContent xmlns:mc="http://schemas.openxmlformats.org/markup-compatibility/2006" xmlns:a14="http://schemas.microsoft.com/office/drawing/2010/main">
      <mc:Choice Requires="a14">
        <xdr:sp macro="" textlink="">
          <xdr:nvSpPr>
            <xdr:cNvPr id="105" name="TextBox 104">
              <a:extLst>
                <a:ext uri="{FF2B5EF4-FFF2-40B4-BE49-F238E27FC236}">
                  <a16:creationId xmlns:a16="http://schemas.microsoft.com/office/drawing/2014/main" id="{2A61C751-DEDB-B1D8-6944-C2EA2223C0BD}"/>
                </a:ext>
              </a:extLst>
            </xdr:cNvPr>
            <xdr:cNvSpPr txBox="1"/>
          </xdr:nvSpPr>
          <xdr:spPr>
            <a:xfrm rot="19272476" flipH="1">
              <a:off x="13503289869" y="55892562"/>
              <a:ext cx="1466796" cy="184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800" b="0" i="1">
                        <a:latin typeface="Cambria Math" panose="02040503050406030204" pitchFamily="18" charset="0"/>
                      </a:rPr>
                      <m:t>∗</m:t>
                    </m:r>
                    <m:sSup>
                      <m:sSupPr>
                        <m:ctrlPr>
                          <a:rPr lang="he-IL" sz="800" b="0" i="1">
                            <a:latin typeface="Cambria Math" panose="02040503050406030204" pitchFamily="18" charset="0"/>
                          </a:rPr>
                        </m:ctrlPr>
                      </m:sSupPr>
                      <m:e>
                        <m:d>
                          <m:dPr>
                            <m:ctrlPr>
                              <a:rPr lang="he-IL" sz="800" b="0" i="1">
                                <a:latin typeface="Cambria Math" panose="02040503050406030204" pitchFamily="18" charset="0"/>
                              </a:rPr>
                            </m:ctrlPr>
                          </m:dPr>
                          <m:e>
                            <m:r>
                              <a:rPr lang="he-IL" sz="800" b="0" i="1">
                                <a:latin typeface="Cambria Math" panose="02040503050406030204" pitchFamily="18" charset="0"/>
                              </a:rPr>
                              <m:t>1+12.6825%</m:t>
                            </m:r>
                          </m:e>
                        </m:d>
                      </m:e>
                      <m:sup>
                        <m:f>
                          <m:fPr>
                            <m:ctrlPr>
                              <a:rPr lang="he-IL" sz="800" b="0" i="1">
                                <a:latin typeface="Cambria Math" panose="02040503050406030204" pitchFamily="18" charset="0"/>
                              </a:rPr>
                            </m:ctrlPr>
                          </m:fPr>
                          <m:num>
                            <m:r>
                              <a:rPr lang="he-IL" sz="800" b="0" i="1">
                                <a:latin typeface="Cambria Math" panose="02040503050406030204" pitchFamily="18" charset="0"/>
                              </a:rPr>
                              <m:t>1</m:t>
                            </m:r>
                          </m:num>
                          <m:den>
                            <m:r>
                              <a:rPr lang="he-IL" sz="800" b="0" i="1">
                                <a:latin typeface="Cambria Math" panose="02040503050406030204" pitchFamily="18" charset="0"/>
                              </a:rPr>
                              <m:t>12</m:t>
                            </m:r>
                          </m:den>
                        </m:f>
                      </m:sup>
                    </m:sSup>
                  </m:oMath>
                </m:oMathPara>
              </a14:m>
              <a:endParaRPr lang="en-US" sz="800"/>
            </a:p>
          </xdr:txBody>
        </xdr:sp>
      </mc:Choice>
      <mc:Fallback xmlns="">
        <xdr:sp macro="" textlink="">
          <xdr:nvSpPr>
            <xdr:cNvPr id="105" name="TextBox 104">
              <a:extLst>
                <a:ext uri="{FF2B5EF4-FFF2-40B4-BE49-F238E27FC236}">
                  <a16:creationId xmlns:a16="http://schemas.microsoft.com/office/drawing/2014/main" id="{2A61C751-DEDB-B1D8-6944-C2EA2223C0BD}"/>
                </a:ext>
              </a:extLst>
            </xdr:cNvPr>
            <xdr:cNvSpPr txBox="1"/>
          </xdr:nvSpPr>
          <xdr:spPr>
            <a:xfrm rot="19272476" flipH="1">
              <a:off x="13503289869" y="55892562"/>
              <a:ext cx="1466796" cy="184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800" b="0" i="0">
                  <a:latin typeface="Cambria Math" panose="02040503050406030204" pitchFamily="18" charset="0"/>
                </a:rPr>
                <a:t>∗(1+12.6825%)^(1/12)</a:t>
              </a:r>
              <a:endParaRPr lang="en-US" sz="800"/>
            </a:p>
          </xdr:txBody>
        </xdr:sp>
      </mc:Fallback>
    </mc:AlternateContent>
    <xdr:clientData/>
  </xdr:oneCellAnchor>
  <xdr:oneCellAnchor>
    <xdr:from>
      <xdr:col>13</xdr:col>
      <xdr:colOff>358206</xdr:colOff>
      <xdr:row>285</xdr:row>
      <xdr:rowOff>61408</xdr:rowOff>
    </xdr:from>
    <xdr:ext cx="1466796" cy="184025"/>
    <mc:AlternateContent xmlns:mc="http://schemas.openxmlformats.org/markup-compatibility/2006" xmlns:a14="http://schemas.microsoft.com/office/drawing/2010/main">
      <mc:Choice Requires="a14">
        <xdr:sp macro="" textlink="">
          <xdr:nvSpPr>
            <xdr:cNvPr id="106" name="TextBox 105">
              <a:extLst>
                <a:ext uri="{FF2B5EF4-FFF2-40B4-BE49-F238E27FC236}">
                  <a16:creationId xmlns:a16="http://schemas.microsoft.com/office/drawing/2014/main" id="{1E294977-34B8-E54D-69AB-6FF4D9D40F9A}"/>
                </a:ext>
              </a:extLst>
            </xdr:cNvPr>
            <xdr:cNvSpPr txBox="1"/>
          </xdr:nvSpPr>
          <xdr:spPr>
            <a:xfrm rot="19272476" flipH="1">
              <a:off x="13503550382" y="56305040"/>
              <a:ext cx="1466796" cy="184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800" b="0" i="1">
                        <a:latin typeface="Cambria Math" panose="02040503050406030204" pitchFamily="18" charset="0"/>
                      </a:rPr>
                      <m:t>∗</m:t>
                    </m:r>
                    <m:sSup>
                      <m:sSupPr>
                        <m:ctrlPr>
                          <a:rPr lang="he-IL" sz="800" b="0" i="1">
                            <a:latin typeface="Cambria Math" panose="02040503050406030204" pitchFamily="18" charset="0"/>
                          </a:rPr>
                        </m:ctrlPr>
                      </m:sSupPr>
                      <m:e>
                        <m:d>
                          <m:dPr>
                            <m:ctrlPr>
                              <a:rPr lang="he-IL" sz="800" b="0" i="1">
                                <a:latin typeface="Cambria Math" panose="02040503050406030204" pitchFamily="18" charset="0"/>
                              </a:rPr>
                            </m:ctrlPr>
                          </m:dPr>
                          <m:e>
                            <m:r>
                              <a:rPr lang="he-IL" sz="800" b="0" i="1">
                                <a:latin typeface="Cambria Math" panose="02040503050406030204" pitchFamily="18" charset="0"/>
                              </a:rPr>
                              <m:t>1+3.030099311%</m:t>
                            </m:r>
                          </m:e>
                        </m:d>
                      </m:e>
                      <m:sup>
                        <m:f>
                          <m:fPr>
                            <m:ctrlPr>
                              <a:rPr lang="he-IL" sz="800" b="0" i="1">
                                <a:latin typeface="Cambria Math" panose="02040503050406030204" pitchFamily="18" charset="0"/>
                              </a:rPr>
                            </m:ctrlPr>
                          </m:fPr>
                          <m:num>
                            <m:r>
                              <a:rPr lang="he-IL" sz="800" b="0" i="1">
                                <a:latin typeface="Cambria Math" panose="02040503050406030204" pitchFamily="18" charset="0"/>
                              </a:rPr>
                              <m:t>1</m:t>
                            </m:r>
                          </m:num>
                          <m:den>
                            <m:r>
                              <a:rPr lang="he-IL" sz="800" b="0" i="1">
                                <a:latin typeface="Cambria Math" panose="02040503050406030204" pitchFamily="18" charset="0"/>
                              </a:rPr>
                              <m:t>3</m:t>
                            </m:r>
                          </m:den>
                        </m:f>
                      </m:sup>
                    </m:sSup>
                  </m:oMath>
                </m:oMathPara>
              </a14:m>
              <a:endParaRPr lang="en-US" sz="800"/>
            </a:p>
          </xdr:txBody>
        </xdr:sp>
      </mc:Choice>
      <mc:Fallback xmlns="">
        <xdr:sp macro="" textlink="">
          <xdr:nvSpPr>
            <xdr:cNvPr id="106" name="TextBox 105">
              <a:extLst>
                <a:ext uri="{FF2B5EF4-FFF2-40B4-BE49-F238E27FC236}">
                  <a16:creationId xmlns:a16="http://schemas.microsoft.com/office/drawing/2014/main" id="{1E294977-34B8-E54D-69AB-6FF4D9D40F9A}"/>
                </a:ext>
              </a:extLst>
            </xdr:cNvPr>
            <xdr:cNvSpPr txBox="1"/>
          </xdr:nvSpPr>
          <xdr:spPr>
            <a:xfrm rot="19272476" flipH="1">
              <a:off x="13503550382" y="56305040"/>
              <a:ext cx="1466796" cy="184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800" b="0" i="0">
                  <a:latin typeface="Cambria Math" panose="02040503050406030204" pitchFamily="18" charset="0"/>
                </a:rPr>
                <a:t>∗(1+3.030099311%)^(1/3)</a:t>
              </a:r>
              <a:endParaRPr lang="en-US" sz="800"/>
            </a:p>
          </xdr:txBody>
        </xdr:sp>
      </mc:Fallback>
    </mc:AlternateContent>
    <xdr:clientData/>
  </xdr:oneCellAnchor>
  <xdr:oneCellAnchor>
    <xdr:from>
      <xdr:col>13</xdr:col>
      <xdr:colOff>434188</xdr:colOff>
      <xdr:row>284</xdr:row>
      <xdr:rowOff>72513</xdr:rowOff>
    </xdr:from>
    <xdr:ext cx="1466796" cy="140103"/>
    <mc:AlternateContent xmlns:mc="http://schemas.openxmlformats.org/markup-compatibility/2006" xmlns:a14="http://schemas.microsoft.com/office/drawing/2010/main">
      <mc:Choice Requires="a14">
        <xdr:sp macro="" textlink="">
          <xdr:nvSpPr>
            <xdr:cNvPr id="107" name="TextBox 106">
              <a:extLst>
                <a:ext uri="{FF2B5EF4-FFF2-40B4-BE49-F238E27FC236}">
                  <a16:creationId xmlns:a16="http://schemas.microsoft.com/office/drawing/2014/main" id="{EFAE1985-B2FA-DA33-E47B-B47D5179037C}"/>
                </a:ext>
              </a:extLst>
            </xdr:cNvPr>
            <xdr:cNvSpPr txBox="1"/>
          </xdr:nvSpPr>
          <xdr:spPr>
            <a:xfrm rot="19272476" flipH="1">
              <a:off x="13503474400" y="56115334"/>
              <a:ext cx="1466796" cy="140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800" b="0" i="1">
                        <a:latin typeface="Cambria Math" panose="02040503050406030204" pitchFamily="18" charset="0"/>
                      </a:rPr>
                      <m:t>או</m:t>
                    </m:r>
                  </m:oMath>
                </m:oMathPara>
              </a14:m>
              <a:endParaRPr lang="en-US" sz="800"/>
            </a:p>
          </xdr:txBody>
        </xdr:sp>
      </mc:Choice>
      <mc:Fallback xmlns="">
        <xdr:sp macro="" textlink="">
          <xdr:nvSpPr>
            <xdr:cNvPr id="107" name="TextBox 106">
              <a:extLst>
                <a:ext uri="{FF2B5EF4-FFF2-40B4-BE49-F238E27FC236}">
                  <a16:creationId xmlns:a16="http://schemas.microsoft.com/office/drawing/2014/main" id="{EFAE1985-B2FA-DA33-E47B-B47D5179037C}"/>
                </a:ext>
              </a:extLst>
            </xdr:cNvPr>
            <xdr:cNvSpPr txBox="1"/>
          </xdr:nvSpPr>
          <xdr:spPr>
            <a:xfrm rot="19272476" flipH="1">
              <a:off x="13503474400" y="56115334"/>
              <a:ext cx="1466796" cy="140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800" b="0" i="0">
                  <a:latin typeface="Cambria Math" panose="02040503050406030204" pitchFamily="18" charset="0"/>
                </a:rPr>
                <a:t>או</a:t>
              </a:r>
              <a:endParaRPr lang="en-US" sz="800"/>
            </a:p>
          </xdr:txBody>
        </xdr:sp>
      </mc:Fallback>
    </mc:AlternateContent>
    <xdr:clientData/>
  </xdr:oneCellAnchor>
  <xdr:twoCellAnchor>
    <xdr:from>
      <xdr:col>3</xdr:col>
      <xdr:colOff>727137</xdr:colOff>
      <xdr:row>326</xdr:row>
      <xdr:rowOff>99608</xdr:rowOff>
    </xdr:from>
    <xdr:to>
      <xdr:col>4</xdr:col>
      <xdr:colOff>99608</xdr:colOff>
      <xdr:row>326</xdr:row>
      <xdr:rowOff>104588</xdr:rowOff>
    </xdr:to>
    <xdr:cxnSp macro="">
      <xdr:nvCxnSpPr>
        <xdr:cNvPr id="109" name="Straight Arrow Connector 108">
          <a:extLst>
            <a:ext uri="{FF2B5EF4-FFF2-40B4-BE49-F238E27FC236}">
              <a16:creationId xmlns:a16="http://schemas.microsoft.com/office/drawing/2014/main" id="{3ADA847C-C2B2-8405-AAEF-84363BF517F2}"/>
            </a:ext>
          </a:extLst>
        </xdr:cNvPr>
        <xdr:cNvCxnSpPr/>
      </xdr:nvCxnSpPr>
      <xdr:spPr>
        <a:xfrm>
          <a:off x="13542049843" y="65527020"/>
          <a:ext cx="199216" cy="498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448235</xdr:colOff>
      <xdr:row>329</xdr:row>
      <xdr:rowOff>19922</xdr:rowOff>
    </xdr:from>
    <xdr:to>
      <xdr:col>4</xdr:col>
      <xdr:colOff>463176</xdr:colOff>
      <xdr:row>330</xdr:row>
      <xdr:rowOff>119529</xdr:rowOff>
    </xdr:to>
    <xdr:cxnSp macro="">
      <xdr:nvCxnSpPr>
        <xdr:cNvPr id="110" name="Straight Arrow Connector 109">
          <a:extLst>
            <a:ext uri="{FF2B5EF4-FFF2-40B4-BE49-F238E27FC236}">
              <a16:creationId xmlns:a16="http://schemas.microsoft.com/office/drawing/2014/main" id="{6311F197-5500-4CA7-DEC0-723330A7378A}"/>
            </a:ext>
          </a:extLst>
        </xdr:cNvPr>
        <xdr:cNvCxnSpPr/>
      </xdr:nvCxnSpPr>
      <xdr:spPr>
        <a:xfrm>
          <a:off x="13541686275" y="66059922"/>
          <a:ext cx="14941" cy="30380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369747</xdr:colOff>
      <xdr:row>57</xdr:row>
      <xdr:rowOff>90026</xdr:rowOff>
    </xdr:from>
    <xdr:to>
      <xdr:col>4</xdr:col>
      <xdr:colOff>369747</xdr:colOff>
      <xdr:row>57</xdr:row>
      <xdr:rowOff>205772</xdr:rowOff>
    </xdr:to>
    <xdr:cxnSp macro="">
      <xdr:nvCxnSpPr>
        <xdr:cNvPr id="3" name="Straight Connector 2">
          <a:extLst>
            <a:ext uri="{FF2B5EF4-FFF2-40B4-BE49-F238E27FC236}">
              <a16:creationId xmlns:a16="http://schemas.microsoft.com/office/drawing/2014/main" id="{CD00DFB8-F1F0-3F86-DF43-7C484CA057ED}"/>
            </a:ext>
          </a:extLst>
        </xdr:cNvPr>
        <xdr:cNvCxnSpPr/>
      </xdr:nvCxnSpPr>
      <xdr:spPr>
        <a:xfrm flipV="1">
          <a:off x="13534486456" y="11712937"/>
          <a:ext cx="0" cy="115746"/>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755569</xdr:colOff>
      <xdr:row>57</xdr:row>
      <xdr:rowOff>163976</xdr:rowOff>
    </xdr:from>
    <xdr:to>
      <xdr:col>4</xdr:col>
      <xdr:colOff>360102</xdr:colOff>
      <xdr:row>57</xdr:row>
      <xdr:rowOff>170405</xdr:rowOff>
    </xdr:to>
    <xdr:cxnSp macro="">
      <xdr:nvCxnSpPr>
        <xdr:cNvPr id="6" name="Straight Connector 5">
          <a:extLst>
            <a:ext uri="{FF2B5EF4-FFF2-40B4-BE49-F238E27FC236}">
              <a16:creationId xmlns:a16="http://schemas.microsoft.com/office/drawing/2014/main" id="{9475A828-4C29-0363-DBC9-E4CEE3AAF7A5}"/>
            </a:ext>
          </a:extLst>
        </xdr:cNvPr>
        <xdr:cNvCxnSpPr/>
      </xdr:nvCxnSpPr>
      <xdr:spPr>
        <a:xfrm>
          <a:off x="13534496101" y="11786887"/>
          <a:ext cx="1257140" cy="6429"/>
        </a:xfrm>
        <a:prstGeom prst="line">
          <a:avLst/>
        </a:prstGeom>
        <a:ln>
          <a:headEnd type="none" w="med" len="med"/>
          <a:tailEnd type="arrow" w="med"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244355</xdr:colOff>
      <xdr:row>57</xdr:row>
      <xdr:rowOff>324735</xdr:rowOff>
    </xdr:from>
    <xdr:to>
      <xdr:col>3</xdr:col>
      <xdr:colOff>247570</xdr:colOff>
      <xdr:row>59</xdr:row>
      <xdr:rowOff>86810</xdr:rowOff>
    </xdr:to>
    <xdr:cxnSp macro="">
      <xdr:nvCxnSpPr>
        <xdr:cNvPr id="11" name="Straight Connector 10">
          <a:extLst>
            <a:ext uri="{FF2B5EF4-FFF2-40B4-BE49-F238E27FC236}">
              <a16:creationId xmlns:a16="http://schemas.microsoft.com/office/drawing/2014/main" id="{3195BC66-F9AE-A479-10A3-B8289B1DEE0A}"/>
            </a:ext>
          </a:extLst>
        </xdr:cNvPr>
        <xdr:cNvCxnSpPr/>
      </xdr:nvCxnSpPr>
      <xdr:spPr>
        <a:xfrm flipH="1" flipV="1">
          <a:off x="13535434937" y="11947646"/>
          <a:ext cx="3215" cy="308658"/>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736278</xdr:colOff>
      <xdr:row>59</xdr:row>
      <xdr:rowOff>80381</xdr:rowOff>
    </xdr:from>
    <xdr:to>
      <xdr:col>3</xdr:col>
      <xdr:colOff>244356</xdr:colOff>
      <xdr:row>59</xdr:row>
      <xdr:rowOff>86810</xdr:rowOff>
    </xdr:to>
    <xdr:cxnSp macro="">
      <xdr:nvCxnSpPr>
        <xdr:cNvPr id="13" name="Straight Connector 12">
          <a:extLst>
            <a:ext uri="{FF2B5EF4-FFF2-40B4-BE49-F238E27FC236}">
              <a16:creationId xmlns:a16="http://schemas.microsoft.com/office/drawing/2014/main" id="{DC4A794A-7B55-8785-19DF-5FCC3BA8EEBF}"/>
            </a:ext>
          </a:extLst>
        </xdr:cNvPr>
        <xdr:cNvCxnSpPr/>
      </xdr:nvCxnSpPr>
      <xdr:spPr>
        <a:xfrm>
          <a:off x="13535438151" y="12249875"/>
          <a:ext cx="334381" cy="6429"/>
        </a:xfrm>
        <a:prstGeom prst="line">
          <a:avLst/>
        </a:prstGeom>
        <a:ln>
          <a:headEnd type="none" w="med" len="med"/>
          <a:tailEnd type="arrow" w="med"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403225</xdr:colOff>
      <xdr:row>77</xdr:row>
      <xdr:rowOff>28575</xdr:rowOff>
    </xdr:from>
    <xdr:to>
      <xdr:col>4</xdr:col>
      <xdr:colOff>406400</xdr:colOff>
      <xdr:row>78</xdr:row>
      <xdr:rowOff>114300</xdr:rowOff>
    </xdr:to>
    <xdr:cxnSp macro="">
      <xdr:nvCxnSpPr>
        <xdr:cNvPr id="16" name="Straight Arrow Connector 15">
          <a:extLst>
            <a:ext uri="{FF2B5EF4-FFF2-40B4-BE49-F238E27FC236}">
              <a16:creationId xmlns:a16="http://schemas.microsoft.com/office/drawing/2014/main" id="{84ACA18E-FA5B-7CF9-4B60-393E46615C7C}"/>
            </a:ext>
          </a:extLst>
        </xdr:cNvPr>
        <xdr:cNvCxnSpPr/>
      </xdr:nvCxnSpPr>
      <xdr:spPr>
        <a:xfrm>
          <a:off x="13521283600" y="15890875"/>
          <a:ext cx="3175" cy="28892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384175</xdr:colOff>
      <xdr:row>77</xdr:row>
      <xdr:rowOff>31750</xdr:rowOff>
    </xdr:from>
    <xdr:to>
      <xdr:col>3</xdr:col>
      <xdr:colOff>387350</xdr:colOff>
      <xdr:row>78</xdr:row>
      <xdr:rowOff>117475</xdr:rowOff>
    </xdr:to>
    <xdr:cxnSp macro="">
      <xdr:nvCxnSpPr>
        <xdr:cNvPr id="17" name="Straight Arrow Connector 16">
          <a:extLst>
            <a:ext uri="{FF2B5EF4-FFF2-40B4-BE49-F238E27FC236}">
              <a16:creationId xmlns:a16="http://schemas.microsoft.com/office/drawing/2014/main" id="{3C58BA9D-D697-4619-5502-04302B10CA13}"/>
            </a:ext>
          </a:extLst>
        </xdr:cNvPr>
        <xdr:cNvCxnSpPr/>
      </xdr:nvCxnSpPr>
      <xdr:spPr>
        <a:xfrm>
          <a:off x="13522128150" y="15894050"/>
          <a:ext cx="3175" cy="28892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2</xdr:col>
      <xdr:colOff>79850</xdr:colOff>
      <xdr:row>92</xdr:row>
      <xdr:rowOff>29742</xdr:rowOff>
    </xdr:from>
    <xdr:to>
      <xdr:col>2</xdr:col>
      <xdr:colOff>662909</xdr:colOff>
      <xdr:row>95</xdr:row>
      <xdr:rowOff>13993</xdr:rowOff>
    </xdr:to>
    <xdr:pic>
      <xdr:nvPicPr>
        <xdr:cNvPr id="18" name="Picture 17">
          <a:extLst>
            <a:ext uri="{FF2B5EF4-FFF2-40B4-BE49-F238E27FC236}">
              <a16:creationId xmlns:a16="http://schemas.microsoft.com/office/drawing/2014/main" id="{0CBD5439-2654-E0DE-D99A-7C98B3420282}"/>
            </a:ext>
          </a:extLst>
        </xdr:cNvPr>
        <xdr:cNvPicPr>
          <a:picLocks noChangeAspect="1"/>
        </xdr:cNvPicPr>
      </xdr:nvPicPr>
      <xdr:blipFill>
        <a:blip xmlns:r="http://schemas.openxmlformats.org/officeDocument/2006/relationships" r:embed="rId1"/>
        <a:stretch>
          <a:fillRect/>
        </a:stretch>
      </xdr:blipFill>
      <xdr:spPr>
        <a:xfrm>
          <a:off x="13516449007" y="18802167"/>
          <a:ext cx="583059" cy="588832"/>
        </a:xfrm>
        <a:prstGeom prst="rect">
          <a:avLst/>
        </a:prstGeom>
      </xdr:spPr>
    </xdr:pic>
    <xdr:clientData/>
  </xdr:twoCellAnchor>
  <xdr:oneCellAnchor>
    <xdr:from>
      <xdr:col>2</xdr:col>
      <xdr:colOff>102664</xdr:colOff>
      <xdr:row>102</xdr:row>
      <xdr:rowOff>14533</xdr:rowOff>
    </xdr:from>
    <xdr:ext cx="583059" cy="588832"/>
    <xdr:pic>
      <xdr:nvPicPr>
        <xdr:cNvPr id="19" name="Picture 18">
          <a:extLst>
            <a:ext uri="{FF2B5EF4-FFF2-40B4-BE49-F238E27FC236}">
              <a16:creationId xmlns:a16="http://schemas.microsoft.com/office/drawing/2014/main" id="{58EA807F-C3FF-834E-866F-97A4B2C39C83}"/>
            </a:ext>
          </a:extLst>
        </xdr:cNvPr>
        <xdr:cNvPicPr>
          <a:picLocks noChangeAspect="1"/>
        </xdr:cNvPicPr>
      </xdr:nvPicPr>
      <xdr:blipFill>
        <a:blip xmlns:r="http://schemas.openxmlformats.org/officeDocument/2006/relationships" r:embed="rId1"/>
        <a:stretch>
          <a:fillRect/>
        </a:stretch>
      </xdr:blipFill>
      <xdr:spPr>
        <a:xfrm>
          <a:off x="13516426193" y="20802228"/>
          <a:ext cx="583059" cy="588832"/>
        </a:xfrm>
        <a:prstGeom prst="rect">
          <a:avLst/>
        </a:prstGeom>
      </xdr:spPr>
    </xdr:pic>
    <xdr:clientData/>
  </xdr:oneCellAnchor>
  <xdr:twoCellAnchor>
    <xdr:from>
      <xdr:col>9</xdr:col>
      <xdr:colOff>425868</xdr:colOff>
      <xdr:row>100</xdr:row>
      <xdr:rowOff>60838</xdr:rowOff>
    </xdr:from>
    <xdr:to>
      <xdr:col>9</xdr:col>
      <xdr:colOff>425868</xdr:colOff>
      <xdr:row>102</xdr:row>
      <xdr:rowOff>129281</xdr:rowOff>
    </xdr:to>
    <xdr:cxnSp macro="">
      <xdr:nvCxnSpPr>
        <xdr:cNvPr id="22" name="Straight Arrow Connector 21">
          <a:extLst>
            <a:ext uri="{FF2B5EF4-FFF2-40B4-BE49-F238E27FC236}">
              <a16:creationId xmlns:a16="http://schemas.microsoft.com/office/drawing/2014/main" id="{40988C78-DB93-37E5-D87A-50CA1F37D726}"/>
            </a:ext>
          </a:extLst>
        </xdr:cNvPr>
        <xdr:cNvCxnSpPr/>
      </xdr:nvCxnSpPr>
      <xdr:spPr>
        <a:xfrm>
          <a:off x="13510910210" y="20445479"/>
          <a:ext cx="0" cy="47149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7</xdr:col>
      <xdr:colOff>76048</xdr:colOff>
      <xdr:row>92</xdr:row>
      <xdr:rowOff>7604</xdr:rowOff>
    </xdr:from>
    <xdr:to>
      <xdr:col>8</xdr:col>
      <xdr:colOff>201528</xdr:colOff>
      <xdr:row>96</xdr:row>
      <xdr:rowOff>175568</xdr:rowOff>
    </xdr:to>
    <xdr:pic>
      <xdr:nvPicPr>
        <xdr:cNvPr id="23" name="Picture 22">
          <a:extLst>
            <a:ext uri="{FF2B5EF4-FFF2-40B4-BE49-F238E27FC236}">
              <a16:creationId xmlns:a16="http://schemas.microsoft.com/office/drawing/2014/main" id="{6AA8C0BB-2FB5-C111-07F4-704859347687}"/>
            </a:ext>
          </a:extLst>
        </xdr:cNvPr>
        <xdr:cNvPicPr>
          <a:picLocks noChangeAspect="1"/>
        </xdr:cNvPicPr>
      </xdr:nvPicPr>
      <xdr:blipFill>
        <a:blip xmlns:r="http://schemas.openxmlformats.org/officeDocument/2006/relationships" r:embed="rId2"/>
        <a:stretch>
          <a:fillRect/>
        </a:stretch>
      </xdr:blipFill>
      <xdr:spPr>
        <a:xfrm>
          <a:off x="13511959670" y="18780029"/>
          <a:ext cx="950600" cy="974072"/>
        </a:xfrm>
        <a:prstGeom prst="rect">
          <a:avLst/>
        </a:prstGeom>
      </xdr:spPr>
    </xdr:pic>
    <xdr:clientData/>
  </xdr:twoCellAnchor>
  <xdr:oneCellAnchor>
    <xdr:from>
      <xdr:col>2</xdr:col>
      <xdr:colOff>227702</xdr:colOff>
      <xdr:row>151</xdr:row>
      <xdr:rowOff>104038</xdr:rowOff>
    </xdr:from>
    <xdr:ext cx="2899699" cy="340863"/>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D38F1299-B8DC-607A-17AF-65A472D0E0DA}"/>
                </a:ext>
              </a:extLst>
            </xdr:cNvPr>
            <xdr:cNvSpPr txBox="1"/>
          </xdr:nvSpPr>
          <xdr:spPr>
            <a:xfrm>
              <a:off x="13499198306" y="30830982"/>
              <a:ext cx="2899699" cy="3408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r>
                      <a:rPr lang="en-US" sz="1100" b="0" i="1">
                        <a:latin typeface="Cambria Math" panose="02040503050406030204" pitchFamily="18" charset="0"/>
                      </a:rPr>
                      <m:t>𝑃𝑉𝐹𝐴</m:t>
                    </m:r>
                    <m:d>
                      <m:dPr>
                        <m:ctrlPr>
                          <a:rPr lang="en-US" sz="1100" b="0" i="1">
                            <a:latin typeface="Cambria Math" panose="02040503050406030204" pitchFamily="18" charset="0"/>
                          </a:rPr>
                        </m:ctrlPr>
                      </m:dPr>
                      <m:e>
                        <m:r>
                          <a:rPr lang="en-US" sz="1100" b="0" i="1">
                            <a:latin typeface="Cambria Math" panose="02040503050406030204" pitchFamily="18" charset="0"/>
                          </a:rPr>
                          <m:t>𝑟</m:t>
                        </m:r>
                        <m:r>
                          <a:rPr lang="en-US" sz="1100" b="0" i="1">
                            <a:latin typeface="Cambria Math" panose="02040503050406030204" pitchFamily="18" charset="0"/>
                          </a:rPr>
                          <m:t>,</m:t>
                        </m:r>
                        <m:r>
                          <a:rPr lang="en-US" sz="1100" b="0" i="1">
                            <a:latin typeface="Cambria Math" panose="02040503050406030204" pitchFamily="18" charset="0"/>
                          </a:rPr>
                          <m:t>𝑛</m:t>
                        </m:r>
                      </m:e>
                    </m:d>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𝐹𝑉</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oMath>
                </m:oMathPara>
              </a14:m>
              <a:endParaRPr lang="en-US" sz="1100"/>
            </a:p>
          </xdr:txBody>
        </xdr:sp>
      </mc:Choice>
      <mc:Fallback xmlns="">
        <xdr:sp macro="" textlink="">
          <xdr:nvSpPr>
            <xdr:cNvPr id="24" name="TextBox 23">
              <a:extLst>
                <a:ext uri="{FF2B5EF4-FFF2-40B4-BE49-F238E27FC236}">
                  <a16:creationId xmlns:a16="http://schemas.microsoft.com/office/drawing/2014/main" id="{D38F1299-B8DC-607A-17AF-65A472D0E0DA}"/>
                </a:ext>
              </a:extLst>
            </xdr:cNvPr>
            <xdr:cNvSpPr txBox="1"/>
          </xdr:nvSpPr>
          <xdr:spPr>
            <a:xfrm>
              <a:off x="13499198306" y="30830982"/>
              <a:ext cx="2899699" cy="3408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𝑃𝑉=𝑃𝑀𝑇∗𝑃𝑉𝐹𝐴(𝑟,𝑛)+𝐹𝑉/(1+𝑟)^𝑛 </a:t>
              </a:r>
              <a:endParaRPr lang="en-US" sz="1100"/>
            </a:p>
          </xdr:txBody>
        </xdr:sp>
      </mc:Fallback>
    </mc:AlternateContent>
    <xdr:clientData/>
  </xdr:oneCellAnchor>
  <xdr:oneCellAnchor>
    <xdr:from>
      <xdr:col>2</xdr:col>
      <xdr:colOff>189218</xdr:colOff>
      <xdr:row>153</xdr:row>
      <xdr:rowOff>190629</xdr:rowOff>
    </xdr:from>
    <xdr:ext cx="2899699" cy="484748"/>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C15E41E7-5725-0A9C-F3FF-46952373082F}"/>
                </a:ext>
              </a:extLst>
            </xdr:cNvPr>
            <xdr:cNvSpPr txBox="1"/>
          </xdr:nvSpPr>
          <xdr:spPr>
            <a:xfrm>
              <a:off x="13499236790" y="31321664"/>
              <a:ext cx="2899699"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r>
                          <a:rPr lang="en-US" sz="1100" b="0" i="1">
                            <a:latin typeface="Cambria Math" panose="02040503050406030204" pitchFamily="18" charset="0"/>
                          </a:rPr>
                          <m:t> </m:t>
                        </m:r>
                      </m:num>
                      <m:den>
                        <m:r>
                          <a:rPr lang="en-US" sz="1100" b="0" i="1">
                            <a:latin typeface="Cambria Math" panose="02040503050406030204" pitchFamily="18" charset="0"/>
                          </a:rPr>
                          <m:t>𝑟</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𝐹𝑉</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oMath>
                </m:oMathPara>
              </a14:m>
              <a:endParaRPr lang="en-US" sz="1100"/>
            </a:p>
          </xdr:txBody>
        </xdr:sp>
      </mc:Choice>
      <mc:Fallback xmlns="">
        <xdr:sp macro="" textlink="">
          <xdr:nvSpPr>
            <xdr:cNvPr id="25" name="TextBox 24">
              <a:extLst>
                <a:ext uri="{FF2B5EF4-FFF2-40B4-BE49-F238E27FC236}">
                  <a16:creationId xmlns:a16="http://schemas.microsoft.com/office/drawing/2014/main" id="{C15E41E7-5725-0A9C-F3FF-46952373082F}"/>
                </a:ext>
              </a:extLst>
            </xdr:cNvPr>
            <xdr:cNvSpPr txBox="1"/>
          </xdr:nvSpPr>
          <xdr:spPr>
            <a:xfrm>
              <a:off x="13499236790" y="31321664"/>
              <a:ext cx="2899699"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𝑃𝑉=𝑃𝑀𝑇∗(1−1/(1+𝑟)^𝑛   )/𝑟+𝐹𝑉/(1+𝑟)^𝑛 </a:t>
              </a:r>
              <a:endParaRPr lang="en-US" sz="1100"/>
            </a:p>
          </xdr:txBody>
        </xdr:sp>
      </mc:Fallback>
    </mc:AlternateContent>
    <xdr:clientData/>
  </xdr:oneCellAnchor>
  <xdr:oneCellAnchor>
    <xdr:from>
      <xdr:col>1</xdr:col>
      <xdr:colOff>205252</xdr:colOff>
      <xdr:row>158</xdr:row>
      <xdr:rowOff>132902</xdr:rowOff>
    </xdr:from>
    <xdr:ext cx="3836164" cy="489045"/>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87EE3F58-4B56-1196-1F56-7E16580DB4D9}"/>
                </a:ext>
              </a:extLst>
            </xdr:cNvPr>
            <xdr:cNvSpPr txBox="1"/>
          </xdr:nvSpPr>
          <xdr:spPr>
            <a:xfrm>
              <a:off x="13499108508" y="32274165"/>
              <a:ext cx="3836164" cy="4890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=64∗</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1+5%</m:t>
                                    </m:r>
                                  </m:e>
                                </m:d>
                              </m:e>
                              <m:sup>
                                <m:r>
                                  <a:rPr lang="en-US" sz="1100" b="0" i="1">
                                    <a:latin typeface="Cambria Math" panose="02040503050406030204" pitchFamily="18" charset="0"/>
                                  </a:rPr>
                                  <m:t>15</m:t>
                                </m:r>
                              </m:sup>
                            </m:sSup>
                          </m:den>
                        </m:f>
                        <m:r>
                          <a:rPr lang="en-US" sz="1100" b="0" i="1">
                            <a:latin typeface="Cambria Math" panose="02040503050406030204" pitchFamily="18" charset="0"/>
                          </a:rPr>
                          <m:t> </m:t>
                        </m:r>
                      </m:num>
                      <m:den>
                        <m:r>
                          <a:rPr lang="en-US" sz="1100" b="0" i="1">
                            <a:latin typeface="Cambria Math" panose="02040503050406030204" pitchFamily="18" charset="0"/>
                          </a:rPr>
                          <m:t>5%</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800</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1+5%</m:t>
                                </m:r>
                              </m:e>
                            </m:d>
                          </m:e>
                          <m:sup>
                            <m:r>
                              <a:rPr lang="en-US" sz="1100" b="0" i="1">
                                <a:latin typeface="Cambria Math" panose="02040503050406030204" pitchFamily="18" charset="0"/>
                              </a:rPr>
                              <m:t>15</m:t>
                            </m:r>
                          </m:sup>
                        </m:sSup>
                      </m:den>
                    </m:f>
                    <m:r>
                      <a:rPr lang="en-US" sz="1100" b="0" i="1">
                        <a:latin typeface="Cambria Math" panose="02040503050406030204" pitchFamily="18" charset="0"/>
                      </a:rPr>
                      <m:t>=1,049.11</m:t>
                    </m:r>
                  </m:oMath>
                </m:oMathPara>
              </a14:m>
              <a:endParaRPr lang="en-US" sz="1100"/>
            </a:p>
          </xdr:txBody>
        </xdr:sp>
      </mc:Choice>
      <mc:Fallback xmlns="">
        <xdr:sp macro="" textlink="">
          <xdr:nvSpPr>
            <xdr:cNvPr id="26" name="TextBox 25">
              <a:extLst>
                <a:ext uri="{FF2B5EF4-FFF2-40B4-BE49-F238E27FC236}">
                  <a16:creationId xmlns:a16="http://schemas.microsoft.com/office/drawing/2014/main" id="{87EE3F58-4B56-1196-1F56-7E16580DB4D9}"/>
                </a:ext>
              </a:extLst>
            </xdr:cNvPr>
            <xdr:cNvSpPr txBox="1"/>
          </xdr:nvSpPr>
          <xdr:spPr>
            <a:xfrm>
              <a:off x="13499108508" y="32274165"/>
              <a:ext cx="3836164" cy="4890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𝑃𝑉=64∗(1−1/(1+5%)^15   )/(5%)+800/(1+5%)^15 =1,049.11</a:t>
              </a:r>
              <a:endParaRPr lang="en-US" sz="1100"/>
            </a:p>
          </xdr:txBody>
        </xdr:sp>
      </mc:Fallback>
    </mc:AlternateContent>
    <xdr:clientData/>
  </xdr:oneCellAnchor>
  <xdr:oneCellAnchor>
    <xdr:from>
      <xdr:col>1</xdr:col>
      <xdr:colOff>230909</xdr:colOff>
      <xdr:row>162</xdr:row>
      <xdr:rowOff>123282</xdr:rowOff>
    </xdr:from>
    <xdr:ext cx="3836164" cy="489045"/>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9536008-C2B0-9823-A48B-517A3C0A02FD}"/>
                </a:ext>
              </a:extLst>
            </xdr:cNvPr>
            <xdr:cNvSpPr txBox="1"/>
          </xdr:nvSpPr>
          <xdr:spPr>
            <a:xfrm>
              <a:off x="13499082851" y="33072726"/>
              <a:ext cx="3836164" cy="4890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=64∗</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6</m:t>
                                    </m:r>
                                    <m:r>
                                      <a:rPr lang="en-US" sz="1100" b="0" i="1">
                                        <a:latin typeface="Cambria Math" panose="02040503050406030204" pitchFamily="18" charset="0"/>
                                      </a:rPr>
                                      <m:t>%</m:t>
                                    </m:r>
                                  </m:e>
                                </m:d>
                              </m:e>
                              <m:sup>
                                <m:r>
                                  <a:rPr lang="he-IL" sz="1100" b="0" i="1">
                                    <a:latin typeface="Cambria Math" panose="02040503050406030204" pitchFamily="18" charset="0"/>
                                  </a:rPr>
                                  <m:t>9</m:t>
                                </m:r>
                              </m:sup>
                            </m:sSup>
                          </m:den>
                        </m:f>
                        <m:r>
                          <a:rPr lang="en-US" sz="1100" b="0" i="1">
                            <a:latin typeface="Cambria Math" panose="02040503050406030204" pitchFamily="18" charset="0"/>
                          </a:rPr>
                          <m:t> </m:t>
                        </m:r>
                      </m:num>
                      <m:den>
                        <m:r>
                          <a:rPr lang="he-IL" sz="1100" b="0" i="1">
                            <a:latin typeface="Cambria Math" panose="02040503050406030204" pitchFamily="18" charset="0"/>
                          </a:rPr>
                          <m:t>6</m:t>
                        </m:r>
                        <m:r>
                          <a:rPr lang="en-US" sz="1100" b="0" i="1">
                            <a:latin typeface="Cambria Math" panose="02040503050406030204" pitchFamily="18" charset="0"/>
                          </a:rPr>
                          <m:t>%</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800</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6</m:t>
                                </m:r>
                                <m:r>
                                  <a:rPr lang="en-US" sz="1100" b="0" i="1">
                                    <a:latin typeface="Cambria Math" panose="02040503050406030204" pitchFamily="18" charset="0"/>
                                  </a:rPr>
                                  <m:t>%</m:t>
                                </m:r>
                              </m:e>
                            </m:d>
                          </m:e>
                          <m:sup>
                            <m:r>
                              <a:rPr lang="he-IL" sz="1100" b="0" i="1">
                                <a:latin typeface="Cambria Math" panose="02040503050406030204" pitchFamily="18" charset="0"/>
                              </a:rPr>
                              <m:t>9</m:t>
                            </m:r>
                          </m:sup>
                        </m:sSup>
                      </m:den>
                    </m:f>
                    <m:r>
                      <a:rPr lang="en-US" sz="1100" b="0" i="1">
                        <a:latin typeface="Cambria Math" panose="02040503050406030204" pitchFamily="18" charset="0"/>
                      </a:rPr>
                      <m:t>=</m:t>
                    </m:r>
                    <m:r>
                      <a:rPr lang="he-IL" sz="1100" b="0" i="1">
                        <a:latin typeface="Cambria Math" panose="02040503050406030204" pitchFamily="18" charset="0"/>
                      </a:rPr>
                      <m:t>908.83</m:t>
                    </m:r>
                  </m:oMath>
                </m:oMathPara>
              </a14:m>
              <a:endParaRPr lang="en-US" sz="1100"/>
            </a:p>
          </xdr:txBody>
        </xdr:sp>
      </mc:Choice>
      <mc:Fallback xmlns="">
        <xdr:sp macro="" textlink="">
          <xdr:nvSpPr>
            <xdr:cNvPr id="27" name="TextBox 26">
              <a:extLst>
                <a:ext uri="{FF2B5EF4-FFF2-40B4-BE49-F238E27FC236}">
                  <a16:creationId xmlns:a16="http://schemas.microsoft.com/office/drawing/2014/main" id="{89536008-C2B0-9823-A48B-517A3C0A02FD}"/>
                </a:ext>
              </a:extLst>
            </xdr:cNvPr>
            <xdr:cNvSpPr txBox="1"/>
          </xdr:nvSpPr>
          <xdr:spPr>
            <a:xfrm>
              <a:off x="13499082851" y="33072726"/>
              <a:ext cx="3836164" cy="4890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𝑃𝑉=64∗(1−1/(1+</a:t>
              </a:r>
              <a:r>
                <a:rPr lang="he-IL" sz="1100" b="0" i="0">
                  <a:latin typeface="Cambria Math" panose="02040503050406030204" pitchFamily="18" charset="0"/>
                </a:rPr>
                <a:t>6</a:t>
              </a:r>
              <a:r>
                <a:rPr lang="en-US" sz="1100" b="0" i="0">
                  <a:latin typeface="Cambria Math" panose="02040503050406030204" pitchFamily="18" charset="0"/>
                </a:rPr>
                <a:t>%)^</a:t>
              </a:r>
              <a:r>
                <a:rPr lang="he-IL" sz="1100" b="0" i="0">
                  <a:latin typeface="Cambria Math" panose="02040503050406030204" pitchFamily="18" charset="0"/>
                </a:rPr>
                <a:t>9</a:t>
              </a:r>
              <a:r>
                <a:rPr lang="en-US" sz="1100" b="0" i="0">
                  <a:latin typeface="Cambria Math" panose="02040503050406030204" pitchFamily="18" charset="0"/>
                </a:rPr>
                <a:t>   )/(</a:t>
              </a:r>
              <a:r>
                <a:rPr lang="he-IL" sz="1100" b="0" i="0">
                  <a:latin typeface="Cambria Math" panose="02040503050406030204" pitchFamily="18" charset="0"/>
                </a:rPr>
                <a:t>6</a:t>
              </a:r>
              <a:r>
                <a:rPr lang="en-US" sz="1100" b="0" i="0">
                  <a:latin typeface="Cambria Math" panose="02040503050406030204" pitchFamily="18" charset="0"/>
                </a:rPr>
                <a:t>%)+800/(1+</a:t>
              </a:r>
              <a:r>
                <a:rPr lang="he-IL" sz="1100" b="0" i="0">
                  <a:latin typeface="Cambria Math" panose="02040503050406030204" pitchFamily="18" charset="0"/>
                </a:rPr>
                <a:t>6</a:t>
              </a:r>
              <a:r>
                <a:rPr lang="en-US" sz="1100" b="0" i="0">
                  <a:latin typeface="Cambria Math" panose="02040503050406030204" pitchFamily="18" charset="0"/>
                </a:rPr>
                <a:t>%)^</a:t>
              </a:r>
              <a:r>
                <a:rPr lang="he-IL" sz="1100" b="0" i="0">
                  <a:latin typeface="Cambria Math" panose="02040503050406030204" pitchFamily="18" charset="0"/>
                </a:rPr>
                <a:t>9</a:t>
              </a:r>
              <a:r>
                <a:rPr lang="en-US" sz="1100" b="0" i="0">
                  <a:latin typeface="Cambria Math" panose="02040503050406030204" pitchFamily="18" charset="0"/>
                </a:rPr>
                <a:t> =</a:t>
              </a:r>
              <a:r>
                <a:rPr lang="he-IL" sz="1100" b="0" i="0">
                  <a:latin typeface="Cambria Math" panose="02040503050406030204" pitchFamily="18" charset="0"/>
                </a:rPr>
                <a:t>908.83</a:t>
              </a:r>
              <a:endParaRPr lang="en-US" sz="1100"/>
            </a:p>
          </xdr:txBody>
        </xdr:sp>
      </mc:Fallback>
    </mc:AlternateContent>
    <xdr:clientData/>
  </xdr:oneCellAnchor>
  <xdr:oneCellAnchor>
    <xdr:from>
      <xdr:col>1</xdr:col>
      <xdr:colOff>394471</xdr:colOff>
      <xdr:row>166</xdr:row>
      <xdr:rowOff>164971</xdr:rowOff>
    </xdr:from>
    <xdr:ext cx="3438485" cy="486672"/>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0FAC568B-F934-F33A-17A2-1F1B83DBAEE4}"/>
                </a:ext>
              </a:extLst>
            </xdr:cNvPr>
            <xdr:cNvSpPr txBox="1"/>
          </xdr:nvSpPr>
          <xdr:spPr>
            <a:xfrm>
              <a:off x="13499316968" y="33922597"/>
              <a:ext cx="3438485" cy="4866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latin typeface="Cambria Math" panose="02040503050406030204" pitchFamily="18" charset="0"/>
                      </a:rPr>
                      <m:t>1,049.11=64∗</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6</m:t>
                                </m:r>
                              </m:sup>
                            </m:sSup>
                          </m:den>
                        </m:f>
                        <m:r>
                          <a:rPr lang="en-US" sz="1100" b="0" i="1">
                            <a:latin typeface="Cambria Math" panose="02040503050406030204" pitchFamily="18" charset="0"/>
                          </a:rPr>
                          <m:t> </m:t>
                        </m:r>
                      </m:num>
                      <m:den>
                        <m:r>
                          <a:rPr lang="en-US" sz="1100" b="0" i="1">
                            <a:latin typeface="Cambria Math" panose="02040503050406030204" pitchFamily="18" charset="0"/>
                          </a:rPr>
                          <m:t>𝑟</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908.83</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6</m:t>
                            </m:r>
                          </m:sup>
                        </m:sSup>
                      </m:den>
                    </m:f>
                  </m:oMath>
                </m:oMathPara>
              </a14:m>
              <a:endParaRPr lang="en-US" sz="1100"/>
            </a:p>
          </xdr:txBody>
        </xdr:sp>
      </mc:Choice>
      <mc:Fallback xmlns="">
        <xdr:sp macro="" textlink="">
          <xdr:nvSpPr>
            <xdr:cNvPr id="28" name="TextBox 27">
              <a:extLst>
                <a:ext uri="{FF2B5EF4-FFF2-40B4-BE49-F238E27FC236}">
                  <a16:creationId xmlns:a16="http://schemas.microsoft.com/office/drawing/2014/main" id="{0FAC568B-F934-F33A-17A2-1F1B83DBAEE4}"/>
                </a:ext>
              </a:extLst>
            </xdr:cNvPr>
            <xdr:cNvSpPr txBox="1"/>
          </xdr:nvSpPr>
          <xdr:spPr>
            <a:xfrm>
              <a:off x="13499316968" y="33922597"/>
              <a:ext cx="3438485" cy="4866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1,049.11=64∗</a:t>
              </a:r>
              <a:r>
                <a:rPr lang="en-US" sz="1100" b="0" i="0">
                  <a:latin typeface="Cambria Math" panose="02040503050406030204" pitchFamily="18" charset="0"/>
                </a:rPr>
                <a:t>(1−1/(1+𝑟)^6</a:t>
              </a:r>
              <a:r>
                <a:rPr lang="he-IL" sz="1100" b="0" i="0">
                  <a:latin typeface="Cambria Math" panose="02040503050406030204" pitchFamily="18" charset="0"/>
                </a:rPr>
                <a:t> </a:t>
              </a:r>
              <a:r>
                <a:rPr lang="en-US" sz="1100" b="0" i="0">
                  <a:latin typeface="Cambria Math" panose="02040503050406030204" pitchFamily="18" charset="0"/>
                </a:rPr>
                <a:t>  )/𝑟+908.83/(1+𝑟)^6 </a:t>
              </a:r>
              <a:endParaRPr lang="en-US"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31750</xdr:colOff>
      <xdr:row>98</xdr:row>
      <xdr:rowOff>34924</xdr:rowOff>
    </xdr:from>
    <xdr:ext cx="2531430" cy="17370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4EA60C7-2B1A-5679-1538-315813343E33}"/>
                </a:ext>
              </a:extLst>
            </xdr:cNvPr>
            <xdr:cNvSpPr txBox="1"/>
          </xdr:nvSpPr>
          <xdr:spPr>
            <a:xfrm>
              <a:off x="13513723617" y="15985972"/>
              <a:ext cx="2531430"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𝐴𝐶𝑇𝑈𝐴𝐿</m:t>
                        </m:r>
                      </m:sub>
                    </m:sSub>
                    <m:r>
                      <a:rPr lang="en-US" sz="1100" b="0" i="1">
                        <a:latin typeface="Cambria Math" panose="02040503050406030204" pitchFamily="18" charset="0"/>
                      </a:rPr>
                      <m:t>=</m:t>
                    </m:r>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𝑅𝐸𝐴𝐿</m:t>
                        </m:r>
                      </m:sub>
                    </m:sSub>
                    <m:r>
                      <a:rPr lang="en-US" sz="1100" b="0" i="1">
                        <a:latin typeface="Cambria Math" panose="02040503050406030204" pitchFamily="18" charset="0"/>
                      </a:rPr>
                      <m:t>∗(1+</m:t>
                    </m:r>
                    <m:r>
                      <a:rPr lang="en-US" sz="1100" b="0" i="1">
                        <a:latin typeface="Cambria Math" panose="02040503050406030204" pitchFamily="18" charset="0"/>
                        <a:ea typeface="Cambria Math" panose="02040503050406030204" pitchFamily="18" charset="0"/>
                      </a:rPr>
                      <m:t>𝜋</m:t>
                    </m:r>
                    <m:r>
                      <a:rPr lang="en-US" sz="1100" b="0" i="1">
                        <a:latin typeface="Cambria Math" panose="02040503050406030204" pitchFamily="18" charset="0"/>
                      </a:rPr>
                      <m:t>)</m:t>
                    </m:r>
                  </m:oMath>
                </m:oMathPara>
              </a14:m>
              <a:endParaRPr lang="en-US" sz="1100"/>
            </a:p>
          </xdr:txBody>
        </xdr:sp>
      </mc:Choice>
      <mc:Fallback xmlns="">
        <xdr:sp macro="" textlink="">
          <xdr:nvSpPr>
            <xdr:cNvPr id="2" name="TextBox 1">
              <a:extLst>
                <a:ext uri="{FF2B5EF4-FFF2-40B4-BE49-F238E27FC236}">
                  <a16:creationId xmlns:a16="http://schemas.microsoft.com/office/drawing/2014/main" id="{24EA60C7-2B1A-5679-1538-315813343E33}"/>
                </a:ext>
              </a:extLst>
            </xdr:cNvPr>
            <xdr:cNvSpPr txBox="1"/>
          </xdr:nvSpPr>
          <xdr:spPr>
            <a:xfrm>
              <a:off x="13513723617" y="15985972"/>
              <a:ext cx="2531430"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𝑃𝑉_𝐴𝐶𝑇𝑈𝐴𝐿=𝑃𝑉_𝑅𝐸𝐴𝐿∗(1+</a:t>
              </a:r>
              <a:r>
                <a:rPr lang="en-US" sz="1100" b="0" i="0">
                  <a:latin typeface="Cambria Math" panose="02040503050406030204" pitchFamily="18" charset="0"/>
                  <a:ea typeface="Cambria Math" panose="02040503050406030204" pitchFamily="18" charset="0"/>
                </a:rPr>
                <a:t>𝜋</a:t>
              </a:r>
              <a:r>
                <a:rPr lang="en-US" sz="1100" b="0" i="0">
                  <a:latin typeface="Cambria Math" panose="02040503050406030204" pitchFamily="18" charset="0"/>
                </a:rPr>
                <a:t>)</a:t>
              </a:r>
              <a:endParaRPr lang="en-US" sz="1100"/>
            </a:p>
          </xdr:txBody>
        </xdr:sp>
      </mc:Fallback>
    </mc:AlternateContent>
    <xdr:clientData/>
  </xdr:oneCellAnchor>
  <xdr:twoCellAnchor>
    <xdr:from>
      <xdr:col>5</xdr:col>
      <xdr:colOff>292100</xdr:colOff>
      <xdr:row>99</xdr:row>
      <xdr:rowOff>76200</xdr:rowOff>
    </xdr:from>
    <xdr:to>
      <xdr:col>5</xdr:col>
      <xdr:colOff>292100</xdr:colOff>
      <xdr:row>101</xdr:row>
      <xdr:rowOff>120650</xdr:rowOff>
    </xdr:to>
    <xdr:cxnSp macro="">
      <xdr:nvCxnSpPr>
        <xdr:cNvPr id="4" name="Straight Arrow Connector 3">
          <a:extLst>
            <a:ext uri="{FF2B5EF4-FFF2-40B4-BE49-F238E27FC236}">
              <a16:creationId xmlns:a16="http://schemas.microsoft.com/office/drawing/2014/main" id="{859F9E59-CC9E-57D8-955A-0190D3B08F04}"/>
            </a:ext>
          </a:extLst>
        </xdr:cNvPr>
        <xdr:cNvCxnSpPr/>
      </xdr:nvCxnSpPr>
      <xdr:spPr>
        <a:xfrm>
          <a:off x="13520572400" y="11658600"/>
          <a:ext cx="0" cy="45085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387350</xdr:colOff>
      <xdr:row>99</xdr:row>
      <xdr:rowOff>76200</xdr:rowOff>
    </xdr:from>
    <xdr:to>
      <xdr:col>4</xdr:col>
      <xdr:colOff>387350</xdr:colOff>
      <xdr:row>101</xdr:row>
      <xdr:rowOff>120650</xdr:rowOff>
    </xdr:to>
    <xdr:cxnSp macro="">
      <xdr:nvCxnSpPr>
        <xdr:cNvPr id="5" name="Straight Arrow Connector 4">
          <a:extLst>
            <a:ext uri="{FF2B5EF4-FFF2-40B4-BE49-F238E27FC236}">
              <a16:creationId xmlns:a16="http://schemas.microsoft.com/office/drawing/2014/main" id="{F95EE53F-23AE-0E62-D993-2E5E7ADD27B0}"/>
            </a:ext>
          </a:extLst>
        </xdr:cNvPr>
        <xdr:cNvCxnSpPr/>
      </xdr:nvCxnSpPr>
      <xdr:spPr>
        <a:xfrm>
          <a:off x="13521302650" y="11658600"/>
          <a:ext cx="0" cy="45085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552450</xdr:colOff>
      <xdr:row>99</xdr:row>
      <xdr:rowOff>50800</xdr:rowOff>
    </xdr:from>
    <xdr:to>
      <xdr:col>3</xdr:col>
      <xdr:colOff>552450</xdr:colOff>
      <xdr:row>101</xdr:row>
      <xdr:rowOff>95250</xdr:rowOff>
    </xdr:to>
    <xdr:cxnSp macro="">
      <xdr:nvCxnSpPr>
        <xdr:cNvPr id="6" name="Straight Arrow Connector 5">
          <a:extLst>
            <a:ext uri="{FF2B5EF4-FFF2-40B4-BE49-F238E27FC236}">
              <a16:creationId xmlns:a16="http://schemas.microsoft.com/office/drawing/2014/main" id="{FCA21D9E-B3CC-E494-881A-8976ADA65AD0}"/>
            </a:ext>
          </a:extLst>
        </xdr:cNvPr>
        <xdr:cNvCxnSpPr/>
      </xdr:nvCxnSpPr>
      <xdr:spPr>
        <a:xfrm>
          <a:off x="13521963050" y="11633200"/>
          <a:ext cx="0" cy="45085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273050</xdr:colOff>
      <xdr:row>89</xdr:row>
      <xdr:rowOff>123824</xdr:rowOff>
    </xdr:from>
    <xdr:ext cx="3033080" cy="484748"/>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92FB0E7-AAE7-63D0-6BB1-658EEF48083B}"/>
                </a:ext>
              </a:extLst>
            </xdr:cNvPr>
            <xdr:cNvSpPr txBox="1"/>
          </xdr:nvSpPr>
          <xdr:spPr>
            <a:xfrm>
              <a:off x="13519209370" y="12315824"/>
              <a:ext cx="303308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num>
                      <m:den>
                        <m:r>
                          <a:rPr lang="en-US" sz="1100" b="0" i="1">
                            <a:latin typeface="Cambria Math" panose="02040503050406030204" pitchFamily="18" charset="0"/>
                          </a:rPr>
                          <m:t>𝑟</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𝐹𝑉</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oMath>
                </m:oMathPara>
              </a14:m>
              <a:endParaRPr lang="en-US" sz="1100"/>
            </a:p>
          </xdr:txBody>
        </xdr:sp>
      </mc:Choice>
      <mc:Fallback xmlns="">
        <xdr:sp macro="" textlink="">
          <xdr:nvSpPr>
            <xdr:cNvPr id="7" name="TextBox 6">
              <a:extLst>
                <a:ext uri="{FF2B5EF4-FFF2-40B4-BE49-F238E27FC236}">
                  <a16:creationId xmlns:a16="http://schemas.microsoft.com/office/drawing/2014/main" id="{D92FB0E7-AAE7-63D0-6BB1-658EEF48083B}"/>
                </a:ext>
              </a:extLst>
            </xdr:cNvPr>
            <xdr:cNvSpPr txBox="1"/>
          </xdr:nvSpPr>
          <xdr:spPr>
            <a:xfrm>
              <a:off x="13519209370" y="12315824"/>
              <a:ext cx="303308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𝑃𝑉=𝑃𝑀𝑇∗(1−1/(1+𝑟)^𝑛 )/𝑟+𝐹𝑉/(1+𝑟)^𝑛 </a:t>
              </a:r>
              <a:endParaRPr lang="en-US" sz="1100"/>
            </a:p>
          </xdr:txBody>
        </xdr:sp>
      </mc:Fallback>
    </mc:AlternateContent>
    <xdr:clientData/>
  </xdr:oneCellAnchor>
  <xdr:oneCellAnchor>
    <xdr:from>
      <xdr:col>4</xdr:col>
      <xdr:colOff>264645</xdr:colOff>
      <xdr:row>48</xdr:row>
      <xdr:rowOff>78394</xdr:rowOff>
    </xdr:from>
    <xdr:ext cx="3033080" cy="48474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C6F77BE3-DCAA-D88F-9AC3-8A6AF7011880}"/>
                </a:ext>
              </a:extLst>
            </xdr:cNvPr>
            <xdr:cNvSpPr txBox="1"/>
          </xdr:nvSpPr>
          <xdr:spPr>
            <a:xfrm>
              <a:off x="13534206577" y="9976923"/>
              <a:ext cx="303308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num>
                      <m:den>
                        <m:r>
                          <a:rPr lang="en-US" sz="1100" b="0" i="1">
                            <a:latin typeface="Cambria Math" panose="02040503050406030204" pitchFamily="18" charset="0"/>
                          </a:rPr>
                          <m:t>𝑟</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𝐹𝑉</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oMath>
                </m:oMathPara>
              </a14:m>
              <a:endParaRPr lang="en-US" sz="1100"/>
            </a:p>
          </xdr:txBody>
        </xdr:sp>
      </mc:Choice>
      <mc:Fallback xmlns="">
        <xdr:sp macro="" textlink="">
          <xdr:nvSpPr>
            <xdr:cNvPr id="8" name="TextBox 7">
              <a:extLst>
                <a:ext uri="{FF2B5EF4-FFF2-40B4-BE49-F238E27FC236}">
                  <a16:creationId xmlns:a16="http://schemas.microsoft.com/office/drawing/2014/main" id="{C6F77BE3-DCAA-D88F-9AC3-8A6AF7011880}"/>
                </a:ext>
              </a:extLst>
            </xdr:cNvPr>
            <xdr:cNvSpPr txBox="1"/>
          </xdr:nvSpPr>
          <xdr:spPr>
            <a:xfrm>
              <a:off x="13534206577" y="9976923"/>
              <a:ext cx="303308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𝑃𝑉=𝑃𝑀𝑇∗(1−1/(1+𝑟)^𝑛 )/𝑟+𝐹𝑉/(1+𝑟)^𝑛 </a:t>
              </a:r>
              <a:endParaRPr lang="en-US" sz="1100"/>
            </a:p>
          </xdr:txBody>
        </xdr:sp>
      </mc:Fallback>
    </mc:AlternateContent>
    <xdr:clientData/>
  </xdr:oneCellAnchor>
  <xdr:oneCellAnchor>
    <xdr:from>
      <xdr:col>3</xdr:col>
      <xdr:colOff>74946</xdr:colOff>
      <xdr:row>51</xdr:row>
      <xdr:rowOff>56446</xdr:rowOff>
    </xdr:from>
    <xdr:ext cx="3033080" cy="484748"/>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86851B1E-B66F-372D-44B3-C6E10AEF15D7}"/>
                </a:ext>
              </a:extLst>
            </xdr:cNvPr>
            <xdr:cNvSpPr txBox="1"/>
          </xdr:nvSpPr>
          <xdr:spPr>
            <a:xfrm>
              <a:off x="13513178771" y="9357105"/>
              <a:ext cx="303308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=5∗</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3%</m:t>
                                    </m:r>
                                  </m:e>
                                </m:d>
                              </m:e>
                              <m:sup>
                                <m:r>
                                  <a:rPr lang="he-IL" sz="1100" b="0" i="1">
                                    <a:latin typeface="Cambria Math" panose="02040503050406030204" pitchFamily="18" charset="0"/>
                                  </a:rPr>
                                  <m:t>8</m:t>
                                </m:r>
                              </m:sup>
                            </m:sSup>
                          </m:den>
                        </m:f>
                      </m:num>
                      <m:den>
                        <m:r>
                          <a:rPr lang="he-IL" sz="1100" b="0" i="1">
                            <a:latin typeface="Cambria Math" panose="02040503050406030204" pitchFamily="18" charset="0"/>
                          </a:rPr>
                          <m:t>3%</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he-IL" sz="1100" b="0" i="1">
                            <a:latin typeface="Cambria Math" panose="02040503050406030204" pitchFamily="18" charset="0"/>
                          </a:rPr>
                          <m:t>100</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3%</m:t>
                                </m:r>
                              </m:e>
                            </m:d>
                          </m:e>
                          <m:sup>
                            <m:r>
                              <a:rPr lang="he-IL" sz="1100" b="0" i="1">
                                <a:latin typeface="Cambria Math" panose="02040503050406030204" pitchFamily="18" charset="0"/>
                              </a:rPr>
                              <m:t>8</m:t>
                            </m:r>
                          </m:sup>
                        </m:sSup>
                      </m:den>
                    </m:f>
                    <m:r>
                      <a:rPr lang="he-IL" sz="1100" b="0" i="1">
                        <a:latin typeface="Cambria Math" panose="02040503050406030204" pitchFamily="18" charset="0"/>
                      </a:rPr>
                      <m:t>=114.04</m:t>
                    </m:r>
                  </m:oMath>
                </m:oMathPara>
              </a14:m>
              <a:endParaRPr lang="en-US" sz="1100"/>
            </a:p>
          </xdr:txBody>
        </xdr:sp>
      </mc:Choice>
      <mc:Fallback xmlns="">
        <xdr:sp macro="" textlink="">
          <xdr:nvSpPr>
            <xdr:cNvPr id="9" name="TextBox 8">
              <a:extLst>
                <a:ext uri="{FF2B5EF4-FFF2-40B4-BE49-F238E27FC236}">
                  <a16:creationId xmlns:a16="http://schemas.microsoft.com/office/drawing/2014/main" id="{86851B1E-B66F-372D-44B3-C6E10AEF15D7}"/>
                </a:ext>
              </a:extLst>
            </xdr:cNvPr>
            <xdr:cNvSpPr txBox="1"/>
          </xdr:nvSpPr>
          <xdr:spPr>
            <a:xfrm>
              <a:off x="13513178771" y="9357105"/>
              <a:ext cx="303308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a:t>
              </a:r>
              <a:r>
                <a:rPr lang="he-IL" sz="1100" b="0" i="0">
                  <a:latin typeface="Cambria Math" panose="02040503050406030204" pitchFamily="18" charset="0"/>
                </a:rPr>
                <a:t>5</a:t>
              </a:r>
              <a:r>
                <a:rPr lang="en-US" sz="1100" b="0" i="0">
                  <a:latin typeface="Cambria Math" panose="02040503050406030204" pitchFamily="18" charset="0"/>
                </a:rPr>
                <a:t>∗(1−1/(1+</a:t>
              </a:r>
              <a:r>
                <a:rPr lang="he-IL" sz="1100" b="0" i="0">
                  <a:latin typeface="Cambria Math" panose="02040503050406030204" pitchFamily="18" charset="0"/>
                </a:rPr>
                <a:t>3%</a:t>
              </a:r>
              <a:r>
                <a:rPr lang="en-US" sz="1100" b="0" i="0">
                  <a:latin typeface="Cambria Math" panose="02040503050406030204" pitchFamily="18" charset="0"/>
                </a:rPr>
                <a:t>)^</a:t>
              </a:r>
              <a:r>
                <a:rPr lang="he-IL" sz="1100" b="0" i="0">
                  <a:latin typeface="Cambria Math" panose="02040503050406030204" pitchFamily="18" charset="0"/>
                </a:rPr>
                <a:t>8</a:t>
              </a:r>
              <a:r>
                <a:rPr lang="en-US" sz="1100" b="0" i="0">
                  <a:latin typeface="Cambria Math" panose="02040503050406030204" pitchFamily="18" charset="0"/>
                </a:rPr>
                <a:t> )/(</a:t>
              </a:r>
              <a:r>
                <a:rPr lang="he-IL" sz="1100" b="0" i="0">
                  <a:latin typeface="Cambria Math" panose="02040503050406030204" pitchFamily="18" charset="0"/>
                </a:rPr>
                <a:t>3%</a:t>
              </a:r>
              <a:r>
                <a:rPr lang="en-US" sz="1100" b="0" i="0">
                  <a:latin typeface="Cambria Math" panose="02040503050406030204" pitchFamily="18" charset="0"/>
                </a:rPr>
                <a:t>)+</a:t>
              </a:r>
              <a:r>
                <a:rPr lang="he-IL" sz="1100" b="0" i="0">
                  <a:latin typeface="Cambria Math" panose="02040503050406030204" pitchFamily="18" charset="0"/>
                </a:rPr>
                <a:t>100</a:t>
              </a:r>
              <a:r>
                <a:rPr lang="en-US" sz="1100" b="0" i="0">
                  <a:latin typeface="Cambria Math" panose="02040503050406030204" pitchFamily="18" charset="0"/>
                </a:rPr>
                <a:t>/(1+</a:t>
              </a:r>
              <a:r>
                <a:rPr lang="he-IL" sz="1100" b="0" i="0">
                  <a:latin typeface="Cambria Math" panose="02040503050406030204" pitchFamily="18" charset="0"/>
                </a:rPr>
                <a:t>3%</a:t>
              </a:r>
              <a:r>
                <a:rPr lang="en-US" sz="1100" b="0" i="0">
                  <a:latin typeface="Cambria Math" panose="02040503050406030204" pitchFamily="18" charset="0"/>
                </a:rPr>
                <a:t>)^</a:t>
              </a:r>
              <a:r>
                <a:rPr lang="he-IL" sz="1100" b="0" i="0">
                  <a:latin typeface="Cambria Math" panose="02040503050406030204" pitchFamily="18" charset="0"/>
                </a:rPr>
                <a:t>8</a:t>
              </a:r>
              <a:r>
                <a:rPr lang="en-US" sz="1100" b="0" i="0">
                  <a:latin typeface="Cambria Math" panose="02040503050406030204" pitchFamily="18" charset="0"/>
                </a:rPr>
                <a:t> </a:t>
              </a:r>
              <a:r>
                <a:rPr lang="he-IL" sz="1100" b="0" i="0">
                  <a:latin typeface="Cambria Math" panose="02040503050406030204" pitchFamily="18" charset="0"/>
                </a:rPr>
                <a:t>=114.04</a:t>
              </a:r>
              <a:endParaRPr lang="en-US" sz="1100"/>
            </a:p>
          </xdr:txBody>
        </xdr:sp>
      </mc:Fallback>
    </mc:AlternateContent>
    <xdr:clientData/>
  </xdr:oneCellAnchor>
  <xdr:oneCellAnchor>
    <xdr:from>
      <xdr:col>3</xdr:col>
      <xdr:colOff>276853</xdr:colOff>
      <xdr:row>92</xdr:row>
      <xdr:rowOff>120021</xdr:rowOff>
    </xdr:from>
    <xdr:ext cx="3033080" cy="484748"/>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92E7A46B-0475-1AFC-7C29-7D6FBAEF36E2}"/>
                </a:ext>
              </a:extLst>
            </xdr:cNvPr>
            <xdr:cNvSpPr txBox="1"/>
          </xdr:nvSpPr>
          <xdr:spPr>
            <a:xfrm>
              <a:off x="13512976864" y="14861907"/>
              <a:ext cx="303308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=5∗</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3%</m:t>
                                    </m:r>
                                  </m:e>
                                </m:d>
                              </m:e>
                              <m:sup>
                                <m:r>
                                  <a:rPr lang="he-IL" sz="1100" b="0" i="1">
                                    <a:latin typeface="Cambria Math" panose="02040503050406030204" pitchFamily="18" charset="0"/>
                                  </a:rPr>
                                  <m:t>7</m:t>
                                </m:r>
                              </m:sup>
                            </m:sSup>
                          </m:den>
                        </m:f>
                      </m:num>
                      <m:den>
                        <m:r>
                          <a:rPr lang="he-IL" sz="1100" b="0" i="1">
                            <a:latin typeface="Cambria Math" panose="02040503050406030204" pitchFamily="18" charset="0"/>
                          </a:rPr>
                          <m:t>3%</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he-IL" sz="1100" b="0" i="1">
                            <a:latin typeface="Cambria Math" panose="02040503050406030204" pitchFamily="18" charset="0"/>
                          </a:rPr>
                          <m:t>100</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3%</m:t>
                                </m:r>
                              </m:e>
                            </m:d>
                          </m:e>
                          <m:sup>
                            <m:r>
                              <a:rPr lang="he-IL" sz="1100" b="0" i="1">
                                <a:latin typeface="Cambria Math" panose="02040503050406030204" pitchFamily="18" charset="0"/>
                              </a:rPr>
                              <m:t>7</m:t>
                            </m:r>
                          </m:sup>
                        </m:sSup>
                      </m:den>
                    </m:f>
                    <m:r>
                      <a:rPr lang="he-IL" sz="1100" b="0" i="1">
                        <a:latin typeface="Cambria Math" panose="02040503050406030204" pitchFamily="18" charset="0"/>
                      </a:rPr>
                      <m:t>=112.46</m:t>
                    </m:r>
                  </m:oMath>
                </m:oMathPara>
              </a14:m>
              <a:endParaRPr lang="en-US" sz="1100"/>
            </a:p>
          </xdr:txBody>
        </xdr:sp>
      </mc:Choice>
      <mc:Fallback xmlns="">
        <xdr:sp macro="" textlink="">
          <xdr:nvSpPr>
            <xdr:cNvPr id="10" name="TextBox 9">
              <a:extLst>
                <a:ext uri="{FF2B5EF4-FFF2-40B4-BE49-F238E27FC236}">
                  <a16:creationId xmlns:a16="http://schemas.microsoft.com/office/drawing/2014/main" id="{92E7A46B-0475-1AFC-7C29-7D6FBAEF36E2}"/>
                </a:ext>
              </a:extLst>
            </xdr:cNvPr>
            <xdr:cNvSpPr txBox="1"/>
          </xdr:nvSpPr>
          <xdr:spPr>
            <a:xfrm>
              <a:off x="13512976864" y="14861907"/>
              <a:ext cx="303308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a:t>
              </a:r>
              <a:r>
                <a:rPr lang="he-IL" sz="1100" b="0" i="0">
                  <a:latin typeface="Cambria Math" panose="02040503050406030204" pitchFamily="18" charset="0"/>
                </a:rPr>
                <a:t>5</a:t>
              </a:r>
              <a:r>
                <a:rPr lang="en-US" sz="1100" b="0" i="0">
                  <a:latin typeface="Cambria Math" panose="02040503050406030204" pitchFamily="18" charset="0"/>
                </a:rPr>
                <a:t>∗(1−1/(1+</a:t>
              </a:r>
              <a:r>
                <a:rPr lang="he-IL" sz="1100" b="0" i="0">
                  <a:latin typeface="Cambria Math" panose="02040503050406030204" pitchFamily="18" charset="0"/>
                </a:rPr>
                <a:t>3%</a:t>
              </a:r>
              <a:r>
                <a:rPr lang="en-US" sz="1100" b="0" i="0">
                  <a:latin typeface="Cambria Math" panose="02040503050406030204" pitchFamily="18" charset="0"/>
                </a:rPr>
                <a:t>)^</a:t>
              </a:r>
              <a:r>
                <a:rPr lang="he-IL" sz="1100" b="0" i="0">
                  <a:latin typeface="Cambria Math" panose="02040503050406030204" pitchFamily="18" charset="0"/>
                </a:rPr>
                <a:t>7</a:t>
              </a:r>
              <a:r>
                <a:rPr lang="en-US" sz="1100" b="0" i="0">
                  <a:latin typeface="Cambria Math" panose="02040503050406030204" pitchFamily="18" charset="0"/>
                </a:rPr>
                <a:t> )/(</a:t>
              </a:r>
              <a:r>
                <a:rPr lang="he-IL" sz="1100" b="0" i="0">
                  <a:latin typeface="Cambria Math" panose="02040503050406030204" pitchFamily="18" charset="0"/>
                </a:rPr>
                <a:t>3%</a:t>
              </a:r>
              <a:r>
                <a:rPr lang="en-US" sz="1100" b="0" i="0">
                  <a:latin typeface="Cambria Math" panose="02040503050406030204" pitchFamily="18" charset="0"/>
                </a:rPr>
                <a:t>)+</a:t>
              </a:r>
              <a:r>
                <a:rPr lang="he-IL" sz="1100" b="0" i="0">
                  <a:latin typeface="Cambria Math" panose="02040503050406030204" pitchFamily="18" charset="0"/>
                </a:rPr>
                <a:t>100</a:t>
              </a:r>
              <a:r>
                <a:rPr lang="en-US" sz="1100" b="0" i="0">
                  <a:latin typeface="Cambria Math" panose="02040503050406030204" pitchFamily="18" charset="0"/>
                </a:rPr>
                <a:t>/(1+</a:t>
              </a:r>
              <a:r>
                <a:rPr lang="he-IL" sz="1100" b="0" i="0">
                  <a:latin typeface="Cambria Math" panose="02040503050406030204" pitchFamily="18" charset="0"/>
                </a:rPr>
                <a:t>3%</a:t>
              </a:r>
              <a:r>
                <a:rPr lang="en-US" sz="1100" b="0" i="0">
                  <a:latin typeface="Cambria Math" panose="02040503050406030204" pitchFamily="18" charset="0"/>
                </a:rPr>
                <a:t>)^</a:t>
              </a:r>
              <a:r>
                <a:rPr lang="he-IL" sz="1100" b="0" i="0">
                  <a:latin typeface="Cambria Math" panose="02040503050406030204" pitchFamily="18" charset="0"/>
                </a:rPr>
                <a:t>7</a:t>
              </a:r>
              <a:r>
                <a:rPr lang="en-US" sz="1100" b="0" i="0">
                  <a:latin typeface="Cambria Math" panose="02040503050406030204" pitchFamily="18" charset="0"/>
                </a:rPr>
                <a:t> </a:t>
              </a:r>
              <a:r>
                <a:rPr lang="he-IL" sz="1100" b="0" i="0">
                  <a:latin typeface="Cambria Math" panose="02040503050406030204" pitchFamily="18" charset="0"/>
                </a:rPr>
                <a:t>=112.46</a:t>
              </a:r>
              <a:endParaRPr lang="en-US" sz="1100"/>
            </a:p>
          </xdr:txBody>
        </xdr:sp>
      </mc:Fallback>
    </mc:AlternateContent>
    <xdr:clientData/>
  </xdr:oneCellAnchor>
  <xdr:oneCellAnchor>
    <xdr:from>
      <xdr:col>2</xdr:col>
      <xdr:colOff>784624</xdr:colOff>
      <xdr:row>110</xdr:row>
      <xdr:rowOff>91961</xdr:rowOff>
    </xdr:from>
    <xdr:ext cx="2531430" cy="17370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6449BA6D-0798-F4C3-2E5A-52AE1FBB0AC5}"/>
                </a:ext>
              </a:extLst>
            </xdr:cNvPr>
            <xdr:cNvSpPr txBox="1"/>
          </xdr:nvSpPr>
          <xdr:spPr>
            <a:xfrm>
              <a:off x="13513795862" y="18461332"/>
              <a:ext cx="2531430"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𝐴𝐶𝑇𝑈𝐴𝐿</m:t>
                        </m:r>
                      </m:sub>
                    </m:sSub>
                    <m:r>
                      <a:rPr lang="en-US" sz="1100" b="0" i="1">
                        <a:latin typeface="Cambria Math" panose="02040503050406030204" pitchFamily="18" charset="0"/>
                      </a:rPr>
                      <m:t>=</m:t>
                    </m:r>
                    <m:r>
                      <a:rPr lang="he-IL" sz="1100" b="0" i="1">
                        <a:latin typeface="Cambria Math" panose="02040503050406030204" pitchFamily="18" charset="0"/>
                      </a:rPr>
                      <m:t>112.46</m:t>
                    </m:r>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ea typeface="Cambria Math" panose="02040503050406030204" pitchFamily="18" charset="0"/>
                          </a:rPr>
                          <m:t>2%</m:t>
                        </m:r>
                      </m:e>
                    </m:d>
                    <m:r>
                      <a:rPr lang="he-IL" sz="1100" b="0" i="1">
                        <a:latin typeface="Cambria Math" panose="02040503050406030204" pitchFamily="18" charset="0"/>
                      </a:rPr>
                      <m:t>=</m:t>
                    </m:r>
                  </m:oMath>
                </m:oMathPara>
              </a14:m>
              <a:endParaRPr lang="en-US" sz="1100"/>
            </a:p>
          </xdr:txBody>
        </xdr:sp>
      </mc:Choice>
      <mc:Fallback xmlns="">
        <xdr:sp macro="" textlink="">
          <xdr:nvSpPr>
            <xdr:cNvPr id="11" name="TextBox 10">
              <a:extLst>
                <a:ext uri="{FF2B5EF4-FFF2-40B4-BE49-F238E27FC236}">
                  <a16:creationId xmlns:a16="http://schemas.microsoft.com/office/drawing/2014/main" id="{6449BA6D-0798-F4C3-2E5A-52AE1FBB0AC5}"/>
                </a:ext>
              </a:extLst>
            </xdr:cNvPr>
            <xdr:cNvSpPr txBox="1"/>
          </xdr:nvSpPr>
          <xdr:spPr>
            <a:xfrm>
              <a:off x="13513795862" y="18461332"/>
              <a:ext cx="2531430"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𝑃𝑉_𝐴𝐶𝑇𝑈𝐴𝐿=</a:t>
              </a:r>
              <a:r>
                <a:rPr lang="he-IL" sz="1100" b="0" i="0">
                  <a:latin typeface="Cambria Math" panose="02040503050406030204" pitchFamily="18" charset="0"/>
                </a:rPr>
                <a:t>112.46</a:t>
              </a:r>
              <a:r>
                <a:rPr lang="en-US" sz="1100" b="0" i="0">
                  <a:latin typeface="Cambria Math" panose="02040503050406030204" pitchFamily="18" charset="0"/>
                </a:rPr>
                <a:t>∗(1+</a:t>
              </a:r>
              <a:r>
                <a:rPr lang="he-IL" sz="1100" b="0" i="0">
                  <a:latin typeface="Cambria Math" panose="02040503050406030204" pitchFamily="18" charset="0"/>
                  <a:ea typeface="Cambria Math" panose="02040503050406030204" pitchFamily="18" charset="0"/>
                </a:rPr>
                <a:t>2%</a:t>
              </a:r>
              <a:r>
                <a:rPr lang="en-US" sz="1100" b="0" i="0">
                  <a:latin typeface="Cambria Math" panose="02040503050406030204" pitchFamily="18" charset="0"/>
                  <a:ea typeface="Cambria Math" panose="02040503050406030204" pitchFamily="18" charset="0"/>
                </a:rPr>
                <a:t>)</a:t>
              </a:r>
              <a:r>
                <a:rPr lang="he-IL" sz="1100" b="0" i="0">
                  <a:latin typeface="Cambria Math" panose="02040503050406030204" pitchFamily="18" charset="0"/>
                </a:rPr>
                <a:t>=</a:t>
              </a:r>
              <a:endParaRPr lang="en-US" sz="1100"/>
            </a:p>
          </xdr:txBody>
        </xdr:sp>
      </mc:Fallback>
    </mc:AlternateContent>
    <xdr:clientData/>
  </xdr:oneCellAnchor>
  <xdr:oneCellAnchor>
    <xdr:from>
      <xdr:col>2</xdr:col>
      <xdr:colOff>720596</xdr:colOff>
      <xdr:row>154</xdr:row>
      <xdr:rowOff>145950</xdr:rowOff>
    </xdr:from>
    <xdr:ext cx="3275644" cy="173702"/>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FBED26C-49E5-F4C4-B086-95D8CD20E5CD}"/>
                </a:ext>
              </a:extLst>
            </xdr:cNvPr>
            <xdr:cNvSpPr txBox="1"/>
          </xdr:nvSpPr>
          <xdr:spPr>
            <a:xfrm>
              <a:off x="13496517804" y="24761655"/>
              <a:ext cx="3275644"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he-IL" sz="1100" b="0" i="1">
                            <a:latin typeface="Cambria Math" panose="02040503050406030204" pitchFamily="18" charset="0"/>
                            <a:ea typeface="Cambria Math" panose="02040503050406030204" pitchFamily="18" charset="0"/>
                          </a:rPr>
                        </m:ctrlPr>
                      </m:sSubPr>
                      <m:e>
                        <m:r>
                          <a:rPr lang="en-US" sz="1100" i="1">
                            <a:latin typeface="Cambria Math" panose="02040503050406030204" pitchFamily="18" charset="0"/>
                            <a:ea typeface="Cambria Math" panose="02040503050406030204" pitchFamily="18" charset="0"/>
                          </a:rPr>
                          <m:t>𝜋</m:t>
                        </m:r>
                      </m:e>
                      <m:sub>
                        <m:r>
                          <a:rPr lang="he-IL" sz="1100" b="0" i="1">
                            <a:latin typeface="Cambria Math" panose="02040503050406030204" pitchFamily="18" charset="0"/>
                            <a:ea typeface="Cambria Math" panose="02040503050406030204" pitchFamily="18" charset="0"/>
                          </a:rPr>
                          <m:t>0..3</m:t>
                        </m:r>
                      </m:sub>
                    </m:sSub>
                    <m:r>
                      <a:rPr lang="he-IL" sz="1100" b="0" i="1">
                        <a:latin typeface="Cambria Math" panose="02040503050406030204" pitchFamily="18" charset="0"/>
                        <a:ea typeface="Cambria Math" panose="02040503050406030204" pitchFamily="18" charset="0"/>
                      </a:rPr>
                      <m:t>=</m:t>
                    </m:r>
                    <m:d>
                      <m:dPr>
                        <m:ctrlPr>
                          <a:rPr lang="he-IL" sz="1100" b="0" i="1">
                            <a:latin typeface="Cambria Math" panose="02040503050406030204" pitchFamily="18" charset="0"/>
                            <a:ea typeface="Cambria Math" panose="02040503050406030204" pitchFamily="18" charset="0"/>
                          </a:rPr>
                        </m:ctrlPr>
                      </m:dPr>
                      <m:e>
                        <m:r>
                          <a:rPr lang="he-IL" sz="1100" b="0" i="1">
                            <a:latin typeface="Cambria Math" panose="02040503050406030204" pitchFamily="18" charset="0"/>
                            <a:ea typeface="Cambria Math" panose="02040503050406030204" pitchFamily="18" charset="0"/>
                          </a:rPr>
                          <m:t>1+</m:t>
                        </m:r>
                        <m:sSub>
                          <m:sSubPr>
                            <m:ctrlPr>
                              <a:rPr lang="he-IL" sz="1100" b="0" i="1">
                                <a:latin typeface="Cambria Math" panose="02040503050406030204" pitchFamily="18" charset="0"/>
                                <a:ea typeface="Cambria Math" panose="02040503050406030204" pitchFamily="18" charset="0"/>
                              </a:rPr>
                            </m:ctrlPr>
                          </m:sSubPr>
                          <m:e>
                            <m:r>
                              <a:rPr lang="en-US" sz="1100" i="1">
                                <a:latin typeface="Cambria Math" panose="02040503050406030204" pitchFamily="18" charset="0"/>
                                <a:ea typeface="Cambria Math" panose="02040503050406030204" pitchFamily="18" charset="0"/>
                              </a:rPr>
                              <m:t>𝜋</m:t>
                            </m:r>
                          </m:e>
                          <m:sub>
                            <m:r>
                              <a:rPr lang="he-IL" sz="1100" b="0" i="1">
                                <a:latin typeface="Cambria Math" panose="02040503050406030204" pitchFamily="18" charset="0"/>
                                <a:ea typeface="Cambria Math" panose="02040503050406030204" pitchFamily="18" charset="0"/>
                              </a:rPr>
                              <m:t>1</m:t>
                            </m:r>
                          </m:sub>
                        </m:sSub>
                      </m:e>
                    </m:d>
                    <m:r>
                      <a:rPr lang="he-IL" sz="1100" b="0" i="1">
                        <a:latin typeface="Cambria Math" panose="02040503050406030204" pitchFamily="18" charset="0"/>
                        <a:ea typeface="Cambria Math" panose="02040503050406030204" pitchFamily="18" charset="0"/>
                      </a:rPr>
                      <m:t>∗</m:t>
                    </m:r>
                    <m:d>
                      <m:dPr>
                        <m:ctrlPr>
                          <a:rPr lang="he-IL" sz="1100" b="0" i="1">
                            <a:latin typeface="Cambria Math" panose="02040503050406030204" pitchFamily="18" charset="0"/>
                            <a:ea typeface="Cambria Math" panose="02040503050406030204" pitchFamily="18" charset="0"/>
                          </a:rPr>
                        </m:ctrlPr>
                      </m:dPr>
                      <m:e>
                        <m:r>
                          <a:rPr lang="he-IL" sz="1100" b="0" i="1">
                            <a:latin typeface="Cambria Math" panose="02040503050406030204" pitchFamily="18" charset="0"/>
                            <a:ea typeface="Cambria Math" panose="02040503050406030204" pitchFamily="18" charset="0"/>
                          </a:rPr>
                          <m:t>1+</m:t>
                        </m:r>
                        <m:sSub>
                          <m:sSubPr>
                            <m:ctrlPr>
                              <a:rPr lang="he-IL" sz="1100" b="0" i="1">
                                <a:latin typeface="Cambria Math" panose="02040503050406030204" pitchFamily="18" charset="0"/>
                                <a:ea typeface="Cambria Math" panose="02040503050406030204" pitchFamily="18" charset="0"/>
                              </a:rPr>
                            </m:ctrlPr>
                          </m:sSubPr>
                          <m:e>
                            <m:r>
                              <a:rPr lang="en-US" sz="1100" i="1">
                                <a:latin typeface="Cambria Math" panose="02040503050406030204" pitchFamily="18" charset="0"/>
                                <a:ea typeface="Cambria Math" panose="02040503050406030204" pitchFamily="18" charset="0"/>
                              </a:rPr>
                              <m:t>𝜋</m:t>
                            </m:r>
                          </m:e>
                          <m:sub>
                            <m:r>
                              <a:rPr lang="he-IL" sz="1100" b="0" i="1">
                                <a:latin typeface="Cambria Math" panose="02040503050406030204" pitchFamily="18" charset="0"/>
                                <a:ea typeface="Cambria Math" panose="02040503050406030204" pitchFamily="18" charset="0"/>
                              </a:rPr>
                              <m:t>2</m:t>
                            </m:r>
                          </m:sub>
                        </m:sSub>
                      </m:e>
                    </m:d>
                    <m:r>
                      <a:rPr lang="he-IL" sz="1100" b="0" i="1">
                        <a:latin typeface="Cambria Math" panose="02040503050406030204" pitchFamily="18" charset="0"/>
                        <a:ea typeface="Cambria Math" panose="02040503050406030204" pitchFamily="18" charset="0"/>
                      </a:rPr>
                      <m:t>∗…−1</m:t>
                    </m:r>
                  </m:oMath>
                </m:oMathPara>
              </a14:m>
              <a:endParaRPr lang="en-US" sz="1100"/>
            </a:p>
          </xdr:txBody>
        </xdr:sp>
      </mc:Choice>
      <mc:Fallback xmlns="">
        <xdr:sp macro="" textlink="">
          <xdr:nvSpPr>
            <xdr:cNvPr id="12" name="TextBox 11">
              <a:extLst>
                <a:ext uri="{FF2B5EF4-FFF2-40B4-BE49-F238E27FC236}">
                  <a16:creationId xmlns:a16="http://schemas.microsoft.com/office/drawing/2014/main" id="{7FBED26C-49E5-F4C4-B086-95D8CD20E5CD}"/>
                </a:ext>
              </a:extLst>
            </xdr:cNvPr>
            <xdr:cNvSpPr txBox="1"/>
          </xdr:nvSpPr>
          <xdr:spPr>
            <a:xfrm>
              <a:off x="13496517804" y="24761655"/>
              <a:ext cx="3275644"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_(0..3)=(1+</a:t>
              </a:r>
              <a:r>
                <a:rPr lang="en-US" sz="110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_1 )∗(1+</a:t>
              </a:r>
              <a:r>
                <a:rPr lang="en-US" sz="110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_2 )∗…−1</a:t>
              </a:r>
              <a:endParaRPr lang="en-US" sz="1100"/>
            </a:p>
          </xdr:txBody>
        </xdr:sp>
      </mc:Fallback>
    </mc:AlternateContent>
    <xdr:clientData/>
  </xdr:oneCellAnchor>
  <xdr:oneCellAnchor>
    <xdr:from>
      <xdr:col>3</xdr:col>
      <xdr:colOff>199060</xdr:colOff>
      <xdr:row>166</xdr:row>
      <xdr:rowOff>26514</xdr:rowOff>
    </xdr:from>
    <xdr:ext cx="3275644" cy="177164"/>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3DE5C2C2-D12C-92CE-FC2F-F67C83C26EEC}"/>
                </a:ext>
              </a:extLst>
            </xdr:cNvPr>
            <xdr:cNvSpPr txBox="1"/>
          </xdr:nvSpPr>
          <xdr:spPr>
            <a:xfrm>
              <a:off x="13496215233" y="25251342"/>
              <a:ext cx="3275644" cy="1771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he-IL" sz="1100" b="0" i="1">
                            <a:latin typeface="Cambria Math" panose="02040503050406030204" pitchFamily="18" charset="0"/>
                            <a:ea typeface="Cambria Math" panose="02040503050406030204" pitchFamily="18" charset="0"/>
                          </a:rPr>
                        </m:ctrlPr>
                      </m:sSubPr>
                      <m:e>
                        <m:r>
                          <a:rPr lang="en-US" sz="1100" i="1">
                            <a:latin typeface="Cambria Math" panose="02040503050406030204" pitchFamily="18" charset="0"/>
                            <a:ea typeface="Cambria Math" panose="02040503050406030204" pitchFamily="18" charset="0"/>
                          </a:rPr>
                          <m:t>𝜋</m:t>
                        </m:r>
                      </m:e>
                      <m:sub>
                        <m:r>
                          <a:rPr lang="he-IL" sz="1100" b="0" i="1">
                            <a:latin typeface="Cambria Math" panose="02040503050406030204" pitchFamily="18" charset="0"/>
                            <a:ea typeface="Cambria Math" panose="02040503050406030204" pitchFamily="18" charset="0"/>
                          </a:rPr>
                          <m:t>0..3</m:t>
                        </m:r>
                      </m:sub>
                    </m:sSub>
                    <m:r>
                      <a:rPr lang="he-IL" sz="1100" b="0" i="1">
                        <a:latin typeface="Cambria Math" panose="02040503050406030204" pitchFamily="18" charset="0"/>
                        <a:ea typeface="Cambria Math" panose="02040503050406030204" pitchFamily="18" charset="0"/>
                      </a:rPr>
                      <m:t>=</m:t>
                    </m:r>
                    <m:d>
                      <m:dPr>
                        <m:ctrlPr>
                          <a:rPr lang="he-IL" sz="1100" b="0" i="1">
                            <a:latin typeface="Cambria Math" panose="02040503050406030204" pitchFamily="18" charset="0"/>
                            <a:ea typeface="Cambria Math" panose="02040503050406030204" pitchFamily="18" charset="0"/>
                          </a:rPr>
                        </m:ctrlPr>
                      </m:dPr>
                      <m:e>
                        <m:r>
                          <a:rPr lang="he-IL" sz="1100" b="0" i="1">
                            <a:latin typeface="Cambria Math" panose="02040503050406030204" pitchFamily="18" charset="0"/>
                            <a:ea typeface="Cambria Math" panose="02040503050406030204" pitchFamily="18" charset="0"/>
                          </a:rPr>
                          <m:t>1+14%</m:t>
                        </m:r>
                      </m:e>
                    </m:d>
                    <m:r>
                      <a:rPr lang="he-IL" sz="1100" b="0" i="1">
                        <a:latin typeface="Cambria Math" panose="02040503050406030204" pitchFamily="18" charset="0"/>
                        <a:ea typeface="Cambria Math" panose="02040503050406030204" pitchFamily="18" charset="0"/>
                      </a:rPr>
                      <m:t>∗</m:t>
                    </m:r>
                    <m:sSup>
                      <m:sSupPr>
                        <m:ctrlPr>
                          <a:rPr lang="he-IL" sz="1100" b="0" i="1">
                            <a:latin typeface="Cambria Math" panose="02040503050406030204" pitchFamily="18" charset="0"/>
                            <a:ea typeface="Cambria Math" panose="02040503050406030204" pitchFamily="18" charset="0"/>
                          </a:rPr>
                        </m:ctrlPr>
                      </m:sSupPr>
                      <m:e>
                        <m:d>
                          <m:dPr>
                            <m:ctrlPr>
                              <a:rPr lang="he-IL" sz="1100" b="0" i="1">
                                <a:latin typeface="Cambria Math" panose="02040503050406030204" pitchFamily="18" charset="0"/>
                                <a:ea typeface="Cambria Math" panose="02040503050406030204" pitchFamily="18" charset="0"/>
                              </a:rPr>
                            </m:ctrlPr>
                          </m:dPr>
                          <m:e>
                            <m:r>
                              <a:rPr lang="he-IL" sz="1100" b="0" i="1">
                                <a:latin typeface="Cambria Math" panose="02040503050406030204" pitchFamily="18" charset="0"/>
                                <a:ea typeface="Cambria Math" panose="02040503050406030204" pitchFamily="18" charset="0"/>
                              </a:rPr>
                              <m:t>1+12%</m:t>
                            </m:r>
                          </m:e>
                        </m:d>
                      </m:e>
                      <m:sup>
                        <m:r>
                          <a:rPr lang="he-IL" sz="1100" b="0" i="1">
                            <a:latin typeface="Cambria Math" panose="02040503050406030204" pitchFamily="18" charset="0"/>
                            <a:ea typeface="Cambria Math" panose="02040503050406030204" pitchFamily="18" charset="0"/>
                          </a:rPr>
                          <m:t>2</m:t>
                        </m:r>
                      </m:sup>
                    </m:sSup>
                    <m:r>
                      <a:rPr lang="he-IL" sz="1100" b="0" i="1">
                        <a:latin typeface="Cambria Math" panose="02040503050406030204" pitchFamily="18" charset="0"/>
                        <a:ea typeface="Cambria Math" panose="02040503050406030204" pitchFamily="18" charset="0"/>
                      </a:rPr>
                      <m:t>−1=</m:t>
                    </m:r>
                  </m:oMath>
                </m:oMathPara>
              </a14:m>
              <a:endParaRPr lang="en-US" sz="1100"/>
            </a:p>
          </xdr:txBody>
        </xdr:sp>
      </mc:Choice>
      <mc:Fallback xmlns="">
        <xdr:sp macro="" textlink="">
          <xdr:nvSpPr>
            <xdr:cNvPr id="13" name="TextBox 12">
              <a:extLst>
                <a:ext uri="{FF2B5EF4-FFF2-40B4-BE49-F238E27FC236}">
                  <a16:creationId xmlns:a16="http://schemas.microsoft.com/office/drawing/2014/main" id="{3DE5C2C2-D12C-92CE-FC2F-F67C83C26EEC}"/>
                </a:ext>
              </a:extLst>
            </xdr:cNvPr>
            <xdr:cNvSpPr txBox="1"/>
          </xdr:nvSpPr>
          <xdr:spPr>
            <a:xfrm>
              <a:off x="13496215233" y="25251342"/>
              <a:ext cx="3275644" cy="1771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_(0..3)=(1+14%)∗(1+12%)^2−1=</a:t>
              </a:r>
              <a:endParaRPr lang="en-US" sz="1100"/>
            </a:p>
          </xdr:txBody>
        </xdr:sp>
      </mc:Fallback>
    </mc:AlternateContent>
    <xdr:clientData/>
  </xdr:oneCellAnchor>
  <xdr:twoCellAnchor editAs="oneCell">
    <xdr:from>
      <xdr:col>8</xdr:col>
      <xdr:colOff>519737</xdr:colOff>
      <xdr:row>195</xdr:row>
      <xdr:rowOff>201188</xdr:rowOff>
    </xdr:from>
    <xdr:to>
      <xdr:col>10</xdr:col>
      <xdr:colOff>13497</xdr:colOff>
      <xdr:row>202</xdr:row>
      <xdr:rowOff>56419</xdr:rowOff>
    </xdr:to>
    <xdr:pic>
      <xdr:nvPicPr>
        <xdr:cNvPr id="14" name="Picture 13">
          <a:extLst>
            <a:ext uri="{FF2B5EF4-FFF2-40B4-BE49-F238E27FC236}">
              <a16:creationId xmlns:a16="http://schemas.microsoft.com/office/drawing/2014/main" id="{F1403935-4AE8-76B9-F14F-68A253AED9BA}"/>
            </a:ext>
          </a:extLst>
        </xdr:cNvPr>
        <xdr:cNvPicPr>
          <a:picLocks noChangeAspect="1"/>
        </xdr:cNvPicPr>
      </xdr:nvPicPr>
      <xdr:blipFill>
        <a:blip xmlns:r="http://schemas.openxmlformats.org/officeDocument/2006/relationships" r:embed="rId1"/>
        <a:stretch>
          <a:fillRect/>
        </a:stretch>
      </xdr:blipFill>
      <xdr:spPr>
        <a:xfrm>
          <a:off x="13520155018" y="29692013"/>
          <a:ext cx="1145179" cy="1297079"/>
        </a:xfrm>
        <a:prstGeom prst="rect">
          <a:avLst/>
        </a:prstGeom>
      </xdr:spPr>
    </xdr:pic>
    <xdr:clientData/>
  </xdr:twoCellAnchor>
  <xdr:twoCellAnchor>
    <xdr:from>
      <xdr:col>10</xdr:col>
      <xdr:colOff>87586</xdr:colOff>
      <xdr:row>195</xdr:row>
      <xdr:rowOff>143323</xdr:rowOff>
    </xdr:from>
    <xdr:to>
      <xdr:col>11</xdr:col>
      <xdr:colOff>449875</xdr:colOff>
      <xdr:row>198</xdr:row>
      <xdr:rowOff>35830</xdr:rowOff>
    </xdr:to>
    <xdr:sp macro="" textlink="">
      <xdr:nvSpPr>
        <xdr:cNvPr id="15" name="Rectangular Callout 14">
          <a:extLst>
            <a:ext uri="{FF2B5EF4-FFF2-40B4-BE49-F238E27FC236}">
              <a16:creationId xmlns:a16="http://schemas.microsoft.com/office/drawing/2014/main" id="{29AC220F-4BEC-2D68-9C37-64BB34A98327}"/>
            </a:ext>
          </a:extLst>
        </xdr:cNvPr>
        <xdr:cNvSpPr/>
      </xdr:nvSpPr>
      <xdr:spPr>
        <a:xfrm>
          <a:off x="13492647210" y="29058715"/>
          <a:ext cx="1186395" cy="513573"/>
        </a:xfrm>
        <a:prstGeom prst="wedgeRectCallout">
          <a:avLst>
            <a:gd name="adj1" fmla="val 60355"/>
            <a:gd name="adj2" fmla="val 28172"/>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בחרו</a:t>
          </a:r>
          <a:r>
            <a:rPr lang="he-IL" sz="1100" baseline="0"/>
            <a:t> בדרך הנוחה לכם לפתרון</a:t>
          </a:r>
          <a:endParaRPr lang="en-US" sz="1100"/>
        </a:p>
      </xdr:txBody>
    </xdr:sp>
    <xdr:clientData/>
  </xdr:twoCellAnchor>
  <xdr:twoCellAnchor>
    <xdr:from>
      <xdr:col>8</xdr:col>
      <xdr:colOff>3981</xdr:colOff>
      <xdr:row>196</xdr:row>
      <xdr:rowOff>87586</xdr:rowOff>
    </xdr:from>
    <xdr:to>
      <xdr:col>8</xdr:col>
      <xdr:colOff>519737</xdr:colOff>
      <xdr:row>199</xdr:row>
      <xdr:rowOff>11444</xdr:rowOff>
    </xdr:to>
    <xdr:cxnSp macro="">
      <xdr:nvCxnSpPr>
        <xdr:cNvPr id="17" name="Straight Arrow Connector 16">
          <a:extLst>
            <a:ext uri="{FF2B5EF4-FFF2-40B4-BE49-F238E27FC236}">
              <a16:creationId xmlns:a16="http://schemas.microsoft.com/office/drawing/2014/main" id="{DAAE91E6-0E21-B015-B50E-E3354C852156}"/>
            </a:ext>
          </a:extLst>
        </xdr:cNvPr>
        <xdr:cNvCxnSpPr>
          <a:endCxn id="14" idx="3"/>
        </xdr:cNvCxnSpPr>
      </xdr:nvCxnSpPr>
      <xdr:spPr>
        <a:xfrm flipH="1">
          <a:off x="13521300197" y="29779599"/>
          <a:ext cx="515756" cy="560954"/>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804200</xdr:colOff>
      <xdr:row>199</xdr:row>
      <xdr:rowOff>11444</xdr:rowOff>
    </xdr:from>
    <xdr:to>
      <xdr:col>8</xdr:col>
      <xdr:colOff>519737</xdr:colOff>
      <xdr:row>200</xdr:row>
      <xdr:rowOff>155266</xdr:rowOff>
    </xdr:to>
    <xdr:cxnSp macro="">
      <xdr:nvCxnSpPr>
        <xdr:cNvPr id="18" name="Straight Arrow Connector 17">
          <a:extLst>
            <a:ext uri="{FF2B5EF4-FFF2-40B4-BE49-F238E27FC236}">
              <a16:creationId xmlns:a16="http://schemas.microsoft.com/office/drawing/2014/main" id="{2369D4C0-CE34-AB62-335B-AB2F88EA6BC5}"/>
            </a:ext>
          </a:extLst>
        </xdr:cNvPr>
        <xdr:cNvCxnSpPr>
          <a:endCxn id="14" idx="3"/>
        </xdr:cNvCxnSpPr>
      </xdr:nvCxnSpPr>
      <xdr:spPr>
        <a:xfrm flipH="1" flipV="1">
          <a:off x="13521300197" y="30340553"/>
          <a:ext cx="541247" cy="34501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7</xdr:col>
      <xdr:colOff>449874</xdr:colOff>
      <xdr:row>248</xdr:row>
      <xdr:rowOff>2627</xdr:rowOff>
    </xdr:from>
    <xdr:ext cx="2352008" cy="173702"/>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4CBAF917-1493-5AF3-4C9F-1A58354E1EE3}"/>
                </a:ext>
              </a:extLst>
            </xdr:cNvPr>
            <xdr:cNvSpPr txBox="1"/>
          </xdr:nvSpPr>
          <xdr:spPr>
            <a:xfrm>
              <a:off x="13493591629" y="34865919"/>
              <a:ext cx="2352008"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he-IL" sz="1100" b="0" i="1">
                            <a:latin typeface="Cambria Math" panose="02040503050406030204" pitchFamily="18" charset="0"/>
                            <a:ea typeface="Cambria Math" panose="02040503050406030204" pitchFamily="18" charset="0"/>
                          </a:rPr>
                        </m:ctrlPr>
                      </m:sSubPr>
                      <m:e>
                        <m:r>
                          <a:rPr lang="en-US" sz="1100" i="1">
                            <a:latin typeface="Cambria Math" panose="02040503050406030204" pitchFamily="18" charset="0"/>
                            <a:ea typeface="Cambria Math" panose="02040503050406030204" pitchFamily="18" charset="0"/>
                          </a:rPr>
                          <m:t>𝜋</m:t>
                        </m:r>
                      </m:e>
                      <m:sub>
                        <m:r>
                          <a:rPr lang="he-IL" sz="1100" b="0" i="1">
                            <a:latin typeface="Cambria Math" panose="02040503050406030204" pitchFamily="18" charset="0"/>
                            <a:ea typeface="Cambria Math" panose="02040503050406030204" pitchFamily="18" charset="0"/>
                          </a:rPr>
                          <m:t>0..4</m:t>
                        </m:r>
                      </m:sub>
                    </m:sSub>
                    <m:r>
                      <a:rPr lang="he-IL" sz="1100" b="0" i="1">
                        <a:latin typeface="Cambria Math" panose="02040503050406030204" pitchFamily="18" charset="0"/>
                        <a:ea typeface="Cambria Math" panose="02040503050406030204" pitchFamily="18" charset="0"/>
                      </a:rPr>
                      <m:t>=</m:t>
                    </m:r>
                    <m:d>
                      <m:dPr>
                        <m:ctrlPr>
                          <a:rPr lang="he-IL" sz="1100" b="0" i="1">
                            <a:latin typeface="Cambria Math" panose="02040503050406030204" pitchFamily="18" charset="0"/>
                            <a:ea typeface="Cambria Math" panose="02040503050406030204" pitchFamily="18" charset="0"/>
                          </a:rPr>
                        </m:ctrlPr>
                      </m:dPr>
                      <m:e>
                        <m:sSub>
                          <m:sSubPr>
                            <m:ctrlPr>
                              <a:rPr lang="he-IL" sz="1100" b="0" i="1">
                                <a:latin typeface="Cambria Math" panose="02040503050406030204" pitchFamily="18" charset="0"/>
                                <a:ea typeface="Cambria Math" panose="02040503050406030204" pitchFamily="18" charset="0"/>
                              </a:rPr>
                            </m:ctrlPr>
                          </m:sSubPr>
                          <m:e>
                            <m:r>
                              <a:rPr lang="he-IL" sz="1100" b="0" i="1">
                                <a:latin typeface="Cambria Math" panose="02040503050406030204" pitchFamily="18" charset="0"/>
                                <a:ea typeface="Cambria Math" panose="02040503050406030204" pitchFamily="18" charset="0"/>
                              </a:rPr>
                              <m:t>1+</m:t>
                            </m:r>
                            <m:r>
                              <a:rPr lang="en-US" sz="1100" i="1">
                                <a:latin typeface="Cambria Math" panose="02040503050406030204" pitchFamily="18" charset="0"/>
                                <a:ea typeface="Cambria Math" panose="02040503050406030204" pitchFamily="18" charset="0"/>
                              </a:rPr>
                              <m:t>𝜋</m:t>
                            </m:r>
                          </m:e>
                          <m:sub>
                            <m:r>
                              <a:rPr lang="he-IL" sz="1100" b="0" i="1">
                                <a:latin typeface="Cambria Math" panose="02040503050406030204" pitchFamily="18" charset="0"/>
                                <a:ea typeface="Cambria Math" panose="02040503050406030204" pitchFamily="18" charset="0"/>
                              </a:rPr>
                              <m:t>0..3</m:t>
                            </m:r>
                          </m:sub>
                        </m:sSub>
                      </m:e>
                    </m:d>
                    <m:r>
                      <a:rPr lang="he-IL" sz="1100" b="0" i="1">
                        <a:latin typeface="Cambria Math" panose="02040503050406030204" pitchFamily="18" charset="0"/>
                        <a:ea typeface="Cambria Math" panose="02040503050406030204" pitchFamily="18" charset="0"/>
                      </a:rPr>
                      <m:t>∗</m:t>
                    </m:r>
                    <m:d>
                      <m:dPr>
                        <m:ctrlPr>
                          <a:rPr lang="he-IL" sz="1100" b="0" i="1">
                            <a:latin typeface="Cambria Math" panose="02040503050406030204" pitchFamily="18" charset="0"/>
                            <a:ea typeface="Cambria Math" panose="02040503050406030204" pitchFamily="18" charset="0"/>
                          </a:rPr>
                        </m:ctrlPr>
                      </m:dPr>
                      <m:e>
                        <m:r>
                          <a:rPr lang="he-IL" sz="1100" b="0" i="1">
                            <a:latin typeface="Cambria Math" panose="02040503050406030204" pitchFamily="18" charset="0"/>
                            <a:ea typeface="Cambria Math" panose="02040503050406030204" pitchFamily="18" charset="0"/>
                          </a:rPr>
                          <m:t>1+</m:t>
                        </m:r>
                        <m:sSub>
                          <m:sSubPr>
                            <m:ctrlPr>
                              <a:rPr lang="he-IL" sz="1100" b="0" i="1">
                                <a:latin typeface="Cambria Math" panose="02040503050406030204" pitchFamily="18" charset="0"/>
                                <a:ea typeface="Cambria Math" panose="02040503050406030204" pitchFamily="18" charset="0"/>
                              </a:rPr>
                            </m:ctrlPr>
                          </m:sSubPr>
                          <m:e>
                            <m:r>
                              <a:rPr lang="en-US" sz="1100" i="1">
                                <a:latin typeface="Cambria Math" panose="02040503050406030204" pitchFamily="18" charset="0"/>
                                <a:ea typeface="Cambria Math" panose="02040503050406030204" pitchFamily="18" charset="0"/>
                              </a:rPr>
                              <m:t>𝜋</m:t>
                            </m:r>
                          </m:e>
                          <m:sub>
                            <m:r>
                              <a:rPr lang="he-IL" sz="1100" b="0" i="1">
                                <a:latin typeface="Cambria Math" panose="02040503050406030204" pitchFamily="18" charset="0"/>
                                <a:ea typeface="Cambria Math" panose="02040503050406030204" pitchFamily="18" charset="0"/>
                              </a:rPr>
                              <m:t>4</m:t>
                            </m:r>
                          </m:sub>
                        </m:sSub>
                      </m:e>
                    </m:d>
                    <m:r>
                      <a:rPr lang="he-IL" sz="1100" b="0" i="1">
                        <a:latin typeface="Cambria Math" panose="02040503050406030204" pitchFamily="18" charset="0"/>
                        <a:ea typeface="Cambria Math" panose="02040503050406030204" pitchFamily="18" charset="0"/>
                      </a:rPr>
                      <m:t>−1</m:t>
                    </m:r>
                  </m:oMath>
                </m:oMathPara>
              </a14:m>
              <a:endParaRPr lang="en-US" sz="1100"/>
            </a:p>
          </xdr:txBody>
        </xdr:sp>
      </mc:Choice>
      <mc:Fallback xmlns="">
        <xdr:sp macro="" textlink="">
          <xdr:nvSpPr>
            <xdr:cNvPr id="20" name="TextBox 19">
              <a:extLst>
                <a:ext uri="{FF2B5EF4-FFF2-40B4-BE49-F238E27FC236}">
                  <a16:creationId xmlns:a16="http://schemas.microsoft.com/office/drawing/2014/main" id="{4CBAF917-1493-5AF3-4C9F-1A58354E1EE3}"/>
                </a:ext>
              </a:extLst>
            </xdr:cNvPr>
            <xdr:cNvSpPr txBox="1"/>
          </xdr:nvSpPr>
          <xdr:spPr>
            <a:xfrm>
              <a:off x="13493591629" y="34865919"/>
              <a:ext cx="2352008"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_(0..4)=(〖1+</a:t>
              </a:r>
              <a:r>
                <a:rPr lang="en-US" sz="110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〗_(0..3) )∗(1+</a:t>
              </a:r>
              <a:r>
                <a:rPr lang="en-US" sz="110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_4 )−1</a:t>
              </a:r>
              <a:endParaRPr lang="en-US" sz="1100"/>
            </a:p>
          </xdr:txBody>
        </xdr:sp>
      </mc:Fallback>
    </mc:AlternateContent>
    <xdr:clientData/>
  </xdr:oneCellAnchor>
  <xdr:oneCellAnchor>
    <xdr:from>
      <xdr:col>7</xdr:col>
      <xdr:colOff>485705</xdr:colOff>
      <xdr:row>250</xdr:row>
      <xdr:rowOff>98176</xdr:rowOff>
    </xdr:from>
    <xdr:ext cx="2352008" cy="173702"/>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D9542264-7580-3201-859A-45A3DE518B7F}"/>
                </a:ext>
              </a:extLst>
            </xdr:cNvPr>
            <xdr:cNvSpPr txBox="1"/>
          </xdr:nvSpPr>
          <xdr:spPr>
            <a:xfrm>
              <a:off x="13493555798" y="35367549"/>
              <a:ext cx="2352008"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he-IL" sz="1100" b="0" i="1">
                            <a:latin typeface="Cambria Math" panose="02040503050406030204" pitchFamily="18" charset="0"/>
                            <a:ea typeface="Cambria Math" panose="02040503050406030204" pitchFamily="18" charset="0"/>
                          </a:rPr>
                        </m:ctrlPr>
                      </m:sSubPr>
                      <m:e>
                        <m:r>
                          <a:rPr lang="en-US" sz="1100" i="1">
                            <a:latin typeface="Cambria Math" panose="02040503050406030204" pitchFamily="18" charset="0"/>
                            <a:ea typeface="Cambria Math" panose="02040503050406030204" pitchFamily="18" charset="0"/>
                          </a:rPr>
                          <m:t>𝜋</m:t>
                        </m:r>
                      </m:e>
                      <m:sub>
                        <m:r>
                          <a:rPr lang="he-IL" sz="1100" b="0" i="1">
                            <a:latin typeface="Cambria Math" panose="02040503050406030204" pitchFamily="18" charset="0"/>
                            <a:ea typeface="Cambria Math" panose="02040503050406030204" pitchFamily="18" charset="0"/>
                          </a:rPr>
                          <m:t>0..4</m:t>
                        </m:r>
                      </m:sub>
                    </m:sSub>
                    <m:r>
                      <a:rPr lang="he-IL" sz="1100" b="0" i="1">
                        <a:latin typeface="Cambria Math" panose="02040503050406030204" pitchFamily="18" charset="0"/>
                        <a:ea typeface="Cambria Math" panose="02040503050406030204" pitchFamily="18" charset="0"/>
                      </a:rPr>
                      <m:t>=</m:t>
                    </m:r>
                    <m:d>
                      <m:dPr>
                        <m:ctrlPr>
                          <a:rPr lang="he-IL" sz="1100" b="0" i="1">
                            <a:latin typeface="Cambria Math" panose="02040503050406030204" pitchFamily="18" charset="0"/>
                            <a:ea typeface="Cambria Math" panose="02040503050406030204" pitchFamily="18" charset="0"/>
                          </a:rPr>
                        </m:ctrlPr>
                      </m:dPr>
                      <m:e>
                        <m:r>
                          <a:rPr lang="he-IL" sz="1100" b="0" i="1">
                            <a:latin typeface="Cambria Math" panose="02040503050406030204" pitchFamily="18" charset="0"/>
                            <a:ea typeface="Cambria Math" panose="02040503050406030204" pitchFamily="18" charset="0"/>
                          </a:rPr>
                          <m:t>1+43%</m:t>
                        </m:r>
                      </m:e>
                    </m:d>
                    <m:r>
                      <a:rPr lang="he-IL" sz="1100" b="0" i="1">
                        <a:latin typeface="Cambria Math" panose="02040503050406030204" pitchFamily="18" charset="0"/>
                        <a:ea typeface="Cambria Math" panose="02040503050406030204" pitchFamily="18" charset="0"/>
                      </a:rPr>
                      <m:t>∗</m:t>
                    </m:r>
                    <m:d>
                      <m:dPr>
                        <m:ctrlPr>
                          <a:rPr lang="he-IL" sz="1100" b="0" i="1">
                            <a:latin typeface="Cambria Math" panose="02040503050406030204" pitchFamily="18" charset="0"/>
                            <a:ea typeface="Cambria Math" panose="02040503050406030204" pitchFamily="18" charset="0"/>
                          </a:rPr>
                        </m:ctrlPr>
                      </m:dPr>
                      <m:e>
                        <m:r>
                          <a:rPr lang="he-IL" sz="1100" b="0" i="1">
                            <a:latin typeface="Cambria Math" panose="02040503050406030204" pitchFamily="18" charset="0"/>
                            <a:ea typeface="Cambria Math" panose="02040503050406030204" pitchFamily="18" charset="0"/>
                          </a:rPr>
                          <m:t>1+8%</m:t>
                        </m:r>
                      </m:e>
                    </m:d>
                    <m:r>
                      <a:rPr lang="he-IL" sz="1100" b="0" i="1">
                        <a:latin typeface="Cambria Math" panose="02040503050406030204" pitchFamily="18" charset="0"/>
                        <a:ea typeface="Cambria Math" panose="02040503050406030204" pitchFamily="18" charset="0"/>
                      </a:rPr>
                      <m:t>−1=</m:t>
                    </m:r>
                  </m:oMath>
                </m:oMathPara>
              </a14:m>
              <a:endParaRPr lang="en-US" sz="1100"/>
            </a:p>
          </xdr:txBody>
        </xdr:sp>
      </mc:Choice>
      <mc:Fallback xmlns="">
        <xdr:sp macro="" textlink="">
          <xdr:nvSpPr>
            <xdr:cNvPr id="21" name="TextBox 20">
              <a:extLst>
                <a:ext uri="{FF2B5EF4-FFF2-40B4-BE49-F238E27FC236}">
                  <a16:creationId xmlns:a16="http://schemas.microsoft.com/office/drawing/2014/main" id="{D9542264-7580-3201-859A-45A3DE518B7F}"/>
                </a:ext>
              </a:extLst>
            </xdr:cNvPr>
            <xdr:cNvSpPr txBox="1"/>
          </xdr:nvSpPr>
          <xdr:spPr>
            <a:xfrm>
              <a:off x="13493555798" y="35367549"/>
              <a:ext cx="2352008"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_(0..4)=(1+43%)∗(1+8%)−1=</a:t>
              </a:r>
              <a:endParaRPr lang="en-US" sz="1100"/>
            </a:p>
          </xdr:txBody>
        </xdr:sp>
      </mc:Fallback>
    </mc:AlternateContent>
    <xdr:clientData/>
  </xdr:oneCellAnchor>
  <xdr:twoCellAnchor editAs="oneCell">
    <xdr:from>
      <xdr:col>5</xdr:col>
      <xdr:colOff>424824</xdr:colOff>
      <xdr:row>231</xdr:row>
      <xdr:rowOff>161711</xdr:rowOff>
    </xdr:from>
    <xdr:to>
      <xdr:col>5</xdr:col>
      <xdr:colOff>622552</xdr:colOff>
      <xdr:row>233</xdr:row>
      <xdr:rowOff>17100</xdr:rowOff>
    </xdr:to>
    <xdr:pic>
      <xdr:nvPicPr>
        <xdr:cNvPr id="22" name="Picture 21">
          <a:extLst>
            <a:ext uri="{FF2B5EF4-FFF2-40B4-BE49-F238E27FC236}">
              <a16:creationId xmlns:a16="http://schemas.microsoft.com/office/drawing/2014/main" id="{C4BF517A-C5BD-0AE8-7805-A60F3F45EDD6}"/>
            </a:ext>
          </a:extLst>
        </xdr:cNvPr>
        <xdr:cNvPicPr>
          <a:picLocks noChangeAspect="1"/>
        </xdr:cNvPicPr>
      </xdr:nvPicPr>
      <xdr:blipFill>
        <a:blip xmlns:r="http://schemas.openxmlformats.org/officeDocument/2006/relationships" r:embed="rId2"/>
        <a:stretch>
          <a:fillRect/>
        </a:stretch>
      </xdr:blipFill>
      <xdr:spPr>
        <a:xfrm>
          <a:off x="13550058328" y="46914704"/>
          <a:ext cx="197728" cy="257854"/>
        </a:xfrm>
        <a:prstGeom prst="rect">
          <a:avLst/>
        </a:prstGeom>
      </xdr:spPr>
    </xdr:pic>
    <xdr:clientData/>
  </xdr:twoCellAnchor>
  <xdr:oneCellAnchor>
    <xdr:from>
      <xdr:col>4</xdr:col>
      <xdr:colOff>207023</xdr:colOff>
      <xdr:row>300</xdr:row>
      <xdr:rowOff>50401</xdr:rowOff>
    </xdr:from>
    <xdr:ext cx="1802602" cy="180507"/>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33993FA3-2B32-EE6F-9156-988670AAC146}"/>
                </a:ext>
              </a:extLst>
            </xdr:cNvPr>
            <xdr:cNvSpPr txBox="1"/>
          </xdr:nvSpPr>
          <xdr:spPr>
            <a:xfrm>
              <a:off x="13496856206" y="42020119"/>
              <a:ext cx="1802602" cy="1805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r>
                      <a:rPr lang="en-US" sz="1100" b="0" i="1">
                        <a:latin typeface="Cambria Math" panose="02040503050406030204" pitchFamily="18" charset="0"/>
                      </a:rPr>
                      <m:t>−1</m:t>
                    </m:r>
                  </m:oMath>
                </m:oMathPara>
              </a14:m>
              <a:endParaRPr lang="en-US" sz="1100"/>
            </a:p>
          </xdr:txBody>
        </xdr:sp>
      </mc:Choice>
      <mc:Fallback xmlns="">
        <xdr:sp macro="" textlink="">
          <xdr:nvSpPr>
            <xdr:cNvPr id="23" name="TextBox 22">
              <a:extLst>
                <a:ext uri="{FF2B5EF4-FFF2-40B4-BE49-F238E27FC236}">
                  <a16:creationId xmlns:a16="http://schemas.microsoft.com/office/drawing/2014/main" id="{33993FA3-2B32-EE6F-9156-988670AAC146}"/>
                </a:ext>
              </a:extLst>
            </xdr:cNvPr>
            <xdr:cNvSpPr txBox="1"/>
          </xdr:nvSpPr>
          <xdr:spPr>
            <a:xfrm>
              <a:off x="13496856206" y="42020119"/>
              <a:ext cx="1802602" cy="1805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𝑟_𝑒=(1+𝑟)^𝑛−1</a:t>
              </a:r>
              <a:endParaRPr lang="en-US" sz="1100"/>
            </a:p>
          </xdr:txBody>
        </xdr:sp>
      </mc:Fallback>
    </mc:AlternateContent>
    <xdr:clientData/>
  </xdr:oneCellAnchor>
  <xdr:oneCellAnchor>
    <xdr:from>
      <xdr:col>3</xdr:col>
      <xdr:colOff>414044</xdr:colOff>
      <xdr:row>302</xdr:row>
      <xdr:rowOff>62345</xdr:rowOff>
    </xdr:from>
    <xdr:ext cx="3073479" cy="321563"/>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DFE6CF5A-2258-37B3-D5C5-1C2E34B33ED1}"/>
                </a:ext>
              </a:extLst>
            </xdr:cNvPr>
            <xdr:cNvSpPr txBox="1"/>
          </xdr:nvSpPr>
          <xdr:spPr>
            <a:xfrm>
              <a:off x="13496202414" y="42438144"/>
              <a:ext cx="3073479" cy="3215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4+</m:t>
                        </m:r>
                        <m:f>
                          <m:fPr>
                            <m:ctrlPr>
                              <a:rPr lang="en-US" sz="1100" b="0" i="1">
                                <a:latin typeface="Cambria Math" panose="02040503050406030204" pitchFamily="18" charset="0"/>
                              </a:rPr>
                            </m:ctrlPr>
                          </m:fPr>
                          <m:num>
                            <m:r>
                              <a:rPr lang="en-US" sz="1100" b="0" i="1">
                                <a:latin typeface="Cambria Math" panose="02040503050406030204" pitchFamily="18" charset="0"/>
                              </a:rPr>
                              <m:t>8</m:t>
                            </m:r>
                          </m:num>
                          <m:den>
                            <m:r>
                              <a:rPr lang="en-US" sz="1100" b="0" i="1">
                                <a:latin typeface="Cambria Math" panose="02040503050406030204" pitchFamily="18" charset="0"/>
                              </a:rPr>
                              <m:t>12</m:t>
                            </m:r>
                          </m:den>
                        </m:f>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1+2%</m:t>
                            </m:r>
                          </m:e>
                        </m:d>
                      </m:e>
                      <m:sup>
                        <m:r>
                          <a:rPr lang="en-US" sz="1100" b="0" i="1">
                            <a:latin typeface="Cambria Math" panose="02040503050406030204" pitchFamily="18" charset="0"/>
                          </a:rPr>
                          <m:t>56</m:t>
                        </m:r>
                      </m:sup>
                    </m:sSup>
                    <m:r>
                      <a:rPr lang="en-US" sz="1100" b="0" i="1">
                        <a:latin typeface="Cambria Math" panose="02040503050406030204" pitchFamily="18" charset="0"/>
                      </a:rPr>
                      <m:t>−1≈203.1166%</m:t>
                    </m:r>
                  </m:oMath>
                </m:oMathPara>
              </a14:m>
              <a:endParaRPr lang="en-US" sz="1100"/>
            </a:p>
          </xdr:txBody>
        </xdr:sp>
      </mc:Choice>
      <mc:Fallback xmlns="">
        <xdr:sp macro="" textlink="">
          <xdr:nvSpPr>
            <xdr:cNvPr id="24" name="TextBox 23">
              <a:extLst>
                <a:ext uri="{FF2B5EF4-FFF2-40B4-BE49-F238E27FC236}">
                  <a16:creationId xmlns:a16="http://schemas.microsoft.com/office/drawing/2014/main" id="{DFE6CF5A-2258-37B3-D5C5-1C2E34B33ED1}"/>
                </a:ext>
              </a:extLst>
            </xdr:cNvPr>
            <xdr:cNvSpPr txBox="1"/>
          </xdr:nvSpPr>
          <xdr:spPr>
            <a:xfrm>
              <a:off x="13496202414" y="42438144"/>
              <a:ext cx="3073479" cy="3215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(4+8/12)=(1+2%)^56−1≈203.1166%</a:t>
              </a:r>
              <a:endParaRPr lang="en-US" sz="1100"/>
            </a:p>
          </xdr:txBody>
        </xdr:sp>
      </mc:Fallback>
    </mc:AlternateContent>
    <xdr:clientData/>
  </xdr:oneCellAnchor>
  <xdr:oneCellAnchor>
    <xdr:from>
      <xdr:col>2</xdr:col>
      <xdr:colOff>776335</xdr:colOff>
      <xdr:row>314</xdr:row>
      <xdr:rowOff>2627</xdr:rowOff>
    </xdr:from>
    <xdr:ext cx="3303511" cy="177164"/>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26FAAABF-8742-0284-257B-58F0472CC1BD}"/>
                </a:ext>
              </a:extLst>
            </xdr:cNvPr>
            <xdr:cNvSpPr txBox="1"/>
          </xdr:nvSpPr>
          <xdr:spPr>
            <a:xfrm>
              <a:off x="13496434198" y="44838803"/>
              <a:ext cx="3303511" cy="1771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ea typeface="Cambria Math" panose="02040503050406030204" pitchFamily="18" charset="0"/>
                      </a:rPr>
                      <m:t>𝜋</m:t>
                    </m:r>
                    <m:r>
                      <a:rPr lang="he-IL" sz="1100" b="0" i="1">
                        <a:latin typeface="Cambria Math" panose="02040503050406030204" pitchFamily="18" charset="0"/>
                        <a:ea typeface="Cambria Math" panose="02040503050406030204" pitchFamily="18" charset="0"/>
                      </a:rPr>
                      <m:t>=</m:t>
                    </m:r>
                    <m:sSup>
                      <m:sSupPr>
                        <m:ctrlPr>
                          <a:rPr lang="he-IL" sz="1100" b="0" i="1">
                            <a:latin typeface="Cambria Math" panose="02040503050406030204" pitchFamily="18" charset="0"/>
                            <a:ea typeface="Cambria Math" panose="02040503050406030204" pitchFamily="18" charset="0"/>
                          </a:rPr>
                        </m:ctrlPr>
                      </m:sSupPr>
                      <m:e>
                        <m:d>
                          <m:dPr>
                            <m:ctrlPr>
                              <a:rPr lang="he-IL" sz="1100" b="0" i="1">
                                <a:latin typeface="Cambria Math" panose="02040503050406030204" pitchFamily="18" charset="0"/>
                                <a:ea typeface="Cambria Math" panose="02040503050406030204" pitchFamily="18" charset="0"/>
                              </a:rPr>
                            </m:ctrlPr>
                          </m:dPr>
                          <m:e>
                            <m:r>
                              <a:rPr lang="he-IL" sz="1100" b="0" i="1">
                                <a:latin typeface="Cambria Math" panose="02040503050406030204" pitchFamily="18" charset="0"/>
                                <a:ea typeface="Cambria Math" panose="02040503050406030204" pitchFamily="18" charset="0"/>
                              </a:rPr>
                              <m:t>1+7%</m:t>
                            </m:r>
                          </m:e>
                        </m:d>
                      </m:e>
                      <m:sup>
                        <m:r>
                          <a:rPr lang="he-IL" sz="1100" b="0" i="1">
                            <a:latin typeface="Cambria Math" panose="02040503050406030204" pitchFamily="18" charset="0"/>
                            <a:ea typeface="Cambria Math" panose="02040503050406030204" pitchFamily="18" charset="0"/>
                          </a:rPr>
                          <m:t>3</m:t>
                        </m:r>
                      </m:sup>
                    </m:sSup>
                    <m:r>
                      <a:rPr lang="he-IL" sz="1100" b="0" i="1">
                        <a:latin typeface="Cambria Math" panose="02040503050406030204" pitchFamily="18" charset="0"/>
                        <a:ea typeface="Cambria Math" panose="02040503050406030204" pitchFamily="18" charset="0"/>
                      </a:rPr>
                      <m:t>∗</m:t>
                    </m:r>
                    <m:d>
                      <m:dPr>
                        <m:ctrlPr>
                          <a:rPr lang="he-IL" sz="1100" b="0" i="1">
                            <a:latin typeface="Cambria Math" panose="02040503050406030204" pitchFamily="18" charset="0"/>
                            <a:ea typeface="Cambria Math" panose="02040503050406030204" pitchFamily="18" charset="0"/>
                          </a:rPr>
                        </m:ctrlPr>
                      </m:dPr>
                      <m:e>
                        <m:r>
                          <a:rPr lang="he-IL" sz="1100" b="0" i="1">
                            <a:latin typeface="Cambria Math" panose="02040503050406030204" pitchFamily="18" charset="0"/>
                            <a:ea typeface="Cambria Math" panose="02040503050406030204" pitchFamily="18" charset="0"/>
                          </a:rPr>
                          <m:t>1+8%</m:t>
                        </m:r>
                      </m:e>
                    </m:d>
                    <m:r>
                      <a:rPr lang="he-IL" sz="1100" b="0" i="1">
                        <a:latin typeface="Cambria Math" panose="02040503050406030204" pitchFamily="18" charset="0"/>
                        <a:ea typeface="Cambria Math" panose="02040503050406030204" pitchFamily="18" charset="0"/>
                      </a:rPr>
                      <m:t>∗</m:t>
                    </m:r>
                    <m:d>
                      <m:dPr>
                        <m:ctrlPr>
                          <a:rPr lang="he-IL" sz="1100" b="0" i="1">
                            <a:latin typeface="Cambria Math" panose="02040503050406030204" pitchFamily="18" charset="0"/>
                            <a:ea typeface="Cambria Math" panose="02040503050406030204" pitchFamily="18" charset="0"/>
                          </a:rPr>
                        </m:ctrlPr>
                      </m:dPr>
                      <m:e>
                        <m:r>
                          <a:rPr lang="he-IL" sz="1100" b="0" i="1">
                            <a:latin typeface="Cambria Math" panose="02040503050406030204" pitchFamily="18" charset="0"/>
                            <a:ea typeface="Cambria Math" panose="02040503050406030204" pitchFamily="18" charset="0"/>
                          </a:rPr>
                          <m:t>1+4%</m:t>
                        </m:r>
                      </m:e>
                    </m:d>
                    <m:r>
                      <a:rPr lang="he-IL" sz="1100" b="0" i="1">
                        <a:latin typeface="Cambria Math" panose="02040503050406030204" pitchFamily="18" charset="0"/>
                        <a:ea typeface="Cambria Math" panose="02040503050406030204" pitchFamily="18" charset="0"/>
                      </a:rPr>
                      <m:t>−1=</m:t>
                    </m:r>
                  </m:oMath>
                </m:oMathPara>
              </a14:m>
              <a:endParaRPr lang="en-US" sz="1100"/>
            </a:p>
          </xdr:txBody>
        </xdr:sp>
      </mc:Choice>
      <mc:Fallback xmlns="">
        <xdr:sp macro="" textlink="">
          <xdr:nvSpPr>
            <xdr:cNvPr id="26" name="TextBox 25">
              <a:extLst>
                <a:ext uri="{FF2B5EF4-FFF2-40B4-BE49-F238E27FC236}">
                  <a16:creationId xmlns:a16="http://schemas.microsoft.com/office/drawing/2014/main" id="{26FAAABF-8742-0284-257B-58F0472CC1BD}"/>
                </a:ext>
              </a:extLst>
            </xdr:cNvPr>
            <xdr:cNvSpPr txBox="1"/>
          </xdr:nvSpPr>
          <xdr:spPr>
            <a:xfrm>
              <a:off x="13496434198" y="44838803"/>
              <a:ext cx="3303511" cy="1771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=(1+7%)^3∗(1+8%)∗(1+4%)−1=</a:t>
              </a:r>
              <a:endParaRPr lang="en-US" sz="1100"/>
            </a:p>
          </xdr:txBody>
        </xdr:sp>
      </mc:Fallback>
    </mc:AlternateContent>
    <xdr:clientData/>
  </xdr:oneCellAnchor>
  <xdr:oneCellAnchor>
    <xdr:from>
      <xdr:col>5</xdr:col>
      <xdr:colOff>441913</xdr:colOff>
      <xdr:row>319</xdr:row>
      <xdr:rowOff>201685</xdr:rowOff>
    </xdr:from>
    <xdr:ext cx="1758809" cy="173702"/>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A9B16F64-AD2B-2B02-FFE1-AB4DC24148B3}"/>
                </a:ext>
              </a:extLst>
            </xdr:cNvPr>
            <xdr:cNvSpPr txBox="1"/>
          </xdr:nvSpPr>
          <xdr:spPr>
            <a:xfrm>
              <a:off x="13495841002" y="46076951"/>
              <a:ext cx="1758809"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𝑛</m:t>
                        </m:r>
                      </m:sub>
                    </m:sSub>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e>
                    </m:d>
                    <m:r>
                      <a:rPr lang="en-US" sz="1100" b="0" i="1">
                        <a:latin typeface="Cambria Math" panose="02040503050406030204" pitchFamily="18" charset="0"/>
                      </a:rPr>
                      <m:t>∗(1+</m:t>
                    </m:r>
                    <m:r>
                      <a:rPr lang="en-US" sz="1100" b="0" i="1">
                        <a:latin typeface="Cambria Math" panose="02040503050406030204" pitchFamily="18" charset="0"/>
                        <a:ea typeface="Cambria Math" panose="02040503050406030204" pitchFamily="18" charset="0"/>
                      </a:rPr>
                      <m:t>𝜋</m:t>
                    </m:r>
                    <m:r>
                      <a:rPr lang="en-US" sz="1100" b="0" i="0">
                        <a:latin typeface="Cambria Math" panose="02040503050406030204" pitchFamily="18" charset="0"/>
                        <a:ea typeface="Cambria Math" panose="02040503050406030204" pitchFamily="18" charset="0"/>
                      </a:rPr>
                      <m:t>)</m:t>
                    </m:r>
                  </m:oMath>
                </m:oMathPara>
              </a14:m>
              <a:endParaRPr lang="en-US" sz="1100"/>
            </a:p>
          </xdr:txBody>
        </xdr:sp>
      </mc:Choice>
      <mc:Fallback xmlns="">
        <xdr:sp macro="" textlink="">
          <xdr:nvSpPr>
            <xdr:cNvPr id="27" name="TextBox 26">
              <a:extLst>
                <a:ext uri="{FF2B5EF4-FFF2-40B4-BE49-F238E27FC236}">
                  <a16:creationId xmlns:a16="http://schemas.microsoft.com/office/drawing/2014/main" id="{A9B16F64-AD2B-2B02-FFE1-AB4DC24148B3}"/>
                </a:ext>
              </a:extLst>
            </xdr:cNvPr>
            <xdr:cNvSpPr txBox="1"/>
          </xdr:nvSpPr>
          <xdr:spPr>
            <a:xfrm>
              <a:off x="13495841002" y="46076951"/>
              <a:ext cx="1758809"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1+𝑟_𝑛=(1+𝑟_𝑟 )∗(1+</a:t>
              </a:r>
              <a:r>
                <a:rPr lang="en-US" sz="1100" b="0" i="0">
                  <a:latin typeface="Cambria Math" panose="02040503050406030204" pitchFamily="18" charset="0"/>
                  <a:ea typeface="Cambria Math" panose="02040503050406030204" pitchFamily="18" charset="0"/>
                </a:rPr>
                <a:t>𝜋)</a:t>
              </a:r>
              <a:endParaRPr lang="en-US" sz="1100"/>
            </a:p>
          </xdr:txBody>
        </xdr:sp>
      </mc:Fallback>
    </mc:AlternateContent>
    <xdr:clientData/>
  </xdr:oneCellAnchor>
  <xdr:oneCellAnchor>
    <xdr:from>
      <xdr:col>5</xdr:col>
      <xdr:colOff>617086</xdr:colOff>
      <xdr:row>321</xdr:row>
      <xdr:rowOff>173817</xdr:rowOff>
    </xdr:from>
    <xdr:ext cx="1758809" cy="320793"/>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210D6F31-3056-C4DE-1EE9-EDEC13212DE7}"/>
                </a:ext>
              </a:extLst>
            </xdr:cNvPr>
            <xdr:cNvSpPr txBox="1"/>
          </xdr:nvSpPr>
          <xdr:spPr>
            <a:xfrm>
              <a:off x="13495665829" y="46455165"/>
              <a:ext cx="1758809" cy="3207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𝑛</m:t>
                            </m:r>
                          </m:sub>
                        </m:sSub>
                      </m:num>
                      <m:den>
                        <m:r>
                          <a:rPr lang="en-US" sz="1100" b="0" i="1">
                            <a:latin typeface="Cambria Math" panose="02040503050406030204" pitchFamily="18" charset="0"/>
                          </a:rPr>
                          <m:t>1+</m:t>
                        </m:r>
                        <m:r>
                          <a:rPr lang="en-US" sz="1100" b="0" i="1">
                            <a:latin typeface="Cambria Math" panose="02040503050406030204" pitchFamily="18" charset="0"/>
                            <a:ea typeface="Cambria Math" panose="02040503050406030204" pitchFamily="18" charset="0"/>
                          </a:rPr>
                          <m:t>𝜋</m:t>
                        </m:r>
                      </m:den>
                    </m:f>
                    <m:r>
                      <a:rPr lang="en-US" sz="1100" b="0" i="1">
                        <a:latin typeface="Cambria Math" panose="02040503050406030204" pitchFamily="18" charset="0"/>
                      </a:rPr>
                      <m:t>−1</m:t>
                    </m:r>
                  </m:oMath>
                </m:oMathPara>
              </a14:m>
              <a:endParaRPr lang="en-US" sz="1100"/>
            </a:p>
          </xdr:txBody>
        </xdr:sp>
      </mc:Choice>
      <mc:Fallback xmlns="">
        <xdr:sp macro="" textlink="">
          <xdr:nvSpPr>
            <xdr:cNvPr id="28" name="TextBox 27">
              <a:extLst>
                <a:ext uri="{FF2B5EF4-FFF2-40B4-BE49-F238E27FC236}">
                  <a16:creationId xmlns:a16="http://schemas.microsoft.com/office/drawing/2014/main" id="{210D6F31-3056-C4DE-1EE9-EDEC13212DE7}"/>
                </a:ext>
              </a:extLst>
            </xdr:cNvPr>
            <xdr:cNvSpPr txBox="1"/>
          </xdr:nvSpPr>
          <xdr:spPr>
            <a:xfrm>
              <a:off x="13495665829" y="46455165"/>
              <a:ext cx="1758809" cy="3207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𝑟_𝑟=(1+𝑟_𝑛)/(1+</a:t>
              </a:r>
              <a:r>
                <a:rPr lang="en-US" sz="1100" b="0" i="0">
                  <a:latin typeface="Cambria Math" panose="02040503050406030204" pitchFamily="18" charset="0"/>
                  <a:ea typeface="Cambria Math" panose="02040503050406030204" pitchFamily="18" charset="0"/>
                </a:rPr>
                <a:t>𝜋)</a:t>
              </a:r>
              <a:r>
                <a:rPr lang="en-US" sz="1100" b="0" i="0">
                  <a:latin typeface="Cambria Math" panose="02040503050406030204" pitchFamily="18" charset="0"/>
                </a:rPr>
                <a:t>−1</a:t>
              </a:r>
              <a:endParaRPr lang="en-US" sz="1100"/>
            </a:p>
          </xdr:txBody>
        </xdr:sp>
      </mc:Fallback>
    </mc:AlternateContent>
    <xdr:clientData/>
  </xdr:oneCellAnchor>
  <xdr:oneCellAnchor>
    <xdr:from>
      <xdr:col>5</xdr:col>
      <xdr:colOff>652917</xdr:colOff>
      <xdr:row>324</xdr:row>
      <xdr:rowOff>122062</xdr:rowOff>
    </xdr:from>
    <xdr:ext cx="1758809" cy="32464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B3D5E2DB-4870-7268-32A6-26B74A8352D1}"/>
                </a:ext>
              </a:extLst>
            </xdr:cNvPr>
            <xdr:cNvSpPr txBox="1"/>
          </xdr:nvSpPr>
          <xdr:spPr>
            <a:xfrm>
              <a:off x="13495629998" y="47012532"/>
              <a:ext cx="1758809"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r>
                          <a:rPr lang="he-IL" sz="1100" b="0" i="1">
                            <a:latin typeface="Cambria Math" panose="02040503050406030204" pitchFamily="18" charset="0"/>
                          </a:rPr>
                          <m:t>203.12%</m:t>
                        </m:r>
                      </m:num>
                      <m:den>
                        <m:r>
                          <a:rPr lang="en-US" sz="1100" b="0" i="1">
                            <a:latin typeface="Cambria Math" panose="02040503050406030204" pitchFamily="18" charset="0"/>
                          </a:rPr>
                          <m:t>1+</m:t>
                        </m:r>
                        <m:r>
                          <a:rPr lang="he-IL" sz="1100" b="0" i="1">
                            <a:latin typeface="Cambria Math" panose="02040503050406030204" pitchFamily="18" charset="0"/>
                            <a:ea typeface="Cambria Math" panose="02040503050406030204" pitchFamily="18" charset="0"/>
                          </a:rPr>
                          <m:t>37.5968%</m:t>
                        </m:r>
                      </m:den>
                    </m:f>
                    <m:r>
                      <a:rPr lang="en-US" sz="1100" b="0" i="1">
                        <a:latin typeface="Cambria Math" panose="02040503050406030204" pitchFamily="18" charset="0"/>
                      </a:rPr>
                      <m:t>−1</m:t>
                    </m:r>
                    <m:r>
                      <a:rPr lang="he-IL" sz="1100" b="0" i="1">
                        <a:latin typeface="Cambria Math" panose="02040503050406030204" pitchFamily="18" charset="0"/>
                      </a:rPr>
                      <m:t>=</m:t>
                    </m:r>
                  </m:oMath>
                </m:oMathPara>
              </a14:m>
              <a:endParaRPr lang="en-US" sz="1100"/>
            </a:p>
          </xdr:txBody>
        </xdr:sp>
      </mc:Choice>
      <mc:Fallback xmlns="">
        <xdr:sp macro="" textlink="">
          <xdr:nvSpPr>
            <xdr:cNvPr id="29" name="TextBox 28">
              <a:extLst>
                <a:ext uri="{FF2B5EF4-FFF2-40B4-BE49-F238E27FC236}">
                  <a16:creationId xmlns:a16="http://schemas.microsoft.com/office/drawing/2014/main" id="{B3D5E2DB-4870-7268-32A6-26B74A8352D1}"/>
                </a:ext>
              </a:extLst>
            </xdr:cNvPr>
            <xdr:cNvSpPr txBox="1"/>
          </xdr:nvSpPr>
          <xdr:spPr>
            <a:xfrm>
              <a:off x="13495629998" y="47012532"/>
              <a:ext cx="1758809"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𝑟_𝑟=(1+</a:t>
              </a:r>
              <a:r>
                <a:rPr lang="he-IL" sz="1100" b="0" i="0">
                  <a:latin typeface="Cambria Math" panose="02040503050406030204" pitchFamily="18" charset="0"/>
                </a:rPr>
                <a:t>203.12%</a:t>
              </a:r>
              <a:r>
                <a:rPr lang="en-US" sz="1100" b="0" i="0">
                  <a:latin typeface="Cambria Math" panose="02040503050406030204" pitchFamily="18" charset="0"/>
                </a:rPr>
                <a:t>)/(1+</a:t>
              </a:r>
              <a:r>
                <a:rPr lang="he-IL" sz="1100" b="0" i="0">
                  <a:latin typeface="Cambria Math" panose="02040503050406030204" pitchFamily="18" charset="0"/>
                  <a:ea typeface="Cambria Math" panose="02040503050406030204" pitchFamily="18" charset="0"/>
                </a:rPr>
                <a:t>37.5968%</a:t>
              </a:r>
              <a:r>
                <a:rPr lang="en-US" sz="1100" b="0" i="0">
                  <a:latin typeface="Cambria Math" panose="02040503050406030204" pitchFamily="18" charset="0"/>
                  <a:ea typeface="Cambria Math" panose="02040503050406030204" pitchFamily="18" charset="0"/>
                </a:rPr>
                <a:t>)</a:t>
              </a:r>
              <a:r>
                <a:rPr lang="en-US" sz="1100" b="0" i="0">
                  <a:latin typeface="Cambria Math" panose="02040503050406030204" pitchFamily="18" charset="0"/>
                </a:rPr>
                <a:t>−1</a:t>
              </a:r>
              <a:r>
                <a:rPr lang="he-IL" sz="1100" b="0" i="0">
                  <a:latin typeface="Cambria Math" panose="02040503050406030204" pitchFamily="18" charset="0"/>
                </a:rPr>
                <a:t>=</a:t>
              </a:r>
              <a:endParaRPr lang="en-US" sz="1100"/>
            </a:p>
          </xdr:txBody>
        </xdr:sp>
      </mc:Fallback>
    </mc:AlternateContent>
    <xdr:clientData/>
  </xdr:oneCellAnchor>
  <xdr:oneCellAnchor>
    <xdr:from>
      <xdr:col>3</xdr:col>
      <xdr:colOff>770768</xdr:colOff>
      <xdr:row>332</xdr:row>
      <xdr:rowOff>31400</xdr:rowOff>
    </xdr:from>
    <xdr:ext cx="3618027" cy="35932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1055A607-6676-F4E4-9A55-DB0C649751F4}"/>
                </a:ext>
              </a:extLst>
            </xdr:cNvPr>
            <xdr:cNvSpPr txBox="1"/>
          </xdr:nvSpPr>
          <xdr:spPr>
            <a:xfrm>
              <a:off x="13518126705" y="48621600"/>
              <a:ext cx="3618027" cy="3593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1+120.2958%</m:t>
                            </m:r>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4+</m:t>
                            </m:r>
                            <m:f>
                              <m:fPr>
                                <m:ctrlPr>
                                  <a:rPr lang="en-US" sz="1100" b="0" i="1">
                                    <a:latin typeface="Cambria Math" panose="02040503050406030204" pitchFamily="18" charset="0"/>
                                  </a:rPr>
                                </m:ctrlPr>
                              </m:fPr>
                              <m:num>
                                <m:r>
                                  <a:rPr lang="en-US" sz="1100" b="0" i="1">
                                    <a:latin typeface="Cambria Math" panose="02040503050406030204" pitchFamily="18" charset="0"/>
                                  </a:rPr>
                                  <m:t>8</m:t>
                                </m:r>
                              </m:num>
                              <m:den>
                                <m:r>
                                  <a:rPr lang="en-US" sz="1100" b="0" i="1">
                                    <a:latin typeface="Cambria Math" panose="02040503050406030204" pitchFamily="18" charset="0"/>
                                  </a:rPr>
                                  <m:t>12</m:t>
                                </m:r>
                              </m:den>
                            </m:f>
                          </m:den>
                        </m:f>
                      </m:sup>
                    </m:sSup>
                    <m:r>
                      <a:rPr lang="en-US" sz="1100" b="0" i="1">
                        <a:latin typeface="Cambria Math" panose="02040503050406030204" pitchFamily="18" charset="0"/>
                      </a:rPr>
                      <m:t>−1=</m:t>
                    </m:r>
                  </m:oMath>
                </m:oMathPara>
              </a14:m>
              <a:endParaRPr lang="en-US" sz="1100"/>
            </a:p>
          </xdr:txBody>
        </xdr:sp>
      </mc:Choice>
      <mc:Fallback xmlns="">
        <xdr:sp macro="" textlink="">
          <xdr:nvSpPr>
            <xdr:cNvPr id="30" name="TextBox 29">
              <a:extLst>
                <a:ext uri="{FF2B5EF4-FFF2-40B4-BE49-F238E27FC236}">
                  <a16:creationId xmlns:a16="http://schemas.microsoft.com/office/drawing/2014/main" id="{1055A607-6676-F4E4-9A55-DB0C649751F4}"/>
                </a:ext>
              </a:extLst>
            </xdr:cNvPr>
            <xdr:cNvSpPr txBox="1"/>
          </xdr:nvSpPr>
          <xdr:spPr>
            <a:xfrm>
              <a:off x="13518126705" y="48621600"/>
              <a:ext cx="3618027" cy="3593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𝑟_𝑟 (𝑎𝑛𝑛𝑢𝑎𝑙)=(1+120.2958%)^(1/(4+8/12))−1=</a:t>
              </a:r>
              <a:endParaRPr lang="en-US" sz="1100"/>
            </a:p>
          </xdr:txBody>
        </xdr:sp>
      </mc:Fallback>
    </mc:AlternateContent>
    <xdr:clientData/>
  </xdr:oneCellAnchor>
  <xdr:oneCellAnchor>
    <xdr:from>
      <xdr:col>2</xdr:col>
      <xdr:colOff>124239</xdr:colOff>
      <xdr:row>358</xdr:row>
      <xdr:rowOff>46657</xdr:rowOff>
    </xdr:from>
    <xdr:ext cx="2856315" cy="318036"/>
    <mc:AlternateContent xmlns:mc="http://schemas.openxmlformats.org/markup-compatibility/2006" xmlns:a14="http://schemas.microsoft.com/office/drawing/2010/main">
      <mc:Choice Requires="a14">
        <xdr:sp macro="" textlink="">
          <xdr:nvSpPr>
            <xdr:cNvPr id="31" name="TextBox 30">
              <a:extLst>
                <a:ext uri="{FF2B5EF4-FFF2-40B4-BE49-F238E27FC236}">
                  <a16:creationId xmlns:a16="http://schemas.microsoft.com/office/drawing/2014/main" id="{F3AEDAD4-5A85-5CFE-3F63-4A2FB4DE6B70}"/>
                </a:ext>
              </a:extLst>
            </xdr:cNvPr>
            <xdr:cNvSpPr txBox="1"/>
          </xdr:nvSpPr>
          <xdr:spPr>
            <a:xfrm>
              <a:off x="13509053304" y="53869809"/>
              <a:ext cx="2856315"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4 </m:t>
                        </m:r>
                        <m:r>
                          <a:rPr lang="en-US" sz="1100" b="0" i="1">
                            <a:latin typeface="Cambria Math" panose="02040503050406030204" pitchFamily="18" charset="0"/>
                          </a:rPr>
                          <m:t>𝑦𝑒𝑎𝑟𝑠</m:t>
                        </m:r>
                      </m:e>
                    </m:d>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340</m:t>
                        </m:r>
                      </m:num>
                      <m:den>
                        <m:r>
                          <a:rPr lang="en-US" sz="1100" b="0" i="1">
                            <a:latin typeface="Cambria Math" panose="02040503050406030204" pitchFamily="18" charset="0"/>
                          </a:rPr>
                          <m:t>300</m:t>
                        </m:r>
                      </m:den>
                    </m:f>
                    <m:r>
                      <a:rPr lang="en-US" sz="1100" b="0" i="1">
                        <a:latin typeface="Cambria Math" panose="02040503050406030204" pitchFamily="18" charset="0"/>
                      </a:rPr>
                      <m:t>−1=13.33%</m:t>
                    </m:r>
                  </m:oMath>
                </m:oMathPara>
              </a14:m>
              <a:endParaRPr lang="en-US" sz="1100"/>
            </a:p>
          </xdr:txBody>
        </xdr:sp>
      </mc:Choice>
      <mc:Fallback xmlns="">
        <xdr:sp macro="" textlink="">
          <xdr:nvSpPr>
            <xdr:cNvPr id="31" name="TextBox 30">
              <a:extLst>
                <a:ext uri="{FF2B5EF4-FFF2-40B4-BE49-F238E27FC236}">
                  <a16:creationId xmlns:a16="http://schemas.microsoft.com/office/drawing/2014/main" id="{F3AEDAD4-5A85-5CFE-3F63-4A2FB4DE6B70}"/>
                </a:ext>
              </a:extLst>
            </xdr:cNvPr>
            <xdr:cNvSpPr txBox="1"/>
          </xdr:nvSpPr>
          <xdr:spPr>
            <a:xfrm>
              <a:off x="13509053304" y="53869809"/>
              <a:ext cx="2856315"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(4 𝑦𝑒𝑎𝑟𝑠)=340/300−1=13.33%</a:t>
              </a:r>
              <a:endParaRPr lang="en-US" sz="1100"/>
            </a:p>
          </xdr:txBody>
        </xdr:sp>
      </mc:Fallback>
    </mc:AlternateContent>
    <xdr:clientData/>
  </xdr:oneCellAnchor>
  <xdr:oneCellAnchor>
    <xdr:from>
      <xdr:col>2</xdr:col>
      <xdr:colOff>265733</xdr:colOff>
      <xdr:row>364</xdr:row>
      <xdr:rowOff>191602</xdr:rowOff>
    </xdr:from>
    <xdr:ext cx="2856315" cy="321498"/>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11A2BB29-5753-AA5C-3719-F9B97CDA0142}"/>
                </a:ext>
              </a:extLst>
            </xdr:cNvPr>
            <xdr:cNvSpPr txBox="1"/>
          </xdr:nvSpPr>
          <xdr:spPr>
            <a:xfrm>
              <a:off x="13508911810" y="55236439"/>
              <a:ext cx="2856315" cy="3214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he-IL" sz="1100" b="0" i="1">
                            <a:latin typeface="Cambria Math" panose="02040503050406030204" pitchFamily="18" charset="0"/>
                          </a:rPr>
                          <m:t> </m:t>
                        </m:r>
                        <m:r>
                          <a:rPr lang="en-US" sz="1100" b="0" i="1">
                            <a:latin typeface="Cambria Math" panose="02040503050406030204" pitchFamily="18" charset="0"/>
                          </a:rPr>
                          <m:t>𝑟</m:t>
                        </m:r>
                      </m:sub>
                    </m:sSub>
                    <m:d>
                      <m:dPr>
                        <m:ctrlPr>
                          <a:rPr lang="en-US" sz="1100" b="0" i="1">
                            <a:latin typeface="Cambria Math" panose="02040503050406030204" pitchFamily="18" charset="0"/>
                          </a:rPr>
                        </m:ctrlPr>
                      </m:dPr>
                      <m:e>
                        <m:r>
                          <a:rPr lang="en-US" sz="1100" b="0" i="1">
                            <a:latin typeface="Cambria Math" panose="02040503050406030204" pitchFamily="18" charset="0"/>
                          </a:rPr>
                          <m:t>4 </m:t>
                        </m:r>
                        <m:r>
                          <a:rPr lang="en-US" sz="1100" b="0" i="1">
                            <a:latin typeface="Cambria Math" panose="02040503050406030204" pitchFamily="18" charset="0"/>
                          </a:rPr>
                          <m:t>𝑦𝑒𝑎𝑟𝑠</m:t>
                        </m:r>
                      </m:e>
                    </m:d>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315</m:t>
                        </m:r>
                      </m:num>
                      <m:den>
                        <m:r>
                          <a:rPr lang="en-US" sz="1100" b="0" i="1">
                            <a:latin typeface="Cambria Math" panose="02040503050406030204" pitchFamily="18" charset="0"/>
                          </a:rPr>
                          <m:t>300</m:t>
                        </m:r>
                      </m:den>
                    </m:f>
                    <m:r>
                      <a:rPr lang="en-US" sz="1100" b="0" i="1">
                        <a:latin typeface="Cambria Math" panose="02040503050406030204" pitchFamily="18" charset="0"/>
                      </a:rPr>
                      <m:t>−1=5%</m:t>
                    </m:r>
                  </m:oMath>
                </m:oMathPara>
              </a14:m>
              <a:endParaRPr lang="en-US" sz="1100"/>
            </a:p>
          </xdr:txBody>
        </xdr:sp>
      </mc:Choice>
      <mc:Fallback xmlns="">
        <xdr:sp macro="" textlink="">
          <xdr:nvSpPr>
            <xdr:cNvPr id="32" name="TextBox 31">
              <a:extLst>
                <a:ext uri="{FF2B5EF4-FFF2-40B4-BE49-F238E27FC236}">
                  <a16:creationId xmlns:a16="http://schemas.microsoft.com/office/drawing/2014/main" id="{11A2BB29-5753-AA5C-3719-F9B97CDA0142}"/>
                </a:ext>
              </a:extLst>
            </xdr:cNvPr>
            <xdr:cNvSpPr txBox="1"/>
          </xdr:nvSpPr>
          <xdr:spPr>
            <a:xfrm>
              <a:off x="13508911810" y="55236439"/>
              <a:ext cx="2856315" cy="3214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a:t>
              </a:r>
              <a:r>
                <a:rPr lang="he-IL" sz="1100" b="0" i="0">
                  <a:latin typeface="Cambria Math" panose="02040503050406030204" pitchFamily="18" charset="0"/>
                </a:rPr>
                <a:t> </a:t>
              </a:r>
              <a:r>
                <a:rPr lang="en-US" sz="1100" b="0" i="0">
                  <a:latin typeface="Cambria Math" panose="02040503050406030204" pitchFamily="18" charset="0"/>
                </a:rPr>
                <a:t>𝑟) (4 𝑦𝑒𝑎𝑟𝑠)=315/300−1=5%</a:t>
              </a:r>
              <a:endParaRPr lang="en-US" sz="1100"/>
            </a:p>
          </xdr:txBody>
        </xdr:sp>
      </mc:Fallback>
    </mc:AlternateContent>
    <xdr:clientData/>
  </xdr:oneCellAnchor>
  <xdr:oneCellAnchor>
    <xdr:from>
      <xdr:col>3</xdr:col>
      <xdr:colOff>17255</xdr:colOff>
      <xdr:row>369</xdr:row>
      <xdr:rowOff>100082</xdr:rowOff>
    </xdr:from>
    <xdr:ext cx="1758809" cy="17370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81052500-7455-1F42-A831-0C09C8EB7E41}"/>
                </a:ext>
              </a:extLst>
            </xdr:cNvPr>
            <xdr:cNvSpPr txBox="1"/>
          </xdr:nvSpPr>
          <xdr:spPr>
            <a:xfrm>
              <a:off x="13509432985" y="56162990"/>
              <a:ext cx="1758809"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𝑛</m:t>
                        </m:r>
                      </m:sub>
                    </m:sSub>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e>
                    </m:d>
                    <m:r>
                      <a:rPr lang="en-US" sz="1100" b="0" i="1">
                        <a:latin typeface="Cambria Math" panose="02040503050406030204" pitchFamily="18" charset="0"/>
                      </a:rPr>
                      <m:t>∗(1+</m:t>
                    </m:r>
                    <m:r>
                      <a:rPr lang="en-US" sz="1100" b="0" i="1">
                        <a:latin typeface="Cambria Math" panose="02040503050406030204" pitchFamily="18" charset="0"/>
                        <a:ea typeface="Cambria Math" panose="02040503050406030204" pitchFamily="18" charset="0"/>
                      </a:rPr>
                      <m:t>𝜋</m:t>
                    </m:r>
                    <m:r>
                      <a:rPr lang="en-US" sz="1100" b="0" i="0">
                        <a:latin typeface="Cambria Math" panose="02040503050406030204" pitchFamily="18" charset="0"/>
                        <a:ea typeface="Cambria Math" panose="02040503050406030204" pitchFamily="18" charset="0"/>
                      </a:rPr>
                      <m:t>)</m:t>
                    </m:r>
                  </m:oMath>
                </m:oMathPara>
              </a14:m>
              <a:endParaRPr lang="en-US" sz="1100"/>
            </a:p>
          </xdr:txBody>
        </xdr:sp>
      </mc:Choice>
      <mc:Fallback xmlns="">
        <xdr:sp macro="" textlink="">
          <xdr:nvSpPr>
            <xdr:cNvPr id="33" name="TextBox 32">
              <a:extLst>
                <a:ext uri="{FF2B5EF4-FFF2-40B4-BE49-F238E27FC236}">
                  <a16:creationId xmlns:a16="http://schemas.microsoft.com/office/drawing/2014/main" id="{81052500-7455-1F42-A831-0C09C8EB7E41}"/>
                </a:ext>
              </a:extLst>
            </xdr:cNvPr>
            <xdr:cNvSpPr txBox="1"/>
          </xdr:nvSpPr>
          <xdr:spPr>
            <a:xfrm>
              <a:off x="13509432985" y="56162990"/>
              <a:ext cx="1758809"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1+𝑟_𝑛=(1+𝑟_𝑟 )∗(1+</a:t>
              </a:r>
              <a:r>
                <a:rPr lang="en-US" sz="1100" b="0" i="0">
                  <a:latin typeface="Cambria Math" panose="02040503050406030204" pitchFamily="18" charset="0"/>
                  <a:ea typeface="Cambria Math" panose="02040503050406030204" pitchFamily="18" charset="0"/>
                </a:rPr>
                <a:t>𝜋)</a:t>
              </a:r>
              <a:endParaRPr lang="en-US" sz="1100"/>
            </a:p>
          </xdr:txBody>
        </xdr:sp>
      </mc:Fallback>
    </mc:AlternateContent>
    <xdr:clientData/>
  </xdr:oneCellAnchor>
  <xdr:oneCellAnchor>
    <xdr:from>
      <xdr:col>1</xdr:col>
      <xdr:colOff>741983</xdr:colOff>
      <xdr:row>370</xdr:row>
      <xdr:rowOff>172555</xdr:rowOff>
    </xdr:from>
    <xdr:ext cx="3187559" cy="173702"/>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43B5FF5D-609A-8BF5-DBA5-583110510FE4}"/>
                </a:ext>
              </a:extLst>
            </xdr:cNvPr>
            <xdr:cNvSpPr txBox="1"/>
          </xdr:nvSpPr>
          <xdr:spPr>
            <a:xfrm>
              <a:off x="13508929126" y="56439077"/>
              <a:ext cx="3187559"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1+13.33%=</m:t>
                    </m:r>
                    <m:d>
                      <m:dPr>
                        <m:ctrlPr>
                          <a:rPr lang="en-US" sz="1100" b="0" i="1">
                            <a:latin typeface="Cambria Math" panose="02040503050406030204" pitchFamily="18" charset="0"/>
                          </a:rPr>
                        </m:ctrlPr>
                      </m:dPr>
                      <m:e>
                        <m:r>
                          <a:rPr lang="en-US" sz="1100" b="0" i="1">
                            <a:latin typeface="Cambria Math" panose="02040503050406030204" pitchFamily="18" charset="0"/>
                          </a:rPr>
                          <m:t>1+5%</m:t>
                        </m:r>
                      </m:e>
                    </m:d>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ea typeface="Cambria Math" panose="02040503050406030204" pitchFamily="18" charset="0"/>
                          </a:rPr>
                          <m:t>𝜋</m:t>
                        </m:r>
                      </m:e>
                    </m:d>
                    <m:r>
                      <a:rPr lang="en-US" sz="1100" b="0" i="1">
                        <a:latin typeface="Cambria Math" panose="02040503050406030204" pitchFamily="18" charset="0"/>
                        <a:ea typeface="Cambria Math" panose="02040503050406030204" pitchFamily="18" charset="0"/>
                      </a:rPr>
                      <m:t>→</m:t>
                    </m:r>
                    <m:r>
                      <a:rPr lang="en-US" sz="1100" b="0" i="1">
                        <a:latin typeface="Cambria Math" panose="02040503050406030204" pitchFamily="18" charset="0"/>
                        <a:ea typeface="Cambria Math" panose="02040503050406030204" pitchFamily="18" charset="0"/>
                      </a:rPr>
                      <m:t>𝜋</m:t>
                    </m:r>
                    <m:r>
                      <a:rPr lang="en-US" sz="1100" b="0" i="1">
                        <a:latin typeface="Cambria Math" panose="02040503050406030204" pitchFamily="18" charset="0"/>
                        <a:ea typeface="Cambria Math" panose="02040503050406030204" pitchFamily="18" charset="0"/>
                      </a:rPr>
                      <m:t>=7.93648%</m:t>
                    </m:r>
                  </m:oMath>
                </m:oMathPara>
              </a14:m>
              <a:endParaRPr lang="en-US" sz="1100"/>
            </a:p>
          </xdr:txBody>
        </xdr:sp>
      </mc:Choice>
      <mc:Fallback xmlns="">
        <xdr:sp macro="" textlink="">
          <xdr:nvSpPr>
            <xdr:cNvPr id="34" name="TextBox 33">
              <a:extLst>
                <a:ext uri="{FF2B5EF4-FFF2-40B4-BE49-F238E27FC236}">
                  <a16:creationId xmlns:a16="http://schemas.microsoft.com/office/drawing/2014/main" id="{43B5FF5D-609A-8BF5-DBA5-583110510FE4}"/>
                </a:ext>
              </a:extLst>
            </xdr:cNvPr>
            <xdr:cNvSpPr txBox="1"/>
          </xdr:nvSpPr>
          <xdr:spPr>
            <a:xfrm>
              <a:off x="13508929126" y="56439077"/>
              <a:ext cx="3187559"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1+13.33%=(1+5%)∗(1+</a:t>
              </a:r>
              <a:r>
                <a:rPr lang="en-US" sz="1100" b="0" i="0">
                  <a:latin typeface="Cambria Math" panose="02040503050406030204" pitchFamily="18" charset="0"/>
                  <a:ea typeface="Cambria Math" panose="02040503050406030204" pitchFamily="18" charset="0"/>
                </a:rPr>
                <a:t>𝜋)→𝜋=7.93648%</a:t>
              </a:r>
              <a:endParaRPr lang="en-US" sz="1100"/>
            </a:p>
          </xdr:txBody>
        </xdr:sp>
      </mc:Fallback>
    </mc:AlternateContent>
    <xdr:clientData/>
  </xdr:oneCellAnchor>
  <xdr:oneCellAnchor>
    <xdr:from>
      <xdr:col>2</xdr:col>
      <xdr:colOff>369266</xdr:colOff>
      <xdr:row>377</xdr:row>
      <xdr:rowOff>189810</xdr:rowOff>
    </xdr:from>
    <xdr:ext cx="3187559" cy="253339"/>
    <mc:AlternateContent xmlns:mc="http://schemas.openxmlformats.org/markup-compatibility/2006" xmlns:a14="http://schemas.microsoft.com/office/drawing/2010/main">
      <mc:Choice Requires="a14">
        <xdr:sp macro="" textlink="">
          <xdr:nvSpPr>
            <xdr:cNvPr id="35" name="TextBox 34">
              <a:extLst>
                <a:ext uri="{FF2B5EF4-FFF2-40B4-BE49-F238E27FC236}">
                  <a16:creationId xmlns:a16="http://schemas.microsoft.com/office/drawing/2014/main" id="{8B91E198-06AE-5AD7-3FFC-5A6EED390D54}"/>
                </a:ext>
              </a:extLst>
            </xdr:cNvPr>
            <xdr:cNvSpPr txBox="1"/>
          </xdr:nvSpPr>
          <xdr:spPr>
            <a:xfrm>
              <a:off x="13508477033" y="57881631"/>
              <a:ext cx="318755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𝜋</m:t>
                        </m:r>
                      </m:e>
                      <m:sub>
                        <m:r>
                          <a:rPr lang="en-US" sz="1100" b="0" i="1">
                            <a:latin typeface="Cambria Math" panose="02040503050406030204" pitchFamily="18" charset="0"/>
                            <a:ea typeface="Cambria Math" panose="02040503050406030204" pitchFamily="18" charset="0"/>
                          </a:rPr>
                          <m:t>𝑎𝑛𝑛𝑢𝑎𝑙</m:t>
                        </m:r>
                      </m:sub>
                    </m:sSub>
                    <m:r>
                      <a:rPr lang="en-US" sz="1100" b="0" i="1">
                        <a:latin typeface="Cambria Math" panose="02040503050406030204" pitchFamily="18" charset="0"/>
                        <a:ea typeface="Cambria Math" panose="02040503050406030204" pitchFamily="18" charset="0"/>
                      </a:rPr>
                      <m:t>=</m:t>
                    </m:r>
                    <m:sSup>
                      <m:sSupPr>
                        <m:ctrlPr>
                          <a:rPr lang="en-US" sz="1100" b="0" i="1">
                            <a:latin typeface="Cambria Math" panose="02040503050406030204" pitchFamily="18" charset="0"/>
                            <a:ea typeface="Cambria Math" panose="02040503050406030204" pitchFamily="18" charset="0"/>
                          </a:rPr>
                        </m:ctrlPr>
                      </m:sSupPr>
                      <m:e>
                        <m:d>
                          <m:dPr>
                            <m:ctrlPr>
                              <a:rPr lang="en-US" sz="1100" b="0" i="1">
                                <a:latin typeface="Cambria Math" panose="02040503050406030204" pitchFamily="18" charset="0"/>
                                <a:ea typeface="Cambria Math" panose="02040503050406030204" pitchFamily="18" charset="0"/>
                              </a:rPr>
                            </m:ctrlPr>
                          </m:dPr>
                          <m:e>
                            <m:r>
                              <a:rPr lang="en-US" sz="1100" b="0" i="1">
                                <a:latin typeface="Cambria Math" panose="02040503050406030204" pitchFamily="18" charset="0"/>
                                <a:ea typeface="Cambria Math" panose="02040503050406030204" pitchFamily="18" charset="0"/>
                              </a:rPr>
                              <m:t>1+7.93648%</m:t>
                            </m:r>
                          </m:e>
                        </m:d>
                      </m:e>
                      <m:sup>
                        <m:f>
                          <m:fPr>
                            <m:ctrlPr>
                              <a:rPr lang="en-US" sz="1100" b="0" i="1">
                                <a:latin typeface="Cambria Math" panose="02040503050406030204" pitchFamily="18" charset="0"/>
                                <a:ea typeface="Cambria Math" panose="02040503050406030204" pitchFamily="18" charset="0"/>
                              </a:rPr>
                            </m:ctrlPr>
                          </m:fPr>
                          <m:num>
                            <m:r>
                              <a:rPr lang="en-US" sz="1100" b="0" i="1">
                                <a:latin typeface="Cambria Math" panose="02040503050406030204" pitchFamily="18" charset="0"/>
                                <a:ea typeface="Cambria Math" panose="02040503050406030204" pitchFamily="18" charset="0"/>
                              </a:rPr>
                              <m:t>1</m:t>
                            </m:r>
                          </m:num>
                          <m:den>
                            <m:r>
                              <a:rPr lang="en-US" sz="1100" b="0" i="1">
                                <a:latin typeface="Cambria Math" panose="02040503050406030204" pitchFamily="18" charset="0"/>
                                <a:ea typeface="Cambria Math" panose="02040503050406030204" pitchFamily="18" charset="0"/>
                              </a:rPr>
                              <m:t>4</m:t>
                            </m:r>
                          </m:den>
                        </m:f>
                      </m:sup>
                    </m:sSup>
                    <m:r>
                      <a:rPr lang="en-US" sz="1100" b="0" i="1">
                        <a:latin typeface="Cambria Math" panose="02040503050406030204" pitchFamily="18" charset="0"/>
                        <a:ea typeface="Cambria Math" panose="02040503050406030204" pitchFamily="18" charset="0"/>
                      </a:rPr>
                      <m:t>−1=</m:t>
                    </m:r>
                  </m:oMath>
                </m:oMathPara>
              </a14:m>
              <a:endParaRPr lang="en-US" sz="1100"/>
            </a:p>
          </xdr:txBody>
        </xdr:sp>
      </mc:Choice>
      <mc:Fallback xmlns="">
        <xdr:sp macro="" textlink="">
          <xdr:nvSpPr>
            <xdr:cNvPr id="35" name="TextBox 34">
              <a:extLst>
                <a:ext uri="{FF2B5EF4-FFF2-40B4-BE49-F238E27FC236}">
                  <a16:creationId xmlns:a16="http://schemas.microsoft.com/office/drawing/2014/main" id="{8B91E198-06AE-5AD7-3FFC-5A6EED390D54}"/>
                </a:ext>
              </a:extLst>
            </xdr:cNvPr>
            <xdr:cNvSpPr txBox="1"/>
          </xdr:nvSpPr>
          <xdr:spPr>
            <a:xfrm>
              <a:off x="13508477033" y="57881631"/>
              <a:ext cx="318755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ea typeface="Cambria Math" panose="02040503050406030204" pitchFamily="18" charset="0"/>
                </a:rPr>
                <a:t>𝜋_𝑎𝑛𝑛𝑢𝑎𝑙=(1+7.93648%)^(1/4)−1=</a:t>
              </a:r>
              <a:endParaRPr lang="en-US" sz="1100"/>
            </a:p>
          </xdr:txBody>
        </xdr:sp>
      </mc:Fallback>
    </mc:AlternateContent>
    <xdr:clientData/>
  </xdr:oneCellAnchor>
  <xdr:oneCellAnchor>
    <xdr:from>
      <xdr:col>2</xdr:col>
      <xdr:colOff>146463</xdr:colOff>
      <xdr:row>386</xdr:row>
      <xdr:rowOff>20707</xdr:rowOff>
    </xdr:from>
    <xdr:ext cx="3877777" cy="177164"/>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52F2823F-39B2-A0BE-2026-C89FA4D57AFA}"/>
                </a:ext>
              </a:extLst>
            </xdr:cNvPr>
            <xdr:cNvSpPr txBox="1"/>
          </xdr:nvSpPr>
          <xdr:spPr>
            <a:xfrm>
              <a:off x="13519837460" y="61945907"/>
              <a:ext cx="3877777" cy="1771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𝜋</m:t>
                        </m:r>
                      </m:e>
                      <m:sub>
                        <m:r>
                          <a:rPr lang="en-US" sz="1100" b="0" i="1">
                            <a:latin typeface="Cambria Math" panose="02040503050406030204" pitchFamily="18" charset="0"/>
                            <a:ea typeface="Cambria Math" panose="02040503050406030204" pitchFamily="18" charset="0"/>
                          </a:rPr>
                          <m:t>0..4</m:t>
                        </m:r>
                      </m:sub>
                    </m:sSub>
                    <m:r>
                      <a:rPr lang="en-US" sz="1100" b="0" i="1">
                        <a:latin typeface="Cambria Math" panose="02040503050406030204" pitchFamily="18" charset="0"/>
                        <a:ea typeface="Cambria Math" panose="02040503050406030204" pitchFamily="18" charset="0"/>
                      </a:rPr>
                      <m:t>=7.93648%=</m:t>
                    </m:r>
                    <m:sSup>
                      <m:sSupPr>
                        <m:ctrlPr>
                          <a:rPr lang="en-US" sz="1100" b="0" i="1">
                            <a:solidFill>
                              <a:srgbClr val="00B0F0"/>
                            </a:solidFill>
                            <a:latin typeface="Cambria Math" panose="02040503050406030204" pitchFamily="18" charset="0"/>
                            <a:ea typeface="Cambria Math" panose="02040503050406030204" pitchFamily="18" charset="0"/>
                          </a:rPr>
                        </m:ctrlPr>
                      </m:sSupPr>
                      <m:e>
                        <m:d>
                          <m:dPr>
                            <m:ctrlPr>
                              <a:rPr lang="en-US" sz="1100" b="0" i="1">
                                <a:solidFill>
                                  <a:srgbClr val="00B0F0"/>
                                </a:solidFill>
                                <a:latin typeface="Cambria Math" panose="02040503050406030204" pitchFamily="18" charset="0"/>
                                <a:ea typeface="Cambria Math" panose="02040503050406030204" pitchFamily="18" charset="0"/>
                              </a:rPr>
                            </m:ctrlPr>
                          </m:dPr>
                          <m:e>
                            <m:r>
                              <a:rPr lang="en-US" sz="1100" b="0" i="1">
                                <a:solidFill>
                                  <a:srgbClr val="00B0F0"/>
                                </a:solidFill>
                                <a:latin typeface="Cambria Math" panose="02040503050406030204" pitchFamily="18" charset="0"/>
                                <a:ea typeface="Cambria Math" panose="02040503050406030204" pitchFamily="18" charset="0"/>
                              </a:rPr>
                              <m:t>1+1%</m:t>
                            </m:r>
                          </m:e>
                        </m:d>
                      </m:e>
                      <m:sup>
                        <m:r>
                          <a:rPr lang="en-US" sz="1100" b="0" i="1">
                            <a:solidFill>
                              <a:srgbClr val="00B0F0"/>
                            </a:solidFill>
                            <a:latin typeface="Cambria Math" panose="02040503050406030204" pitchFamily="18" charset="0"/>
                            <a:ea typeface="Cambria Math" panose="02040503050406030204" pitchFamily="18" charset="0"/>
                          </a:rPr>
                          <m:t>3</m:t>
                        </m:r>
                      </m:sup>
                    </m:sSup>
                    <m:r>
                      <a:rPr lang="en-US" sz="1100" b="0" i="1">
                        <a:latin typeface="Cambria Math" panose="02040503050406030204" pitchFamily="18" charset="0"/>
                        <a:ea typeface="Cambria Math" panose="02040503050406030204" pitchFamily="18" charset="0"/>
                      </a:rPr>
                      <m:t>∗</m:t>
                    </m:r>
                    <m:d>
                      <m:dPr>
                        <m:ctrlPr>
                          <a:rPr lang="en-US" sz="1100" b="0" i="1">
                            <a:latin typeface="Cambria Math" panose="02040503050406030204" pitchFamily="18" charset="0"/>
                            <a:ea typeface="Cambria Math" panose="02040503050406030204" pitchFamily="18" charset="0"/>
                          </a:rPr>
                        </m:ctrlPr>
                      </m:dPr>
                      <m:e>
                        <m:r>
                          <a:rPr lang="en-US" sz="1100" b="0" i="1">
                            <a:latin typeface="Cambria Math" panose="02040503050406030204" pitchFamily="18" charset="0"/>
                            <a:ea typeface="Cambria Math" panose="02040503050406030204" pitchFamily="18" charset="0"/>
                          </a:rPr>
                          <m:t>1+</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𝜋</m:t>
                            </m:r>
                          </m:e>
                          <m:sub>
                            <m:r>
                              <a:rPr lang="en-US" sz="1100" b="0" i="0">
                                <a:latin typeface="Cambria Math" panose="02040503050406030204" pitchFamily="18" charset="0"/>
                                <a:ea typeface="Cambria Math" panose="02040503050406030204" pitchFamily="18" charset="0"/>
                              </a:rPr>
                              <m:t>4</m:t>
                            </m:r>
                          </m:sub>
                        </m:sSub>
                      </m:e>
                    </m:d>
                    <m:r>
                      <a:rPr lang="en-US" sz="1100" b="0" i="1">
                        <a:solidFill>
                          <a:srgbClr val="FF0000"/>
                        </a:solidFill>
                        <a:latin typeface="Cambria Math" panose="02040503050406030204" pitchFamily="18" charset="0"/>
                        <a:ea typeface="Cambria Math" panose="02040503050406030204" pitchFamily="18" charset="0"/>
                      </a:rPr>
                      <m:t>−1</m:t>
                    </m:r>
                    <m:r>
                      <a:rPr lang="en-US" sz="1100" b="0" i="1">
                        <a:latin typeface="Cambria Math" panose="02040503050406030204" pitchFamily="18" charset="0"/>
                        <a:ea typeface="Cambria Math" panose="02040503050406030204" pitchFamily="18" charset="0"/>
                      </a:rPr>
                      <m:t>→</m:t>
                    </m:r>
                    <m:r>
                      <a:rPr lang="he-IL" sz="1100" b="0" i="1">
                        <a:latin typeface="Cambria Math" panose="02040503050406030204" pitchFamily="18" charset="0"/>
                        <a:ea typeface="Cambria Math" panose="02040503050406030204" pitchFamily="18" charset="0"/>
                      </a:rPr>
                      <m:t>         </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𝜋</m:t>
                        </m:r>
                      </m:e>
                      <m:sub>
                        <m:r>
                          <a:rPr lang="en-US" sz="1100" b="0" i="0">
                            <a:latin typeface="Cambria Math" panose="02040503050406030204" pitchFamily="18" charset="0"/>
                            <a:ea typeface="Cambria Math" panose="02040503050406030204" pitchFamily="18" charset="0"/>
                          </a:rPr>
                          <m:t>4</m:t>
                        </m:r>
                      </m:sub>
                    </m:sSub>
                    <m:r>
                      <a:rPr lang="en-US" sz="1100" b="0" i="1">
                        <a:latin typeface="Cambria Math" panose="02040503050406030204" pitchFamily="18" charset="0"/>
                        <a:ea typeface="Cambria Math" panose="02040503050406030204" pitchFamily="18" charset="0"/>
                      </a:rPr>
                      <m:t>=</m:t>
                    </m:r>
                  </m:oMath>
                </m:oMathPara>
              </a14:m>
              <a:endParaRPr lang="en-US" sz="1100"/>
            </a:p>
          </xdr:txBody>
        </xdr:sp>
      </mc:Choice>
      <mc:Fallback xmlns="">
        <xdr:sp macro="" textlink="">
          <xdr:nvSpPr>
            <xdr:cNvPr id="36" name="TextBox 35">
              <a:extLst>
                <a:ext uri="{FF2B5EF4-FFF2-40B4-BE49-F238E27FC236}">
                  <a16:creationId xmlns:a16="http://schemas.microsoft.com/office/drawing/2014/main" id="{52F2823F-39B2-A0BE-2026-C89FA4D57AFA}"/>
                </a:ext>
              </a:extLst>
            </xdr:cNvPr>
            <xdr:cNvSpPr txBox="1"/>
          </xdr:nvSpPr>
          <xdr:spPr>
            <a:xfrm>
              <a:off x="13519837460" y="61945907"/>
              <a:ext cx="3877777" cy="1771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ea typeface="Cambria Math" panose="02040503050406030204" pitchFamily="18" charset="0"/>
                </a:rPr>
                <a:t>𝜋_(0..4)=7.93648%=</a:t>
              </a:r>
              <a:r>
                <a:rPr lang="en-US" sz="1100" b="0" i="0">
                  <a:solidFill>
                    <a:srgbClr val="00B0F0"/>
                  </a:solidFill>
                  <a:latin typeface="Cambria Math" panose="02040503050406030204" pitchFamily="18" charset="0"/>
                  <a:ea typeface="Cambria Math" panose="02040503050406030204" pitchFamily="18" charset="0"/>
                </a:rPr>
                <a:t>(1+1%)^3</a:t>
              </a:r>
              <a:r>
                <a:rPr lang="en-US" sz="1100" b="0" i="0">
                  <a:latin typeface="Cambria Math" panose="02040503050406030204" pitchFamily="18" charset="0"/>
                  <a:ea typeface="Cambria Math" panose="02040503050406030204" pitchFamily="18" charset="0"/>
                </a:rPr>
                <a:t>∗(1+𝜋_4 )</a:t>
              </a:r>
              <a:r>
                <a:rPr lang="en-US" sz="1100" b="0" i="0">
                  <a:solidFill>
                    <a:srgbClr val="FF0000"/>
                  </a:solidFill>
                  <a:latin typeface="Cambria Math" panose="02040503050406030204" pitchFamily="18" charset="0"/>
                  <a:ea typeface="Cambria Math" panose="02040503050406030204" pitchFamily="18" charset="0"/>
                </a:rPr>
                <a:t>−1</a:t>
              </a:r>
              <a:r>
                <a:rPr lang="en-US" sz="1100" b="0" i="0">
                  <a:latin typeface="Cambria Math" panose="02040503050406030204" pitchFamily="18" charset="0"/>
                  <a:ea typeface="Cambria Math" panose="02040503050406030204" pitchFamily="18" charset="0"/>
                </a:rPr>
                <a:t>→</a:t>
              </a:r>
              <a:r>
                <a:rPr lang="he-IL" sz="1100" b="0" i="0">
                  <a:latin typeface="Cambria Math" panose="02040503050406030204" pitchFamily="18" charset="0"/>
                  <a:ea typeface="Cambria Math" panose="02040503050406030204" pitchFamily="18" charset="0"/>
                </a:rPr>
                <a:t>         </a:t>
              </a:r>
              <a:r>
                <a:rPr lang="en-US" sz="1100" b="0" i="0">
                  <a:latin typeface="Cambria Math" panose="02040503050406030204" pitchFamily="18" charset="0"/>
                  <a:ea typeface="Cambria Math" panose="02040503050406030204" pitchFamily="18" charset="0"/>
                </a:rPr>
                <a:t>𝜋_4=</a:t>
              </a:r>
              <a:endParaRPr lang="en-US" sz="1100"/>
            </a:p>
          </xdr:txBody>
        </xdr:sp>
      </mc:Fallback>
    </mc:AlternateContent>
    <xdr:clientData/>
  </xdr:oneCellAnchor>
  <xdr:twoCellAnchor>
    <xdr:from>
      <xdr:col>5</xdr:col>
      <xdr:colOff>573594</xdr:colOff>
      <xdr:row>234</xdr:row>
      <xdr:rowOff>170804</xdr:rowOff>
    </xdr:from>
    <xdr:to>
      <xdr:col>5</xdr:col>
      <xdr:colOff>635545</xdr:colOff>
      <xdr:row>235</xdr:row>
      <xdr:rowOff>159187</xdr:rowOff>
    </xdr:to>
    <xdr:sp macro="" textlink="">
      <xdr:nvSpPr>
        <xdr:cNvPr id="19" name="Down Arrow 18">
          <a:extLst>
            <a:ext uri="{FF2B5EF4-FFF2-40B4-BE49-F238E27FC236}">
              <a16:creationId xmlns:a16="http://schemas.microsoft.com/office/drawing/2014/main" id="{4DC64161-371B-5A95-F0F3-AD7707B3AAB1}"/>
            </a:ext>
          </a:extLst>
        </xdr:cNvPr>
        <xdr:cNvSpPr/>
      </xdr:nvSpPr>
      <xdr:spPr>
        <a:xfrm>
          <a:off x="13550045335" y="47527494"/>
          <a:ext cx="61951" cy="189616"/>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11</xdr:col>
      <xdr:colOff>158749</xdr:colOff>
      <xdr:row>235</xdr:row>
      <xdr:rowOff>34848</xdr:rowOff>
    </xdr:from>
    <xdr:to>
      <xdr:col>11</xdr:col>
      <xdr:colOff>220700</xdr:colOff>
      <xdr:row>236</xdr:row>
      <xdr:rowOff>23232</xdr:rowOff>
    </xdr:to>
    <xdr:sp macro="" textlink="">
      <xdr:nvSpPr>
        <xdr:cNvPr id="25" name="Down Arrow 24">
          <a:extLst>
            <a:ext uri="{FF2B5EF4-FFF2-40B4-BE49-F238E27FC236}">
              <a16:creationId xmlns:a16="http://schemas.microsoft.com/office/drawing/2014/main" id="{BBA46313-CF63-0EF8-63BB-747FA377F1AF}"/>
            </a:ext>
          </a:extLst>
        </xdr:cNvPr>
        <xdr:cNvSpPr/>
      </xdr:nvSpPr>
      <xdr:spPr>
        <a:xfrm>
          <a:off x="13503011708" y="34444878"/>
          <a:ext cx="61951" cy="189726"/>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3</xdr:col>
      <xdr:colOff>203040</xdr:colOff>
      <xdr:row>249</xdr:row>
      <xdr:rowOff>202386</xdr:rowOff>
    </xdr:from>
    <xdr:to>
      <xdr:col>3</xdr:col>
      <xdr:colOff>355782</xdr:colOff>
      <xdr:row>250</xdr:row>
      <xdr:rowOff>199059</xdr:rowOff>
    </xdr:to>
    <xdr:sp macro="" textlink="">
      <xdr:nvSpPr>
        <xdr:cNvPr id="37" name="Down Arrow 36">
          <a:extLst>
            <a:ext uri="{FF2B5EF4-FFF2-40B4-BE49-F238E27FC236}">
              <a16:creationId xmlns:a16="http://schemas.microsoft.com/office/drawing/2014/main" id="{886E5476-506B-BD65-C5FB-F909795F6C3F}"/>
            </a:ext>
          </a:extLst>
        </xdr:cNvPr>
        <xdr:cNvSpPr/>
      </xdr:nvSpPr>
      <xdr:spPr>
        <a:xfrm>
          <a:off x="13499334155" y="37096085"/>
          <a:ext cx="152742" cy="199714"/>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8</xdr:col>
      <xdr:colOff>696708</xdr:colOff>
      <xdr:row>276</xdr:row>
      <xdr:rowOff>7308</xdr:rowOff>
    </xdr:from>
    <xdr:to>
      <xdr:col>8</xdr:col>
      <xdr:colOff>781769</xdr:colOff>
      <xdr:row>277</xdr:row>
      <xdr:rowOff>0</xdr:rowOff>
    </xdr:to>
    <xdr:sp macro="" textlink="">
      <xdr:nvSpPr>
        <xdr:cNvPr id="38" name="Down Arrow 37">
          <a:extLst>
            <a:ext uri="{FF2B5EF4-FFF2-40B4-BE49-F238E27FC236}">
              <a16:creationId xmlns:a16="http://schemas.microsoft.com/office/drawing/2014/main" id="{5B0EE663-5203-338D-97CC-19AB0EBFE0E3}"/>
            </a:ext>
          </a:extLst>
        </xdr:cNvPr>
        <xdr:cNvSpPr/>
      </xdr:nvSpPr>
      <xdr:spPr>
        <a:xfrm rot="1482273">
          <a:off x="13494787635" y="39134455"/>
          <a:ext cx="85061" cy="195733"/>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8</xdr:col>
      <xdr:colOff>79622</xdr:colOff>
      <xdr:row>276</xdr:row>
      <xdr:rowOff>3327</xdr:rowOff>
    </xdr:from>
    <xdr:to>
      <xdr:col>8</xdr:col>
      <xdr:colOff>164683</xdr:colOff>
      <xdr:row>276</xdr:row>
      <xdr:rowOff>199060</xdr:rowOff>
    </xdr:to>
    <xdr:sp macro="" textlink="">
      <xdr:nvSpPr>
        <xdr:cNvPr id="39" name="Down Arrow 38">
          <a:extLst>
            <a:ext uri="{FF2B5EF4-FFF2-40B4-BE49-F238E27FC236}">
              <a16:creationId xmlns:a16="http://schemas.microsoft.com/office/drawing/2014/main" id="{8391E62F-80B0-6D1E-9AD4-9221E51D0674}"/>
            </a:ext>
          </a:extLst>
        </xdr:cNvPr>
        <xdr:cNvSpPr/>
      </xdr:nvSpPr>
      <xdr:spPr>
        <a:xfrm rot="1482273">
          <a:off x="13495404721" y="39130474"/>
          <a:ext cx="85061" cy="195733"/>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5</xdr:col>
      <xdr:colOff>733425</xdr:colOff>
      <xdr:row>292</xdr:row>
      <xdr:rowOff>68262</xdr:rowOff>
    </xdr:from>
    <xdr:ext cx="2687005" cy="328103"/>
    <mc:AlternateContent xmlns:mc="http://schemas.openxmlformats.org/markup-compatibility/2006" xmlns:a14="http://schemas.microsoft.com/office/drawing/2010/main">
      <mc:Choice Requires="a14">
        <xdr:sp macro="" textlink="">
          <xdr:nvSpPr>
            <xdr:cNvPr id="40" name="TextBox 39">
              <a:extLst>
                <a:ext uri="{FF2B5EF4-FFF2-40B4-BE49-F238E27FC236}">
                  <a16:creationId xmlns:a16="http://schemas.microsoft.com/office/drawing/2014/main" id="{13D67C21-7C1E-CBCB-F8B6-F722F306A6B7}"/>
                </a:ext>
              </a:extLst>
            </xdr:cNvPr>
            <xdr:cNvSpPr txBox="1"/>
          </xdr:nvSpPr>
          <xdr:spPr>
            <a:xfrm>
              <a:off x="13517964770" y="42486262"/>
              <a:ext cx="2687005" cy="328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𝑛</m:t>
                            </m:r>
                          </m:sub>
                        </m:sSub>
                      </m:num>
                      <m:den>
                        <m:r>
                          <a:rPr lang="en-US" sz="1100" b="0" i="1">
                            <a:latin typeface="Cambria Math" panose="02040503050406030204" pitchFamily="18" charset="0"/>
                          </a:rPr>
                          <m:t>1+</m:t>
                        </m:r>
                        <m:r>
                          <a:rPr lang="en-US" sz="1100" b="0" i="1">
                            <a:latin typeface="Cambria Math" panose="02040503050406030204" pitchFamily="18" charset="0"/>
                            <a:ea typeface="Cambria Math" panose="02040503050406030204" pitchFamily="18" charset="0"/>
                          </a:rPr>
                          <m:t>𝜋</m:t>
                        </m:r>
                      </m:den>
                    </m:f>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1+203.1165%</m:t>
                        </m:r>
                      </m:num>
                      <m:den>
                        <m:r>
                          <a:rPr lang="en-US" sz="1100" b="0" i="1">
                            <a:latin typeface="Cambria Math" panose="02040503050406030204" pitchFamily="18" charset="0"/>
                          </a:rPr>
                          <m:t>1+37.5968%</m:t>
                        </m:r>
                      </m:den>
                    </m:f>
                    <m:r>
                      <a:rPr lang="en-US" sz="1100" b="0" i="1">
                        <a:latin typeface="Cambria Math" panose="02040503050406030204" pitchFamily="18" charset="0"/>
                      </a:rPr>
                      <m:t>−1=</m:t>
                    </m:r>
                  </m:oMath>
                </m:oMathPara>
              </a14:m>
              <a:endParaRPr lang="en-US" sz="1100"/>
            </a:p>
          </xdr:txBody>
        </xdr:sp>
      </mc:Choice>
      <mc:Fallback xmlns="">
        <xdr:sp macro="" textlink="">
          <xdr:nvSpPr>
            <xdr:cNvPr id="40" name="TextBox 39">
              <a:extLst>
                <a:ext uri="{FF2B5EF4-FFF2-40B4-BE49-F238E27FC236}">
                  <a16:creationId xmlns:a16="http://schemas.microsoft.com/office/drawing/2014/main" id="{13D67C21-7C1E-CBCB-F8B6-F722F306A6B7}"/>
                </a:ext>
              </a:extLst>
            </xdr:cNvPr>
            <xdr:cNvSpPr txBox="1"/>
          </xdr:nvSpPr>
          <xdr:spPr>
            <a:xfrm>
              <a:off x="13517964770" y="42486262"/>
              <a:ext cx="2687005" cy="328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𝑟_𝑟=(1+𝑟_𝑛)/(1+</a:t>
              </a:r>
              <a:r>
                <a:rPr lang="en-US" sz="1100" b="0" i="0">
                  <a:latin typeface="Cambria Math" panose="02040503050406030204" pitchFamily="18" charset="0"/>
                  <a:ea typeface="Cambria Math" panose="02040503050406030204" pitchFamily="18" charset="0"/>
                </a:rPr>
                <a:t>𝜋)</a:t>
              </a:r>
              <a:r>
                <a:rPr lang="en-US" sz="1100" b="0" i="0">
                  <a:latin typeface="Cambria Math" panose="02040503050406030204" pitchFamily="18" charset="0"/>
                </a:rPr>
                <a:t>−1=(1+203.1165%)/(1+37.5968%)−1=</a:t>
              </a:r>
              <a:endParaRPr lang="en-US" sz="1100"/>
            </a:p>
          </xdr:txBody>
        </xdr:sp>
      </mc:Fallback>
    </mc:AlternateContent>
    <xdr:clientData/>
  </xdr:oneCellAnchor>
  <xdr:oneCellAnchor>
    <xdr:from>
      <xdr:col>4</xdr:col>
      <xdr:colOff>581026</xdr:colOff>
      <xdr:row>293</xdr:row>
      <xdr:rowOff>195261</xdr:rowOff>
    </xdr:from>
    <xdr:ext cx="4058605" cy="254878"/>
    <mc:AlternateContent xmlns:mc="http://schemas.openxmlformats.org/markup-compatibility/2006" xmlns:a14="http://schemas.microsoft.com/office/drawing/2010/main">
      <mc:Choice Requires="a14">
        <xdr:sp macro="" textlink="">
          <xdr:nvSpPr>
            <xdr:cNvPr id="41" name="TextBox 40">
              <a:extLst>
                <a:ext uri="{FF2B5EF4-FFF2-40B4-BE49-F238E27FC236}">
                  <a16:creationId xmlns:a16="http://schemas.microsoft.com/office/drawing/2014/main" id="{DFD3833F-BFE5-95A7-6C9D-C57792F448A7}"/>
                </a:ext>
              </a:extLst>
            </xdr:cNvPr>
            <xdr:cNvSpPr txBox="1"/>
          </xdr:nvSpPr>
          <xdr:spPr>
            <a:xfrm>
              <a:off x="13517571069" y="42905361"/>
              <a:ext cx="4058605" cy="2548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e>
                        </m:d>
                      </m:e>
                      <m:sup>
                        <m:r>
                          <a:rPr lang="en-US" sz="1100" b="0" i="1">
                            <a:latin typeface="Cambria Math" panose="02040503050406030204" pitchFamily="18" charset="0"/>
                          </a:rPr>
                          <m:t>𝑛</m:t>
                        </m:r>
                      </m:sup>
                    </m:sSup>
                    <m:r>
                      <a:rPr lang="en-US" sz="1100" b="0" i="1">
                        <a:latin typeface="Cambria Math" panose="02040503050406030204" pitchFamily="18" charset="0"/>
                      </a:rPr>
                      <m:t>−1→</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0">
                                <a:latin typeface="Cambria Math" panose="02040503050406030204" pitchFamily="18" charset="0"/>
                              </a:rPr>
                              <m:t>1+120.2933%</m:t>
                            </m:r>
                          </m:e>
                        </m:d>
                      </m:e>
                      <m:sup>
                        <m:f>
                          <m:fPr>
                            <m:ctrlPr>
                              <a:rPr lang="en-US" sz="1100" b="0" i="1">
                                <a:latin typeface="Cambria Math" panose="02040503050406030204" pitchFamily="18" charset="0"/>
                              </a:rPr>
                            </m:ctrlPr>
                          </m:fPr>
                          <m:num>
                            <m:r>
                              <a:rPr lang="en-US" sz="1100" b="0" i="1">
                                <a:latin typeface="Cambria Math" panose="02040503050406030204" pitchFamily="18" charset="0"/>
                              </a:rPr>
                              <m:t>12</m:t>
                            </m:r>
                          </m:num>
                          <m:den>
                            <m:r>
                              <a:rPr lang="en-US" sz="1100" b="0" i="1">
                                <a:latin typeface="Cambria Math" panose="02040503050406030204" pitchFamily="18" charset="0"/>
                              </a:rPr>
                              <m:t>56</m:t>
                            </m:r>
                          </m:den>
                        </m:f>
                      </m:sup>
                    </m:sSup>
                    <m:r>
                      <a:rPr lang="en-US" sz="1100" b="0" i="1">
                        <a:latin typeface="Cambria Math" panose="02040503050406030204" pitchFamily="18" charset="0"/>
                      </a:rPr>
                      <m:t>−1=18.441%</m:t>
                    </m:r>
                  </m:oMath>
                </m:oMathPara>
              </a14:m>
              <a:endParaRPr lang="en-US" sz="1100"/>
            </a:p>
          </xdr:txBody>
        </xdr:sp>
      </mc:Choice>
      <mc:Fallback xmlns="">
        <xdr:sp macro="" textlink="">
          <xdr:nvSpPr>
            <xdr:cNvPr id="41" name="TextBox 40">
              <a:extLst>
                <a:ext uri="{FF2B5EF4-FFF2-40B4-BE49-F238E27FC236}">
                  <a16:creationId xmlns:a16="http://schemas.microsoft.com/office/drawing/2014/main" id="{DFD3833F-BFE5-95A7-6C9D-C57792F448A7}"/>
                </a:ext>
              </a:extLst>
            </xdr:cNvPr>
            <xdr:cNvSpPr txBox="1"/>
          </xdr:nvSpPr>
          <xdr:spPr>
            <a:xfrm>
              <a:off x="13517571069" y="42905361"/>
              <a:ext cx="4058605" cy="2548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𝑟_𝑟 (𝑎𝑛𝑛𝑢𝑎𝑙)=(1+𝑟_𝑟 )^𝑛−1→(1+120.2933%)^(12/56)−1=18.441%</a:t>
              </a:r>
              <a:endParaRPr lang="en-US" sz="1100"/>
            </a:p>
          </xdr:txBody>
        </xdr:sp>
      </mc:Fallback>
    </mc:AlternateContent>
    <xdr:clientData/>
  </xdr:oneCellAnchor>
  <xdr:twoCellAnchor>
    <xdr:from>
      <xdr:col>5</xdr:col>
      <xdr:colOff>317499</xdr:colOff>
      <xdr:row>339</xdr:row>
      <xdr:rowOff>139699</xdr:rowOff>
    </xdr:from>
    <xdr:to>
      <xdr:col>7</xdr:col>
      <xdr:colOff>457199</xdr:colOff>
      <xdr:row>348</xdr:row>
      <xdr:rowOff>9524</xdr:rowOff>
    </xdr:to>
    <xdr:sp macro="" textlink="">
      <xdr:nvSpPr>
        <xdr:cNvPr id="42" name="Triangle 41">
          <a:extLst>
            <a:ext uri="{FF2B5EF4-FFF2-40B4-BE49-F238E27FC236}">
              <a16:creationId xmlns:a16="http://schemas.microsoft.com/office/drawing/2014/main" id="{0BC47582-895F-30FE-8325-F684C8B3EE2C}"/>
            </a:ext>
          </a:extLst>
        </xdr:cNvPr>
        <xdr:cNvSpPr/>
      </xdr:nvSpPr>
      <xdr:spPr>
        <a:xfrm>
          <a:off x="13518756301" y="52514499"/>
          <a:ext cx="2311400" cy="1698625"/>
        </a:xfrm>
        <a:prstGeom prst="triangl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6</xdr:col>
      <xdr:colOff>574675</xdr:colOff>
      <xdr:row>346</xdr:row>
      <xdr:rowOff>107950</xdr:rowOff>
    </xdr:from>
    <xdr:to>
      <xdr:col>7</xdr:col>
      <xdr:colOff>127000</xdr:colOff>
      <xdr:row>347</xdr:row>
      <xdr:rowOff>152400</xdr:rowOff>
    </xdr:to>
    <xdr:sp macro="" textlink="">
      <xdr:nvSpPr>
        <xdr:cNvPr id="43" name="Rounded Rectangle 42">
          <a:extLst>
            <a:ext uri="{FF2B5EF4-FFF2-40B4-BE49-F238E27FC236}">
              <a16:creationId xmlns:a16="http://schemas.microsoft.com/office/drawing/2014/main" id="{F6D19A1E-0968-286F-F1AA-330645958CAC}"/>
            </a:ext>
          </a:extLst>
        </xdr:cNvPr>
        <xdr:cNvSpPr/>
      </xdr:nvSpPr>
      <xdr:spPr>
        <a:xfrm>
          <a:off x="13519086500" y="53905150"/>
          <a:ext cx="377825" cy="2476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en-US" sz="1100"/>
            <a:t>rn</a:t>
          </a:r>
        </a:p>
      </xdr:txBody>
    </xdr:sp>
    <xdr:clientData/>
  </xdr:twoCellAnchor>
  <xdr:twoCellAnchor>
    <xdr:from>
      <xdr:col>5</xdr:col>
      <xdr:colOff>663575</xdr:colOff>
      <xdr:row>346</xdr:row>
      <xdr:rowOff>88900</xdr:rowOff>
    </xdr:from>
    <xdr:to>
      <xdr:col>5</xdr:col>
      <xdr:colOff>1041400</xdr:colOff>
      <xdr:row>347</xdr:row>
      <xdr:rowOff>133350</xdr:rowOff>
    </xdr:to>
    <xdr:sp macro="" textlink="">
      <xdr:nvSpPr>
        <xdr:cNvPr id="45" name="Rounded Rectangle 44">
          <a:extLst>
            <a:ext uri="{FF2B5EF4-FFF2-40B4-BE49-F238E27FC236}">
              <a16:creationId xmlns:a16="http://schemas.microsoft.com/office/drawing/2014/main" id="{785E702F-0548-B6EA-251E-5A148717ABF7}"/>
            </a:ext>
          </a:extLst>
        </xdr:cNvPr>
        <xdr:cNvSpPr/>
      </xdr:nvSpPr>
      <xdr:spPr>
        <a:xfrm>
          <a:off x="13520343800" y="53886100"/>
          <a:ext cx="377825" cy="2476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en-US" sz="1100"/>
            <a:t>rr</a:t>
          </a:r>
        </a:p>
      </xdr:txBody>
    </xdr:sp>
    <xdr:clientData/>
  </xdr:twoCellAnchor>
  <xdr:twoCellAnchor>
    <xdr:from>
      <xdr:col>5</xdr:col>
      <xdr:colOff>1263649</xdr:colOff>
      <xdr:row>341</xdr:row>
      <xdr:rowOff>200024</xdr:rowOff>
    </xdr:from>
    <xdr:to>
      <xdr:col>6</xdr:col>
      <xdr:colOff>368299</xdr:colOff>
      <xdr:row>345</xdr:row>
      <xdr:rowOff>31749</xdr:rowOff>
    </xdr:to>
    <xdr:sp macro="" textlink="">
      <xdr:nvSpPr>
        <xdr:cNvPr id="46" name="Rounded Rectangle 45">
          <a:extLst>
            <a:ext uri="{FF2B5EF4-FFF2-40B4-BE49-F238E27FC236}">
              <a16:creationId xmlns:a16="http://schemas.microsoft.com/office/drawing/2014/main" id="{2B18713C-5576-684F-4EBE-DF6B399AD78B}"/>
            </a:ext>
          </a:extLst>
        </xdr:cNvPr>
        <xdr:cNvSpPr/>
      </xdr:nvSpPr>
      <xdr:spPr>
        <a:xfrm>
          <a:off x="13519670701" y="52981224"/>
          <a:ext cx="450850" cy="6445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אינפלציה</a:t>
          </a:r>
          <a:endParaRPr lang="en-US" sz="1100"/>
        </a:p>
      </xdr:txBody>
    </xdr:sp>
    <xdr:clientData/>
  </xdr:twoCellAnchor>
  <xdr:twoCellAnchor>
    <xdr:from>
      <xdr:col>4</xdr:col>
      <xdr:colOff>12700</xdr:colOff>
      <xdr:row>379</xdr:row>
      <xdr:rowOff>57150</xdr:rowOff>
    </xdr:from>
    <xdr:to>
      <xdr:col>4</xdr:col>
      <xdr:colOff>117475</xdr:colOff>
      <xdr:row>379</xdr:row>
      <xdr:rowOff>161925</xdr:rowOff>
    </xdr:to>
    <xdr:sp macro="" textlink="">
      <xdr:nvSpPr>
        <xdr:cNvPr id="47" name="Down Arrow 46">
          <a:extLst>
            <a:ext uri="{FF2B5EF4-FFF2-40B4-BE49-F238E27FC236}">
              <a16:creationId xmlns:a16="http://schemas.microsoft.com/office/drawing/2014/main" id="{F5ACA6F8-8364-336A-53F7-34EE0DF03E37}"/>
            </a:ext>
          </a:extLst>
        </xdr:cNvPr>
        <xdr:cNvSpPr/>
      </xdr:nvSpPr>
      <xdr:spPr>
        <a:xfrm>
          <a:off x="13522093225" y="60559950"/>
          <a:ext cx="104775" cy="104775"/>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3</xdr:col>
      <xdr:colOff>469900</xdr:colOff>
      <xdr:row>377</xdr:row>
      <xdr:rowOff>63500</xdr:rowOff>
    </xdr:from>
    <xdr:to>
      <xdr:col>3</xdr:col>
      <xdr:colOff>574675</xdr:colOff>
      <xdr:row>377</xdr:row>
      <xdr:rowOff>168275</xdr:rowOff>
    </xdr:to>
    <xdr:sp macro="" textlink="">
      <xdr:nvSpPr>
        <xdr:cNvPr id="48" name="Down Arrow 47">
          <a:extLst>
            <a:ext uri="{FF2B5EF4-FFF2-40B4-BE49-F238E27FC236}">
              <a16:creationId xmlns:a16="http://schemas.microsoft.com/office/drawing/2014/main" id="{4CAFFE6F-2BE9-094F-3516-4252881F50F7}"/>
            </a:ext>
          </a:extLst>
        </xdr:cNvPr>
        <xdr:cNvSpPr/>
      </xdr:nvSpPr>
      <xdr:spPr>
        <a:xfrm rot="10800000">
          <a:off x="13522461525" y="60159900"/>
          <a:ext cx="104775" cy="104775"/>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5</xdr:col>
      <xdr:colOff>701675</xdr:colOff>
      <xdr:row>387</xdr:row>
      <xdr:rowOff>19050</xdr:rowOff>
    </xdr:from>
    <xdr:to>
      <xdr:col>5</xdr:col>
      <xdr:colOff>825500</xdr:colOff>
      <xdr:row>388</xdr:row>
      <xdr:rowOff>12700</xdr:rowOff>
    </xdr:to>
    <xdr:sp macro="" textlink="">
      <xdr:nvSpPr>
        <xdr:cNvPr id="49" name="Down Arrow 48">
          <a:extLst>
            <a:ext uri="{FF2B5EF4-FFF2-40B4-BE49-F238E27FC236}">
              <a16:creationId xmlns:a16="http://schemas.microsoft.com/office/drawing/2014/main" id="{C077D0BD-C238-6857-6552-F9C78C86AECC}"/>
            </a:ext>
          </a:extLst>
        </xdr:cNvPr>
        <xdr:cNvSpPr/>
      </xdr:nvSpPr>
      <xdr:spPr>
        <a:xfrm>
          <a:off x="13520559700" y="62147450"/>
          <a:ext cx="123825" cy="19685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4</xdr:col>
      <xdr:colOff>650875</xdr:colOff>
      <xdr:row>387</xdr:row>
      <xdr:rowOff>25400</xdr:rowOff>
    </xdr:from>
    <xdr:to>
      <xdr:col>4</xdr:col>
      <xdr:colOff>762000</xdr:colOff>
      <xdr:row>389</xdr:row>
      <xdr:rowOff>158750</xdr:rowOff>
    </xdr:to>
    <xdr:sp macro="" textlink="">
      <xdr:nvSpPr>
        <xdr:cNvPr id="50" name="Down Arrow 49">
          <a:extLst>
            <a:ext uri="{FF2B5EF4-FFF2-40B4-BE49-F238E27FC236}">
              <a16:creationId xmlns:a16="http://schemas.microsoft.com/office/drawing/2014/main" id="{593B8C2D-4363-DBF2-B5B6-5FCE95120B50}"/>
            </a:ext>
          </a:extLst>
        </xdr:cNvPr>
        <xdr:cNvSpPr/>
      </xdr:nvSpPr>
      <xdr:spPr>
        <a:xfrm>
          <a:off x="13521448700" y="62153800"/>
          <a:ext cx="111125" cy="53975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3</xdr:col>
      <xdr:colOff>492125</xdr:colOff>
      <xdr:row>386</xdr:row>
      <xdr:rowOff>168275</xdr:rowOff>
    </xdr:from>
    <xdr:to>
      <xdr:col>3</xdr:col>
      <xdr:colOff>603250</xdr:colOff>
      <xdr:row>389</xdr:row>
      <xdr:rowOff>98425</xdr:rowOff>
    </xdr:to>
    <xdr:sp macro="" textlink="">
      <xdr:nvSpPr>
        <xdr:cNvPr id="51" name="Down Arrow 50">
          <a:extLst>
            <a:ext uri="{FF2B5EF4-FFF2-40B4-BE49-F238E27FC236}">
              <a16:creationId xmlns:a16="http://schemas.microsoft.com/office/drawing/2014/main" id="{FD9EB509-E243-211F-0DBF-6601B344954E}"/>
            </a:ext>
          </a:extLst>
        </xdr:cNvPr>
        <xdr:cNvSpPr/>
      </xdr:nvSpPr>
      <xdr:spPr>
        <a:xfrm rot="19517413">
          <a:off x="13522432950" y="62093475"/>
          <a:ext cx="111125" cy="53975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3</xdr:col>
      <xdr:colOff>447675</xdr:colOff>
      <xdr:row>395</xdr:row>
      <xdr:rowOff>128586</xdr:rowOff>
    </xdr:from>
    <xdr:ext cx="2591754" cy="173766"/>
    <mc:AlternateContent xmlns:mc="http://schemas.openxmlformats.org/markup-compatibility/2006" xmlns:a14="http://schemas.microsoft.com/office/drawing/2010/main">
      <mc:Choice Requires="a14">
        <xdr:sp macro="" textlink="">
          <xdr:nvSpPr>
            <xdr:cNvPr id="52" name="TextBox 51">
              <a:extLst>
                <a:ext uri="{FF2B5EF4-FFF2-40B4-BE49-F238E27FC236}">
                  <a16:creationId xmlns:a16="http://schemas.microsoft.com/office/drawing/2014/main" id="{D9F70E55-228C-8086-2BAC-8488A9A2AC9B}"/>
                </a:ext>
              </a:extLst>
            </xdr:cNvPr>
            <xdr:cNvSpPr txBox="1"/>
          </xdr:nvSpPr>
          <xdr:spPr>
            <a:xfrm>
              <a:off x="13519996771" y="63882586"/>
              <a:ext cx="259175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solidFill>
                          <a:srgbClr val="FF0000"/>
                        </a:solidFill>
                        <a:latin typeface="Cambria Math" panose="02040503050406030204" pitchFamily="18" charset="0"/>
                      </a:rPr>
                      <m:t>1</m:t>
                    </m:r>
                    <m:r>
                      <a:rPr lang="he-IL" sz="1100" b="0" i="1">
                        <a:latin typeface="Cambria Math" panose="02040503050406030204" pitchFamily="18" charset="0"/>
                      </a:rPr>
                      <m:t>+7.93648%=</m:t>
                    </m:r>
                    <m:r>
                      <a:rPr lang="he-IL" sz="1100" b="0" i="1">
                        <a:solidFill>
                          <a:srgbClr val="00B0F0"/>
                        </a:solidFill>
                        <a:latin typeface="Cambria Math" panose="02040503050406030204" pitchFamily="18" charset="0"/>
                      </a:rPr>
                      <m:t>1.030301</m:t>
                    </m:r>
                    <m:r>
                      <a:rPr lang="he-IL" sz="1100" b="0" i="1">
                        <a:latin typeface="Cambria Math" panose="02040503050406030204" pitchFamily="18" charset="0"/>
                      </a:rPr>
                      <m:t>∗</m:t>
                    </m:r>
                    <m:d>
                      <m:dPr>
                        <m:ctrlPr>
                          <a:rPr lang="en-US" sz="1100" b="0" i="1">
                            <a:latin typeface="Cambria Math" panose="02040503050406030204" pitchFamily="18" charset="0"/>
                            <a:ea typeface="Cambria Math" panose="02040503050406030204" pitchFamily="18" charset="0"/>
                          </a:rPr>
                        </m:ctrlPr>
                      </m:dPr>
                      <m:e>
                        <m:r>
                          <a:rPr lang="en-US" sz="1100" b="0" i="1">
                            <a:latin typeface="Cambria Math" panose="02040503050406030204" pitchFamily="18" charset="0"/>
                            <a:ea typeface="Cambria Math" panose="02040503050406030204" pitchFamily="18" charset="0"/>
                          </a:rPr>
                          <m:t>1+</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𝜋</m:t>
                            </m:r>
                          </m:e>
                          <m:sub>
                            <m:r>
                              <a:rPr lang="en-US" sz="1100" b="0" i="0">
                                <a:latin typeface="Cambria Math" panose="02040503050406030204" pitchFamily="18" charset="0"/>
                                <a:ea typeface="Cambria Math" panose="02040503050406030204" pitchFamily="18" charset="0"/>
                              </a:rPr>
                              <m:t>4</m:t>
                            </m:r>
                          </m:sub>
                        </m:sSub>
                      </m:e>
                    </m:d>
                  </m:oMath>
                </m:oMathPara>
              </a14:m>
              <a:endParaRPr lang="en-US" sz="1100"/>
            </a:p>
          </xdr:txBody>
        </xdr:sp>
      </mc:Choice>
      <mc:Fallback xmlns="">
        <xdr:sp macro="" textlink="">
          <xdr:nvSpPr>
            <xdr:cNvPr id="52" name="TextBox 51">
              <a:extLst>
                <a:ext uri="{FF2B5EF4-FFF2-40B4-BE49-F238E27FC236}">
                  <a16:creationId xmlns:a16="http://schemas.microsoft.com/office/drawing/2014/main" id="{D9F70E55-228C-8086-2BAC-8488A9A2AC9B}"/>
                </a:ext>
              </a:extLst>
            </xdr:cNvPr>
            <xdr:cNvSpPr txBox="1"/>
          </xdr:nvSpPr>
          <xdr:spPr>
            <a:xfrm>
              <a:off x="13519996771" y="63882586"/>
              <a:ext cx="259175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solidFill>
                    <a:srgbClr val="FF0000"/>
                  </a:solidFill>
                  <a:latin typeface="Cambria Math" panose="02040503050406030204" pitchFamily="18" charset="0"/>
                </a:rPr>
                <a:t>1</a:t>
              </a:r>
              <a:r>
                <a:rPr lang="he-IL" sz="1100" b="0" i="0">
                  <a:latin typeface="Cambria Math" panose="02040503050406030204" pitchFamily="18" charset="0"/>
                </a:rPr>
                <a:t>+7.93648%=</a:t>
              </a:r>
              <a:r>
                <a:rPr lang="he-IL" sz="1100" b="0" i="0">
                  <a:solidFill>
                    <a:srgbClr val="00B0F0"/>
                  </a:solidFill>
                  <a:latin typeface="Cambria Math" panose="02040503050406030204" pitchFamily="18" charset="0"/>
                </a:rPr>
                <a:t>1.030301</a:t>
              </a:r>
              <a:r>
                <a:rPr lang="he-IL" sz="1100" b="0" i="0">
                  <a:latin typeface="Cambria Math" panose="02040503050406030204" pitchFamily="18" charset="0"/>
                </a:rPr>
                <a:t>∗</a:t>
              </a:r>
              <a:r>
                <a:rPr lang="en-US" sz="1100" b="0" i="0">
                  <a:latin typeface="Cambria Math" panose="02040503050406030204" pitchFamily="18" charset="0"/>
                  <a:ea typeface="Cambria Math" panose="02040503050406030204" pitchFamily="18" charset="0"/>
                </a:rPr>
                <a:t>(1+𝜋_4 )</a:t>
              </a:r>
              <a:endParaRPr lang="en-US" sz="1100"/>
            </a:p>
          </xdr:txBody>
        </xdr:sp>
      </mc:Fallback>
    </mc:AlternateContent>
    <xdr:clientData/>
  </xdr:oneCellAnchor>
  <xdr:oneCellAnchor>
    <xdr:from>
      <xdr:col>3</xdr:col>
      <xdr:colOff>463550</xdr:colOff>
      <xdr:row>397</xdr:row>
      <xdr:rowOff>61911</xdr:rowOff>
    </xdr:from>
    <xdr:ext cx="2591754" cy="316882"/>
    <mc:AlternateContent xmlns:mc="http://schemas.openxmlformats.org/markup-compatibility/2006" xmlns:a14="http://schemas.microsoft.com/office/drawing/2010/main">
      <mc:Choice Requires="a14">
        <xdr:sp macro="" textlink="">
          <xdr:nvSpPr>
            <xdr:cNvPr id="53" name="TextBox 52">
              <a:extLst>
                <a:ext uri="{FF2B5EF4-FFF2-40B4-BE49-F238E27FC236}">
                  <a16:creationId xmlns:a16="http://schemas.microsoft.com/office/drawing/2014/main" id="{1DB7148E-019B-FDA6-1ED0-C11473A55B56}"/>
                </a:ext>
              </a:extLst>
            </xdr:cNvPr>
            <xdr:cNvSpPr txBox="1"/>
          </xdr:nvSpPr>
          <xdr:spPr>
            <a:xfrm>
              <a:off x="13519980896" y="64222311"/>
              <a:ext cx="2591754"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f>
                      <m:fPr>
                        <m:ctrlPr>
                          <a:rPr lang="he-IL" sz="1100" b="0" i="1">
                            <a:solidFill>
                              <a:srgbClr val="FF0000"/>
                            </a:solidFill>
                            <a:latin typeface="Cambria Math" panose="02040503050406030204" pitchFamily="18" charset="0"/>
                          </a:rPr>
                        </m:ctrlPr>
                      </m:fPr>
                      <m:num>
                        <m:r>
                          <a:rPr lang="he-IL" sz="1100" b="0" i="1">
                            <a:solidFill>
                              <a:srgbClr val="FF0000"/>
                            </a:solidFill>
                            <a:latin typeface="Cambria Math" panose="02040503050406030204" pitchFamily="18" charset="0"/>
                          </a:rPr>
                          <m:t>1.0793648</m:t>
                        </m:r>
                      </m:num>
                      <m:den>
                        <m:r>
                          <a:rPr lang="he-IL" sz="1100" b="0" i="1">
                            <a:solidFill>
                              <a:srgbClr val="FF0000"/>
                            </a:solidFill>
                            <a:latin typeface="Cambria Math" panose="02040503050406030204" pitchFamily="18" charset="0"/>
                          </a:rPr>
                          <m:t>1.030301</m:t>
                        </m:r>
                      </m:den>
                    </m:f>
                    <m:r>
                      <a:rPr lang="he-IL" sz="1100" b="0" i="1">
                        <a:latin typeface="Cambria Math" panose="02040503050406030204" pitchFamily="18" charset="0"/>
                      </a:rPr>
                      <m:t>=</m:t>
                    </m:r>
                    <m:r>
                      <a:rPr lang="en-US" sz="1100" b="0" i="1">
                        <a:latin typeface="Cambria Math" panose="02040503050406030204" pitchFamily="18" charset="0"/>
                        <a:ea typeface="Cambria Math" panose="02040503050406030204" pitchFamily="18" charset="0"/>
                      </a:rPr>
                      <m:t>1+</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𝜋</m:t>
                        </m:r>
                      </m:e>
                      <m:sub>
                        <m:r>
                          <a:rPr lang="en-US" sz="1100" b="0" i="0">
                            <a:latin typeface="Cambria Math" panose="02040503050406030204" pitchFamily="18" charset="0"/>
                            <a:ea typeface="Cambria Math" panose="02040503050406030204" pitchFamily="18" charset="0"/>
                          </a:rPr>
                          <m:t>4</m:t>
                        </m:r>
                      </m:sub>
                    </m:sSub>
                  </m:oMath>
                </m:oMathPara>
              </a14:m>
              <a:endParaRPr lang="en-US" sz="1100"/>
            </a:p>
          </xdr:txBody>
        </xdr:sp>
      </mc:Choice>
      <mc:Fallback xmlns="">
        <xdr:sp macro="" textlink="">
          <xdr:nvSpPr>
            <xdr:cNvPr id="53" name="TextBox 52">
              <a:extLst>
                <a:ext uri="{FF2B5EF4-FFF2-40B4-BE49-F238E27FC236}">
                  <a16:creationId xmlns:a16="http://schemas.microsoft.com/office/drawing/2014/main" id="{1DB7148E-019B-FDA6-1ED0-C11473A55B56}"/>
                </a:ext>
              </a:extLst>
            </xdr:cNvPr>
            <xdr:cNvSpPr txBox="1"/>
          </xdr:nvSpPr>
          <xdr:spPr>
            <a:xfrm>
              <a:off x="13519980896" y="64222311"/>
              <a:ext cx="2591754"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solidFill>
                    <a:srgbClr val="FF0000"/>
                  </a:solidFill>
                  <a:latin typeface="Cambria Math" panose="02040503050406030204" pitchFamily="18" charset="0"/>
                </a:rPr>
                <a:t>1.0793648/1.030301</a:t>
              </a:r>
              <a:r>
                <a:rPr lang="he-IL" sz="1100" b="0" i="0">
                  <a:latin typeface="Cambria Math" panose="02040503050406030204" pitchFamily="18" charset="0"/>
                </a:rPr>
                <a:t>=</a:t>
              </a:r>
              <a:r>
                <a:rPr lang="en-US" sz="1100" b="0" i="0">
                  <a:latin typeface="Cambria Math" panose="02040503050406030204" pitchFamily="18" charset="0"/>
                  <a:ea typeface="Cambria Math" panose="02040503050406030204" pitchFamily="18" charset="0"/>
                </a:rPr>
                <a:t>1+𝜋_4</a:t>
              </a:r>
              <a:endParaRPr lang="en-US" sz="1100"/>
            </a:p>
          </xdr:txBody>
        </xdr:sp>
      </mc:Fallback>
    </mc:AlternateContent>
    <xdr:clientData/>
  </xdr:oneCellAnchor>
  <xdr:oneCellAnchor>
    <xdr:from>
      <xdr:col>3</xdr:col>
      <xdr:colOff>482600</xdr:colOff>
      <xdr:row>399</xdr:row>
      <xdr:rowOff>103186</xdr:rowOff>
    </xdr:from>
    <xdr:ext cx="2591754" cy="316882"/>
    <mc:AlternateContent xmlns:mc="http://schemas.openxmlformats.org/markup-compatibility/2006" xmlns:a14="http://schemas.microsoft.com/office/drawing/2010/main">
      <mc:Choice Requires="a14">
        <xdr:sp macro="" textlink="">
          <xdr:nvSpPr>
            <xdr:cNvPr id="54" name="TextBox 53">
              <a:extLst>
                <a:ext uri="{FF2B5EF4-FFF2-40B4-BE49-F238E27FC236}">
                  <a16:creationId xmlns:a16="http://schemas.microsoft.com/office/drawing/2014/main" id="{D8BBC298-65D5-AF4E-55B1-35AD79D46D5C}"/>
                </a:ext>
              </a:extLst>
            </xdr:cNvPr>
            <xdr:cNvSpPr txBox="1"/>
          </xdr:nvSpPr>
          <xdr:spPr>
            <a:xfrm>
              <a:off x="13519961846" y="64669986"/>
              <a:ext cx="2591754"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f>
                      <m:fPr>
                        <m:ctrlPr>
                          <a:rPr lang="he-IL" sz="1100" b="0" i="1">
                            <a:solidFill>
                              <a:srgbClr val="FF0000"/>
                            </a:solidFill>
                            <a:latin typeface="Cambria Math" panose="02040503050406030204" pitchFamily="18" charset="0"/>
                          </a:rPr>
                        </m:ctrlPr>
                      </m:fPr>
                      <m:num>
                        <m:r>
                          <a:rPr lang="he-IL" sz="1100" b="0" i="1">
                            <a:solidFill>
                              <a:srgbClr val="FF0000"/>
                            </a:solidFill>
                            <a:latin typeface="Cambria Math" panose="02040503050406030204" pitchFamily="18" charset="0"/>
                          </a:rPr>
                          <m:t>1.0793648</m:t>
                        </m:r>
                      </m:num>
                      <m:den>
                        <m:r>
                          <a:rPr lang="he-IL" sz="1100" b="0" i="1">
                            <a:solidFill>
                              <a:srgbClr val="FF0000"/>
                            </a:solidFill>
                            <a:latin typeface="Cambria Math" panose="02040503050406030204" pitchFamily="18" charset="0"/>
                          </a:rPr>
                          <m:t>1.030301</m:t>
                        </m:r>
                      </m:den>
                    </m:f>
                    <m:r>
                      <a:rPr lang="he-IL" sz="1100" b="0" i="1">
                        <a:solidFill>
                          <a:srgbClr val="FF0000"/>
                        </a:solidFill>
                        <a:latin typeface="Cambria Math" panose="02040503050406030204" pitchFamily="18" charset="0"/>
                      </a:rPr>
                      <m:t>−1</m:t>
                    </m:r>
                    <m:r>
                      <a:rPr lang="he-IL" sz="1100" b="0" i="1">
                        <a:latin typeface="Cambria Math" panose="02040503050406030204" pitchFamily="18" charset="0"/>
                      </a:rPr>
                      <m:t>=</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𝜋</m:t>
                        </m:r>
                      </m:e>
                      <m:sub>
                        <m:r>
                          <a:rPr lang="en-US" sz="1100" b="0" i="0">
                            <a:latin typeface="Cambria Math" panose="02040503050406030204" pitchFamily="18" charset="0"/>
                            <a:ea typeface="Cambria Math" panose="02040503050406030204" pitchFamily="18" charset="0"/>
                          </a:rPr>
                          <m:t>4</m:t>
                        </m:r>
                      </m:sub>
                    </m:sSub>
                  </m:oMath>
                </m:oMathPara>
              </a14:m>
              <a:endParaRPr lang="en-US" sz="1100"/>
            </a:p>
          </xdr:txBody>
        </xdr:sp>
      </mc:Choice>
      <mc:Fallback xmlns="">
        <xdr:sp macro="" textlink="">
          <xdr:nvSpPr>
            <xdr:cNvPr id="54" name="TextBox 53">
              <a:extLst>
                <a:ext uri="{FF2B5EF4-FFF2-40B4-BE49-F238E27FC236}">
                  <a16:creationId xmlns:a16="http://schemas.microsoft.com/office/drawing/2014/main" id="{D8BBC298-65D5-AF4E-55B1-35AD79D46D5C}"/>
                </a:ext>
              </a:extLst>
            </xdr:cNvPr>
            <xdr:cNvSpPr txBox="1"/>
          </xdr:nvSpPr>
          <xdr:spPr>
            <a:xfrm>
              <a:off x="13519961846" y="64669986"/>
              <a:ext cx="2591754"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solidFill>
                    <a:srgbClr val="FF0000"/>
                  </a:solidFill>
                  <a:latin typeface="Cambria Math" panose="02040503050406030204" pitchFamily="18" charset="0"/>
                </a:rPr>
                <a:t>1.0793648/1.030301−1</a:t>
              </a:r>
              <a:r>
                <a:rPr lang="he-IL" sz="1100" b="0" i="0">
                  <a:latin typeface="Cambria Math" panose="02040503050406030204" pitchFamily="18" charset="0"/>
                </a:rPr>
                <a:t>=</a:t>
              </a:r>
              <a:r>
                <a:rPr lang="en-US" sz="1100" b="0" i="0">
                  <a:latin typeface="Cambria Math" panose="02040503050406030204" pitchFamily="18" charset="0"/>
                  <a:ea typeface="Cambria Math" panose="02040503050406030204" pitchFamily="18" charset="0"/>
                </a:rPr>
                <a:t>𝜋_4</a:t>
              </a:r>
              <a:endParaRPr lang="en-US" sz="1100"/>
            </a:p>
          </xdr:txBody>
        </xdr:sp>
      </mc:Fallback>
    </mc:AlternateContent>
    <xdr:clientData/>
  </xdr:oneCellAnchor>
  <xdr:oneCellAnchor>
    <xdr:from>
      <xdr:col>3</xdr:col>
      <xdr:colOff>482600</xdr:colOff>
      <xdr:row>401</xdr:row>
      <xdr:rowOff>77786</xdr:rowOff>
    </xdr:from>
    <xdr:ext cx="2591754" cy="173766"/>
    <mc:AlternateContent xmlns:mc="http://schemas.openxmlformats.org/markup-compatibility/2006" xmlns:a14="http://schemas.microsoft.com/office/drawing/2010/main">
      <mc:Choice Requires="a14">
        <xdr:sp macro="" textlink="">
          <xdr:nvSpPr>
            <xdr:cNvPr id="55" name="TextBox 54">
              <a:extLst>
                <a:ext uri="{FF2B5EF4-FFF2-40B4-BE49-F238E27FC236}">
                  <a16:creationId xmlns:a16="http://schemas.microsoft.com/office/drawing/2014/main" id="{B32542E1-010D-4900-7D20-8B75BACD506C}"/>
                </a:ext>
              </a:extLst>
            </xdr:cNvPr>
            <xdr:cNvSpPr txBox="1"/>
          </xdr:nvSpPr>
          <xdr:spPr>
            <a:xfrm>
              <a:off x="13519961846" y="65050986"/>
              <a:ext cx="259175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solidFill>
                          <a:srgbClr val="FF0000"/>
                        </a:solidFill>
                        <a:latin typeface="Cambria Math" panose="02040503050406030204" pitchFamily="18" charset="0"/>
                      </a:rPr>
                      <m:t>4.7621%</m:t>
                    </m:r>
                    <m:r>
                      <a:rPr lang="he-IL" sz="1100" b="0" i="1">
                        <a:latin typeface="Cambria Math" panose="02040503050406030204" pitchFamily="18" charset="0"/>
                      </a:rPr>
                      <m:t>=</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𝜋</m:t>
                        </m:r>
                      </m:e>
                      <m:sub>
                        <m:r>
                          <a:rPr lang="en-US" sz="1100" b="0" i="0">
                            <a:latin typeface="Cambria Math" panose="02040503050406030204" pitchFamily="18" charset="0"/>
                            <a:ea typeface="Cambria Math" panose="02040503050406030204" pitchFamily="18" charset="0"/>
                          </a:rPr>
                          <m:t>4</m:t>
                        </m:r>
                      </m:sub>
                    </m:sSub>
                  </m:oMath>
                </m:oMathPara>
              </a14:m>
              <a:endParaRPr lang="en-US" sz="1100"/>
            </a:p>
          </xdr:txBody>
        </xdr:sp>
      </mc:Choice>
      <mc:Fallback xmlns="">
        <xdr:sp macro="" textlink="">
          <xdr:nvSpPr>
            <xdr:cNvPr id="55" name="TextBox 54">
              <a:extLst>
                <a:ext uri="{FF2B5EF4-FFF2-40B4-BE49-F238E27FC236}">
                  <a16:creationId xmlns:a16="http://schemas.microsoft.com/office/drawing/2014/main" id="{B32542E1-010D-4900-7D20-8B75BACD506C}"/>
                </a:ext>
              </a:extLst>
            </xdr:cNvPr>
            <xdr:cNvSpPr txBox="1"/>
          </xdr:nvSpPr>
          <xdr:spPr>
            <a:xfrm>
              <a:off x="13519961846" y="65050986"/>
              <a:ext cx="259175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solidFill>
                    <a:srgbClr val="FF0000"/>
                  </a:solidFill>
                  <a:latin typeface="Cambria Math" panose="02040503050406030204" pitchFamily="18" charset="0"/>
                </a:rPr>
                <a:t>4.7621%</a:t>
              </a:r>
              <a:r>
                <a:rPr lang="he-IL" sz="1100" b="0" i="0">
                  <a:latin typeface="Cambria Math" panose="02040503050406030204" pitchFamily="18" charset="0"/>
                </a:rPr>
                <a:t>=</a:t>
              </a:r>
              <a:r>
                <a:rPr lang="en-US" sz="1100" b="0" i="0">
                  <a:latin typeface="Cambria Math" panose="02040503050406030204" pitchFamily="18" charset="0"/>
                  <a:ea typeface="Cambria Math" panose="02040503050406030204" pitchFamily="18" charset="0"/>
                </a:rPr>
                <a:t>𝜋_4</a:t>
              </a:r>
              <a:endParaRPr lang="en-US" sz="1100"/>
            </a:p>
          </xdr:txBody>
        </xdr:sp>
      </mc:Fallback>
    </mc:AlternateContent>
    <xdr:clientData/>
  </xdr:oneCellAnchor>
  <xdr:twoCellAnchor>
    <xdr:from>
      <xdr:col>2</xdr:col>
      <xdr:colOff>37491</xdr:colOff>
      <xdr:row>146</xdr:row>
      <xdr:rowOff>135903</xdr:rowOff>
    </xdr:from>
    <xdr:to>
      <xdr:col>4</xdr:col>
      <xdr:colOff>684208</xdr:colOff>
      <xdr:row>147</xdr:row>
      <xdr:rowOff>192140</xdr:rowOff>
    </xdr:to>
    <xdr:sp macro="" textlink="">
      <xdr:nvSpPr>
        <xdr:cNvPr id="3" name="Left Brace 2">
          <a:extLst>
            <a:ext uri="{FF2B5EF4-FFF2-40B4-BE49-F238E27FC236}">
              <a16:creationId xmlns:a16="http://schemas.microsoft.com/office/drawing/2014/main" id="{A73BFF40-2F42-4E52-5D8E-43ABDB648A44}"/>
            </a:ext>
          </a:extLst>
        </xdr:cNvPr>
        <xdr:cNvSpPr/>
      </xdr:nvSpPr>
      <xdr:spPr>
        <a:xfrm rot="16200000">
          <a:off x="13511030903" y="28649980"/>
          <a:ext cx="257750" cy="2296311"/>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5</xdr:col>
      <xdr:colOff>810738</xdr:colOff>
      <xdr:row>155</xdr:row>
      <xdr:rowOff>182768</xdr:rowOff>
    </xdr:from>
    <xdr:to>
      <xdr:col>5</xdr:col>
      <xdr:colOff>815424</xdr:colOff>
      <xdr:row>158</xdr:row>
      <xdr:rowOff>84354</xdr:rowOff>
    </xdr:to>
    <xdr:cxnSp macro="">
      <xdr:nvCxnSpPr>
        <xdr:cNvPr id="44" name="Straight Arrow Connector 43">
          <a:extLst>
            <a:ext uri="{FF2B5EF4-FFF2-40B4-BE49-F238E27FC236}">
              <a16:creationId xmlns:a16="http://schemas.microsoft.com/office/drawing/2014/main" id="{140EB83E-B2CC-0BA0-0345-702A20399775}"/>
            </a:ext>
          </a:extLst>
        </xdr:cNvPr>
        <xdr:cNvCxnSpPr/>
      </xdr:nvCxnSpPr>
      <xdr:spPr>
        <a:xfrm>
          <a:off x="13509055609" y="31529742"/>
          <a:ext cx="4686" cy="50612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182767</xdr:colOff>
      <xdr:row>155</xdr:row>
      <xdr:rowOff>135904</xdr:rowOff>
    </xdr:from>
    <xdr:to>
      <xdr:col>5</xdr:col>
      <xdr:colOff>192140</xdr:colOff>
      <xdr:row>158</xdr:row>
      <xdr:rowOff>168708</xdr:rowOff>
    </xdr:to>
    <xdr:cxnSp macro="">
      <xdr:nvCxnSpPr>
        <xdr:cNvPr id="56" name="Straight Arrow Connector 55">
          <a:extLst>
            <a:ext uri="{FF2B5EF4-FFF2-40B4-BE49-F238E27FC236}">
              <a16:creationId xmlns:a16="http://schemas.microsoft.com/office/drawing/2014/main" id="{B90F8145-CC90-7680-D932-FCF4830CEEDA}"/>
            </a:ext>
          </a:extLst>
        </xdr:cNvPr>
        <xdr:cNvCxnSpPr/>
      </xdr:nvCxnSpPr>
      <xdr:spPr>
        <a:xfrm>
          <a:off x="13509678893" y="31482878"/>
          <a:ext cx="834170" cy="63734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388966</xdr:colOff>
      <xdr:row>155</xdr:row>
      <xdr:rowOff>121845</xdr:rowOff>
    </xdr:from>
    <xdr:to>
      <xdr:col>4</xdr:col>
      <xdr:colOff>365535</xdr:colOff>
      <xdr:row>159</xdr:row>
      <xdr:rowOff>9373</xdr:rowOff>
    </xdr:to>
    <xdr:cxnSp macro="">
      <xdr:nvCxnSpPr>
        <xdr:cNvPr id="58" name="Straight Arrow Connector 57">
          <a:extLst>
            <a:ext uri="{FF2B5EF4-FFF2-40B4-BE49-F238E27FC236}">
              <a16:creationId xmlns:a16="http://schemas.microsoft.com/office/drawing/2014/main" id="{62379F28-91B6-ABF7-C9F1-7625B2D7029D}"/>
            </a:ext>
          </a:extLst>
        </xdr:cNvPr>
        <xdr:cNvCxnSpPr/>
      </xdr:nvCxnSpPr>
      <xdr:spPr>
        <a:xfrm>
          <a:off x="13510330295" y="31468819"/>
          <a:ext cx="1626163" cy="69358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665461</xdr:colOff>
      <xdr:row>155</xdr:row>
      <xdr:rowOff>84354</xdr:rowOff>
    </xdr:from>
    <xdr:to>
      <xdr:col>3</xdr:col>
      <xdr:colOff>759189</xdr:colOff>
      <xdr:row>158</xdr:row>
      <xdr:rowOff>0</xdr:rowOff>
    </xdr:to>
    <xdr:cxnSp macro="">
      <xdr:nvCxnSpPr>
        <xdr:cNvPr id="60" name="Straight Arrow Connector 59">
          <a:extLst>
            <a:ext uri="{FF2B5EF4-FFF2-40B4-BE49-F238E27FC236}">
              <a16:creationId xmlns:a16="http://schemas.microsoft.com/office/drawing/2014/main" id="{F62CE553-89C2-442A-D672-0BA175B38587}"/>
            </a:ext>
          </a:extLst>
        </xdr:cNvPr>
        <xdr:cNvCxnSpPr/>
      </xdr:nvCxnSpPr>
      <xdr:spPr>
        <a:xfrm>
          <a:off x="13510761438" y="31431328"/>
          <a:ext cx="2568119" cy="52018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4</xdr:col>
      <xdr:colOff>90714</xdr:colOff>
      <xdr:row>184</xdr:row>
      <xdr:rowOff>192872</xdr:rowOff>
    </xdr:from>
    <xdr:to>
      <xdr:col>4</xdr:col>
      <xdr:colOff>612624</xdr:colOff>
      <xdr:row>187</xdr:row>
      <xdr:rowOff>159656</xdr:rowOff>
    </xdr:to>
    <xdr:pic>
      <xdr:nvPicPr>
        <xdr:cNvPr id="62" name="Picture 61">
          <a:extLst>
            <a:ext uri="{FF2B5EF4-FFF2-40B4-BE49-F238E27FC236}">
              <a16:creationId xmlns:a16="http://schemas.microsoft.com/office/drawing/2014/main" id="{44658C0D-BB82-B6D0-411E-ADD379F54DFA}"/>
            </a:ext>
          </a:extLst>
        </xdr:cNvPr>
        <xdr:cNvPicPr>
          <a:picLocks noChangeAspect="1"/>
        </xdr:cNvPicPr>
      </xdr:nvPicPr>
      <xdr:blipFill>
        <a:blip xmlns:r="http://schemas.openxmlformats.org/officeDocument/2006/relationships" r:embed="rId3"/>
        <a:stretch>
          <a:fillRect/>
        </a:stretch>
      </xdr:blipFill>
      <xdr:spPr>
        <a:xfrm>
          <a:off x="13571127471" y="36914015"/>
          <a:ext cx="521910" cy="583641"/>
        </a:xfrm>
        <a:prstGeom prst="rect">
          <a:avLst/>
        </a:prstGeom>
      </xdr:spPr>
    </xdr:pic>
    <xdr:clientData/>
  </xdr:twoCellAnchor>
  <xdr:twoCellAnchor>
    <xdr:from>
      <xdr:col>5</xdr:col>
      <xdr:colOff>1035050</xdr:colOff>
      <xdr:row>186</xdr:row>
      <xdr:rowOff>57150</xdr:rowOff>
    </xdr:from>
    <xdr:to>
      <xdr:col>6</xdr:col>
      <xdr:colOff>749300</xdr:colOff>
      <xdr:row>188</xdr:row>
      <xdr:rowOff>133350</xdr:rowOff>
    </xdr:to>
    <xdr:cxnSp macro="">
      <xdr:nvCxnSpPr>
        <xdr:cNvPr id="64" name="Straight Arrow Connector 63">
          <a:extLst>
            <a:ext uri="{FF2B5EF4-FFF2-40B4-BE49-F238E27FC236}">
              <a16:creationId xmlns:a16="http://schemas.microsoft.com/office/drawing/2014/main" id="{BA7AD76A-1259-B95B-BD51-70077886D567}"/>
            </a:ext>
          </a:extLst>
        </xdr:cNvPr>
        <xdr:cNvCxnSpPr/>
      </xdr:nvCxnSpPr>
      <xdr:spPr>
        <a:xfrm flipH="1">
          <a:off x="13519289700" y="37979350"/>
          <a:ext cx="1060450" cy="48260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xdr:col>
      <xdr:colOff>0</xdr:colOff>
      <xdr:row>205</xdr:row>
      <xdr:rowOff>0</xdr:rowOff>
    </xdr:from>
    <xdr:ext cx="3033080" cy="484748"/>
    <mc:AlternateContent xmlns:mc="http://schemas.openxmlformats.org/markup-compatibility/2006" xmlns:a14="http://schemas.microsoft.com/office/drawing/2010/main">
      <mc:Choice Requires="a14">
        <xdr:sp macro="" textlink="">
          <xdr:nvSpPr>
            <xdr:cNvPr id="65" name="TextBox 64">
              <a:extLst>
                <a:ext uri="{FF2B5EF4-FFF2-40B4-BE49-F238E27FC236}">
                  <a16:creationId xmlns:a16="http://schemas.microsoft.com/office/drawing/2014/main" id="{11A1FA80-FCA9-5043-BBC7-2844529BECE0}"/>
                </a:ext>
              </a:extLst>
            </xdr:cNvPr>
            <xdr:cNvSpPr txBox="1"/>
          </xdr:nvSpPr>
          <xdr:spPr>
            <a:xfrm>
              <a:off x="13518352120" y="41884600"/>
              <a:ext cx="303308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=10∗</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4%</m:t>
                                    </m:r>
                                  </m:e>
                                </m:d>
                              </m:e>
                              <m:sup>
                                <m:r>
                                  <a:rPr lang="he-IL" sz="1100" b="0" i="1">
                                    <a:latin typeface="Cambria Math" panose="02040503050406030204" pitchFamily="18" charset="0"/>
                                  </a:rPr>
                                  <m:t>7</m:t>
                                </m:r>
                              </m:sup>
                            </m:sSup>
                          </m:den>
                        </m:f>
                      </m:num>
                      <m:den>
                        <m:r>
                          <a:rPr lang="he-IL" sz="1100" b="0" i="1">
                            <a:latin typeface="Cambria Math" panose="02040503050406030204" pitchFamily="18" charset="0"/>
                          </a:rPr>
                          <m:t>4%</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he-IL" sz="1100" b="0" i="1">
                            <a:solidFill>
                              <a:srgbClr val="FF0000"/>
                            </a:solidFill>
                            <a:latin typeface="Cambria Math" panose="02040503050406030204" pitchFamily="18" charset="0"/>
                          </a:rPr>
                          <m:t>143</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4%</m:t>
                                </m:r>
                              </m:e>
                            </m:d>
                          </m:e>
                          <m:sup>
                            <m:r>
                              <a:rPr lang="he-IL" sz="1100" b="0" i="1">
                                <a:latin typeface="Cambria Math" panose="02040503050406030204" pitchFamily="18" charset="0"/>
                              </a:rPr>
                              <m:t>7</m:t>
                            </m:r>
                          </m:sup>
                        </m:sSup>
                      </m:den>
                    </m:f>
                    <m:r>
                      <a:rPr lang="he-IL" sz="1100" b="0" i="1">
                        <a:latin typeface="Cambria Math" panose="02040503050406030204" pitchFamily="18" charset="0"/>
                      </a:rPr>
                      <m:t>=168.75</m:t>
                    </m:r>
                  </m:oMath>
                </m:oMathPara>
              </a14:m>
              <a:endParaRPr lang="en-US" sz="1100"/>
            </a:p>
          </xdr:txBody>
        </xdr:sp>
      </mc:Choice>
      <mc:Fallback xmlns="">
        <xdr:sp macro="" textlink="">
          <xdr:nvSpPr>
            <xdr:cNvPr id="65" name="TextBox 64">
              <a:extLst>
                <a:ext uri="{FF2B5EF4-FFF2-40B4-BE49-F238E27FC236}">
                  <a16:creationId xmlns:a16="http://schemas.microsoft.com/office/drawing/2014/main" id="{11A1FA80-FCA9-5043-BBC7-2844529BECE0}"/>
                </a:ext>
              </a:extLst>
            </xdr:cNvPr>
            <xdr:cNvSpPr txBox="1"/>
          </xdr:nvSpPr>
          <xdr:spPr>
            <a:xfrm>
              <a:off x="13518352120" y="41884600"/>
              <a:ext cx="303308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a:t>
              </a:r>
              <a:r>
                <a:rPr lang="he-IL" sz="1100" b="0" i="0">
                  <a:solidFill>
                    <a:srgbClr val="FF0000"/>
                  </a:solidFill>
                  <a:latin typeface="Cambria Math" panose="02040503050406030204" pitchFamily="18" charset="0"/>
                </a:rPr>
                <a:t>10</a:t>
              </a:r>
              <a:r>
                <a:rPr lang="en-US" sz="1100" b="0" i="0">
                  <a:latin typeface="Cambria Math" panose="02040503050406030204" pitchFamily="18" charset="0"/>
                </a:rPr>
                <a:t>∗(1−1/(1+</a:t>
              </a:r>
              <a:r>
                <a:rPr lang="he-IL" sz="1100" b="0" i="0">
                  <a:latin typeface="Cambria Math" panose="02040503050406030204" pitchFamily="18" charset="0"/>
                </a:rPr>
                <a:t>4%)</a:t>
              </a:r>
              <a:r>
                <a:rPr lang="en-US" sz="1100" b="0" i="0">
                  <a:latin typeface="Cambria Math" panose="02040503050406030204" pitchFamily="18" charset="0"/>
                </a:rPr>
                <a:t>^</a:t>
              </a:r>
              <a:r>
                <a:rPr lang="he-IL" sz="1100" b="0" i="0">
                  <a:latin typeface="Cambria Math" panose="02040503050406030204" pitchFamily="18" charset="0"/>
                </a:rPr>
                <a:t>7 </a:t>
              </a:r>
              <a:r>
                <a:rPr lang="en-US" sz="1100" b="0" i="0">
                  <a:latin typeface="Cambria Math" panose="02040503050406030204" pitchFamily="18" charset="0"/>
                </a:rPr>
                <a:t>)/(</a:t>
              </a:r>
              <a:r>
                <a:rPr lang="he-IL" sz="1100" b="0" i="0">
                  <a:latin typeface="Cambria Math" panose="02040503050406030204" pitchFamily="18" charset="0"/>
                </a:rPr>
                <a:t>4%</a:t>
              </a:r>
              <a:r>
                <a:rPr lang="en-US" sz="1100" b="0" i="0">
                  <a:latin typeface="Cambria Math" panose="02040503050406030204" pitchFamily="18" charset="0"/>
                </a:rPr>
                <a:t>)+</a:t>
              </a:r>
              <a:r>
                <a:rPr lang="he-IL" sz="1100" b="0" i="0">
                  <a:solidFill>
                    <a:srgbClr val="FF0000"/>
                  </a:solidFill>
                  <a:latin typeface="Cambria Math" panose="02040503050406030204" pitchFamily="18" charset="0"/>
                </a:rPr>
                <a:t>143</a:t>
              </a:r>
              <a:r>
                <a:rPr lang="en-US" sz="1100" b="0" i="0">
                  <a:solidFill>
                    <a:srgbClr val="FF0000"/>
                  </a:solidFill>
                  <a:latin typeface="Cambria Math" panose="02040503050406030204" pitchFamily="18" charset="0"/>
                </a:rPr>
                <a:t>/(</a:t>
              </a:r>
              <a:r>
                <a:rPr lang="en-US" sz="1100" b="0" i="0">
                  <a:latin typeface="Cambria Math" panose="02040503050406030204" pitchFamily="18" charset="0"/>
                </a:rPr>
                <a:t>1+</a:t>
              </a:r>
              <a:r>
                <a:rPr lang="he-IL" sz="1100" b="0" i="0">
                  <a:latin typeface="Cambria Math" panose="02040503050406030204" pitchFamily="18" charset="0"/>
                </a:rPr>
                <a:t>4%)</a:t>
              </a:r>
              <a:r>
                <a:rPr lang="en-US" sz="1100" b="0" i="0">
                  <a:latin typeface="Cambria Math" panose="02040503050406030204" pitchFamily="18" charset="0"/>
                </a:rPr>
                <a:t>^</a:t>
              </a:r>
              <a:r>
                <a:rPr lang="he-IL" sz="1100" b="0" i="0">
                  <a:latin typeface="Cambria Math" panose="02040503050406030204" pitchFamily="18" charset="0"/>
                </a:rPr>
                <a:t>7 =168.75</a:t>
              </a:r>
              <a:endParaRPr lang="en-US" sz="1100"/>
            </a:p>
          </xdr:txBody>
        </xdr:sp>
      </mc:Fallback>
    </mc:AlternateContent>
    <xdr:clientData/>
  </xdr:oneCellAnchor>
  <xdr:oneCellAnchor>
    <xdr:from>
      <xdr:col>4</xdr:col>
      <xdr:colOff>0</xdr:colOff>
      <xdr:row>223</xdr:row>
      <xdr:rowOff>201232</xdr:rowOff>
    </xdr:from>
    <xdr:ext cx="3275644" cy="177164"/>
    <mc:AlternateContent xmlns:mc="http://schemas.openxmlformats.org/markup-compatibility/2006" xmlns:a14="http://schemas.microsoft.com/office/drawing/2010/main">
      <mc:Choice Requires="a14">
        <xdr:sp macro="" textlink="">
          <xdr:nvSpPr>
            <xdr:cNvPr id="67" name="TextBox 66">
              <a:extLst>
                <a:ext uri="{FF2B5EF4-FFF2-40B4-BE49-F238E27FC236}">
                  <a16:creationId xmlns:a16="http://schemas.microsoft.com/office/drawing/2014/main" id="{2682AA14-DBD3-7943-8306-3452E394CD74}"/>
                </a:ext>
              </a:extLst>
            </xdr:cNvPr>
            <xdr:cNvSpPr txBox="1"/>
          </xdr:nvSpPr>
          <xdr:spPr>
            <a:xfrm>
              <a:off x="13548232525" y="45344366"/>
              <a:ext cx="3275644" cy="1771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he-IL" sz="1100" b="0" i="1">
                            <a:latin typeface="Cambria Math" panose="02040503050406030204" pitchFamily="18" charset="0"/>
                            <a:ea typeface="Cambria Math" panose="02040503050406030204" pitchFamily="18" charset="0"/>
                          </a:rPr>
                        </m:ctrlPr>
                      </m:sSubPr>
                      <m:e>
                        <m:r>
                          <a:rPr lang="en-US" sz="1100" i="1">
                            <a:latin typeface="Cambria Math" panose="02040503050406030204" pitchFamily="18" charset="0"/>
                            <a:ea typeface="Cambria Math" panose="02040503050406030204" pitchFamily="18" charset="0"/>
                          </a:rPr>
                          <m:t>𝜋</m:t>
                        </m:r>
                      </m:e>
                      <m:sub>
                        <m:r>
                          <a:rPr lang="he-IL" sz="1100" b="0" i="1">
                            <a:latin typeface="Cambria Math" panose="02040503050406030204" pitchFamily="18" charset="0"/>
                            <a:ea typeface="Cambria Math" panose="02040503050406030204" pitchFamily="18" charset="0"/>
                          </a:rPr>
                          <m:t>0..</m:t>
                        </m:r>
                        <m:r>
                          <a:rPr lang="en-US" sz="1100" b="0" i="1">
                            <a:latin typeface="Cambria Math" panose="02040503050406030204" pitchFamily="18" charset="0"/>
                            <a:ea typeface="Cambria Math" panose="02040503050406030204" pitchFamily="18" charset="0"/>
                          </a:rPr>
                          <m:t>4</m:t>
                        </m:r>
                      </m:sub>
                    </m:sSub>
                    <m:r>
                      <a:rPr lang="he-IL" sz="1100" b="0" i="1">
                        <a:latin typeface="Cambria Math" panose="02040503050406030204" pitchFamily="18" charset="0"/>
                        <a:ea typeface="Cambria Math" panose="02040503050406030204" pitchFamily="18" charset="0"/>
                      </a:rPr>
                      <m:t>=</m:t>
                    </m:r>
                    <m:d>
                      <m:dPr>
                        <m:ctrlPr>
                          <a:rPr lang="en-US" sz="1100" b="0" i="1">
                            <a:latin typeface="Cambria Math" panose="02040503050406030204" pitchFamily="18" charset="0"/>
                            <a:ea typeface="Cambria Math" panose="02040503050406030204" pitchFamily="18" charset="0"/>
                          </a:rPr>
                        </m:ctrlPr>
                      </m:dPr>
                      <m:e>
                        <m:sSub>
                          <m:sSubPr>
                            <m:ctrlPr>
                              <a:rPr lang="he-IL"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1+</m:t>
                            </m:r>
                            <m:r>
                              <a:rPr lang="en-US" sz="1100" i="1">
                                <a:latin typeface="Cambria Math" panose="02040503050406030204" pitchFamily="18" charset="0"/>
                                <a:ea typeface="Cambria Math" panose="02040503050406030204" pitchFamily="18" charset="0"/>
                              </a:rPr>
                              <m:t>𝜋</m:t>
                            </m:r>
                          </m:e>
                          <m:sub>
                            <m:r>
                              <a:rPr lang="he-IL" sz="1100" b="0" i="1">
                                <a:latin typeface="Cambria Math" panose="02040503050406030204" pitchFamily="18" charset="0"/>
                                <a:ea typeface="Cambria Math" panose="02040503050406030204" pitchFamily="18" charset="0"/>
                              </a:rPr>
                              <m:t>0..</m:t>
                            </m:r>
                            <m:r>
                              <a:rPr lang="en-US" sz="1100" b="0" i="1">
                                <a:latin typeface="Cambria Math" panose="02040503050406030204" pitchFamily="18" charset="0"/>
                                <a:ea typeface="Cambria Math" panose="02040503050406030204" pitchFamily="18" charset="0"/>
                              </a:rPr>
                              <m:t>3</m:t>
                            </m:r>
                          </m:sub>
                        </m:sSub>
                      </m:e>
                    </m:d>
                    <m:r>
                      <a:rPr lang="en-US" sz="1100" b="0" i="1">
                        <a:latin typeface="Cambria Math" panose="02040503050406030204" pitchFamily="18" charset="0"/>
                        <a:ea typeface="Cambria Math" panose="02040503050406030204" pitchFamily="18" charset="0"/>
                      </a:rPr>
                      <m:t>∗</m:t>
                    </m:r>
                    <m:d>
                      <m:dPr>
                        <m:ctrlPr>
                          <a:rPr lang="en-US" sz="1100" b="0" i="1">
                            <a:latin typeface="Cambria Math" panose="02040503050406030204" pitchFamily="18" charset="0"/>
                            <a:ea typeface="Cambria Math" panose="02040503050406030204" pitchFamily="18" charset="0"/>
                          </a:rPr>
                        </m:ctrlPr>
                      </m:dPr>
                      <m:e>
                        <m:r>
                          <a:rPr lang="en-US" sz="1100" b="0" i="1">
                            <a:latin typeface="Cambria Math" panose="02040503050406030204" pitchFamily="18" charset="0"/>
                            <a:ea typeface="Cambria Math" panose="02040503050406030204" pitchFamily="18" charset="0"/>
                          </a:rPr>
                          <m:t>1+</m:t>
                        </m:r>
                        <m:sSub>
                          <m:sSubPr>
                            <m:ctrlPr>
                              <a:rPr lang="he-IL" sz="1100" b="0" i="1">
                                <a:latin typeface="Cambria Math" panose="02040503050406030204" pitchFamily="18" charset="0"/>
                                <a:ea typeface="Cambria Math" panose="02040503050406030204" pitchFamily="18" charset="0"/>
                              </a:rPr>
                            </m:ctrlPr>
                          </m:sSubPr>
                          <m:e>
                            <m:r>
                              <a:rPr lang="en-US" sz="1100" i="1">
                                <a:latin typeface="Cambria Math" panose="02040503050406030204" pitchFamily="18" charset="0"/>
                                <a:ea typeface="Cambria Math" panose="02040503050406030204" pitchFamily="18" charset="0"/>
                              </a:rPr>
                              <m:t>𝜋</m:t>
                            </m:r>
                          </m:e>
                          <m:sub>
                            <m:r>
                              <a:rPr lang="en-US" sz="1100" b="0" i="1">
                                <a:latin typeface="Cambria Math" panose="02040503050406030204" pitchFamily="18" charset="0"/>
                                <a:ea typeface="Cambria Math" panose="02040503050406030204" pitchFamily="18" charset="0"/>
                              </a:rPr>
                              <m:t>4</m:t>
                            </m:r>
                          </m:sub>
                        </m:sSub>
                      </m:e>
                    </m:d>
                    <m:r>
                      <a:rPr lang="en-US" sz="1100" b="0" i="1">
                        <a:latin typeface="Cambria Math" panose="02040503050406030204" pitchFamily="18" charset="0"/>
                        <a:ea typeface="Cambria Math" panose="02040503050406030204" pitchFamily="18" charset="0"/>
                      </a:rPr>
                      <m:t>−1=</m:t>
                    </m:r>
                  </m:oMath>
                </m:oMathPara>
              </a14:m>
              <a:endParaRPr lang="en-US" sz="1100"/>
            </a:p>
          </xdr:txBody>
        </xdr:sp>
      </mc:Choice>
      <mc:Fallback xmlns="">
        <xdr:sp macro="" textlink="">
          <xdr:nvSpPr>
            <xdr:cNvPr id="67" name="TextBox 66">
              <a:extLst>
                <a:ext uri="{FF2B5EF4-FFF2-40B4-BE49-F238E27FC236}">
                  <a16:creationId xmlns:a16="http://schemas.microsoft.com/office/drawing/2014/main" id="{2682AA14-DBD3-7943-8306-3452E394CD74}"/>
                </a:ext>
              </a:extLst>
            </xdr:cNvPr>
            <xdr:cNvSpPr txBox="1"/>
          </xdr:nvSpPr>
          <xdr:spPr>
            <a:xfrm>
              <a:off x="13548232525" y="45344366"/>
              <a:ext cx="3275644" cy="1771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_(0..</a:t>
              </a:r>
              <a:r>
                <a:rPr lang="en-US" sz="1100" b="0" i="0">
                  <a:latin typeface="Cambria Math" panose="02040503050406030204" pitchFamily="18" charset="0"/>
                  <a:ea typeface="Cambria Math" panose="02040503050406030204" pitchFamily="18" charset="0"/>
                </a:rPr>
                <a:t>4</a:t>
              </a:r>
              <a:r>
                <a:rPr lang="he-IL" sz="1100" b="0" i="0">
                  <a:latin typeface="Cambria Math" panose="02040503050406030204" pitchFamily="18" charset="0"/>
                  <a:ea typeface="Cambria Math" panose="02040503050406030204" pitchFamily="18" charset="0"/>
                </a:rPr>
                <a:t>)=</a:t>
              </a:r>
              <a:r>
                <a:rPr lang="en-US" sz="1100" b="0" i="0">
                  <a:latin typeface="Cambria Math" panose="02040503050406030204" pitchFamily="18" charset="0"/>
                  <a:ea typeface="Cambria Math" panose="02040503050406030204" pitchFamily="18" charset="0"/>
                </a:rPr>
                <a:t>(</a:t>
              </a:r>
              <a:r>
                <a:rPr lang="he-IL" sz="1100" b="0" i="0">
                  <a:latin typeface="Cambria Math" panose="02040503050406030204" pitchFamily="18" charset="0"/>
                  <a:ea typeface="Cambria Math" panose="02040503050406030204" pitchFamily="18" charset="0"/>
                </a:rPr>
                <a:t>〖</a:t>
              </a:r>
              <a:r>
                <a:rPr lang="en-US" sz="1100" b="0" i="0">
                  <a:latin typeface="Cambria Math" panose="02040503050406030204" pitchFamily="18" charset="0"/>
                  <a:ea typeface="Cambria Math" panose="02040503050406030204" pitchFamily="18" charset="0"/>
                </a:rPr>
                <a:t>1+</a:t>
              </a:r>
              <a:r>
                <a:rPr lang="en-US" sz="110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〗_(0..</a:t>
              </a:r>
              <a:r>
                <a:rPr lang="en-US" sz="1100" b="0" i="0">
                  <a:latin typeface="Cambria Math" panose="02040503050406030204" pitchFamily="18" charset="0"/>
                  <a:ea typeface="Cambria Math" panose="02040503050406030204" pitchFamily="18" charset="0"/>
                </a:rPr>
                <a:t>3</a:t>
              </a:r>
              <a:r>
                <a:rPr lang="he-IL" sz="1100" b="0" i="0">
                  <a:latin typeface="Cambria Math" panose="02040503050406030204" pitchFamily="18" charset="0"/>
                  <a:ea typeface="Cambria Math" panose="02040503050406030204" pitchFamily="18" charset="0"/>
                </a:rPr>
                <a:t>)</a:t>
              </a:r>
              <a:r>
                <a:rPr lang="en-US" sz="1100" b="0" i="0">
                  <a:latin typeface="Cambria Math" panose="02040503050406030204" pitchFamily="18" charset="0"/>
                  <a:ea typeface="Cambria Math" panose="02040503050406030204" pitchFamily="18" charset="0"/>
                </a:rPr>
                <a:t> )∗(1+</a:t>
              </a:r>
              <a:r>
                <a:rPr lang="en-US" sz="110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_</a:t>
              </a:r>
              <a:r>
                <a:rPr lang="en-US" sz="1100" b="0" i="0">
                  <a:latin typeface="Cambria Math" panose="02040503050406030204" pitchFamily="18" charset="0"/>
                  <a:ea typeface="Cambria Math" panose="02040503050406030204" pitchFamily="18" charset="0"/>
                </a:rPr>
                <a:t>4 )−1=</a:t>
              </a:r>
              <a:endParaRPr lang="en-US" sz="1100"/>
            </a:p>
          </xdr:txBody>
        </xdr:sp>
      </mc:Fallback>
    </mc:AlternateContent>
    <xdr:clientData/>
  </xdr:oneCellAnchor>
  <xdr:oneCellAnchor>
    <xdr:from>
      <xdr:col>4</xdr:col>
      <xdr:colOff>26831</xdr:colOff>
      <xdr:row>225</xdr:row>
      <xdr:rowOff>58134</xdr:rowOff>
    </xdr:from>
    <xdr:ext cx="3275644" cy="177164"/>
    <mc:AlternateContent xmlns:mc="http://schemas.openxmlformats.org/markup-compatibility/2006" xmlns:a14="http://schemas.microsoft.com/office/drawing/2010/main">
      <mc:Choice Requires="a14">
        <xdr:sp macro="" textlink="">
          <xdr:nvSpPr>
            <xdr:cNvPr id="68" name="TextBox 67">
              <a:extLst>
                <a:ext uri="{FF2B5EF4-FFF2-40B4-BE49-F238E27FC236}">
                  <a16:creationId xmlns:a16="http://schemas.microsoft.com/office/drawing/2014/main" id="{E4111734-D956-F10B-7F38-5719835C23A6}"/>
                </a:ext>
              </a:extLst>
            </xdr:cNvPr>
            <xdr:cNvSpPr txBox="1"/>
          </xdr:nvSpPr>
          <xdr:spPr>
            <a:xfrm>
              <a:off x="13548205694" y="45603733"/>
              <a:ext cx="3275644" cy="1771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he-IL" sz="1100" b="0" i="1">
                            <a:latin typeface="Cambria Math" panose="02040503050406030204" pitchFamily="18" charset="0"/>
                            <a:ea typeface="Cambria Math" panose="02040503050406030204" pitchFamily="18" charset="0"/>
                          </a:rPr>
                        </m:ctrlPr>
                      </m:sSubPr>
                      <m:e>
                        <m:r>
                          <a:rPr lang="en-US" sz="1100" i="1">
                            <a:latin typeface="Cambria Math" panose="02040503050406030204" pitchFamily="18" charset="0"/>
                            <a:ea typeface="Cambria Math" panose="02040503050406030204" pitchFamily="18" charset="0"/>
                          </a:rPr>
                          <m:t>𝜋</m:t>
                        </m:r>
                      </m:e>
                      <m:sub>
                        <m:r>
                          <a:rPr lang="he-IL" sz="1100" b="0" i="1">
                            <a:latin typeface="Cambria Math" panose="02040503050406030204" pitchFamily="18" charset="0"/>
                            <a:ea typeface="Cambria Math" panose="02040503050406030204" pitchFamily="18" charset="0"/>
                          </a:rPr>
                          <m:t>0..</m:t>
                        </m:r>
                        <m:r>
                          <a:rPr lang="en-US" sz="1100" b="0" i="1">
                            <a:latin typeface="Cambria Math" panose="02040503050406030204" pitchFamily="18" charset="0"/>
                            <a:ea typeface="Cambria Math" panose="02040503050406030204" pitchFamily="18" charset="0"/>
                          </a:rPr>
                          <m:t>4</m:t>
                        </m:r>
                      </m:sub>
                    </m:sSub>
                    <m:r>
                      <a:rPr lang="he-IL" sz="1100" b="0" i="1">
                        <a:latin typeface="Cambria Math" panose="02040503050406030204" pitchFamily="18" charset="0"/>
                        <a:ea typeface="Cambria Math" panose="02040503050406030204" pitchFamily="18" charset="0"/>
                      </a:rPr>
                      <m:t>=</m:t>
                    </m:r>
                    <m:d>
                      <m:dPr>
                        <m:ctrlPr>
                          <a:rPr lang="en-US" sz="1100" b="0" i="1">
                            <a:latin typeface="Cambria Math" panose="02040503050406030204" pitchFamily="18" charset="0"/>
                            <a:ea typeface="Cambria Math" panose="02040503050406030204" pitchFamily="18" charset="0"/>
                          </a:rPr>
                        </m:ctrlPr>
                      </m:dPr>
                      <m:e>
                        <m:r>
                          <a:rPr lang="en-US" sz="1100" b="0" i="1">
                            <a:latin typeface="Cambria Math" panose="02040503050406030204" pitchFamily="18" charset="0"/>
                            <a:ea typeface="Cambria Math" panose="02040503050406030204" pitchFamily="18" charset="0"/>
                          </a:rPr>
                          <m:t>1+43%</m:t>
                        </m:r>
                      </m:e>
                    </m:d>
                    <m:r>
                      <a:rPr lang="en-US" sz="1100" b="0" i="1">
                        <a:latin typeface="Cambria Math" panose="02040503050406030204" pitchFamily="18" charset="0"/>
                        <a:ea typeface="Cambria Math" panose="02040503050406030204" pitchFamily="18" charset="0"/>
                      </a:rPr>
                      <m:t>∗</m:t>
                    </m:r>
                    <m:d>
                      <m:dPr>
                        <m:ctrlPr>
                          <a:rPr lang="en-US" sz="1100" b="0" i="1">
                            <a:latin typeface="Cambria Math" panose="02040503050406030204" pitchFamily="18" charset="0"/>
                            <a:ea typeface="Cambria Math" panose="02040503050406030204" pitchFamily="18" charset="0"/>
                          </a:rPr>
                        </m:ctrlPr>
                      </m:dPr>
                      <m:e>
                        <m:r>
                          <a:rPr lang="en-US" sz="1100" b="0" i="1">
                            <a:latin typeface="Cambria Math" panose="02040503050406030204" pitchFamily="18" charset="0"/>
                            <a:ea typeface="Cambria Math" panose="02040503050406030204" pitchFamily="18" charset="0"/>
                          </a:rPr>
                          <m:t>1+8%</m:t>
                        </m:r>
                      </m:e>
                    </m:d>
                    <m:r>
                      <a:rPr lang="en-US" sz="1100" b="0" i="1">
                        <a:latin typeface="Cambria Math" panose="02040503050406030204" pitchFamily="18" charset="0"/>
                        <a:ea typeface="Cambria Math" panose="02040503050406030204" pitchFamily="18" charset="0"/>
                      </a:rPr>
                      <m:t>−1=</m:t>
                    </m:r>
                  </m:oMath>
                </m:oMathPara>
              </a14:m>
              <a:endParaRPr lang="en-US" sz="1100"/>
            </a:p>
          </xdr:txBody>
        </xdr:sp>
      </mc:Choice>
      <mc:Fallback xmlns="">
        <xdr:sp macro="" textlink="">
          <xdr:nvSpPr>
            <xdr:cNvPr id="68" name="TextBox 67">
              <a:extLst>
                <a:ext uri="{FF2B5EF4-FFF2-40B4-BE49-F238E27FC236}">
                  <a16:creationId xmlns:a16="http://schemas.microsoft.com/office/drawing/2014/main" id="{E4111734-D956-F10B-7F38-5719835C23A6}"/>
                </a:ext>
              </a:extLst>
            </xdr:cNvPr>
            <xdr:cNvSpPr txBox="1"/>
          </xdr:nvSpPr>
          <xdr:spPr>
            <a:xfrm>
              <a:off x="13548205694" y="45603733"/>
              <a:ext cx="3275644" cy="1771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_(0..</a:t>
              </a:r>
              <a:r>
                <a:rPr lang="en-US" sz="1100" b="0" i="0">
                  <a:latin typeface="Cambria Math" panose="02040503050406030204" pitchFamily="18" charset="0"/>
                  <a:ea typeface="Cambria Math" panose="02040503050406030204" pitchFamily="18" charset="0"/>
                </a:rPr>
                <a:t>4</a:t>
              </a:r>
              <a:r>
                <a:rPr lang="he-IL" sz="1100" b="0" i="0">
                  <a:latin typeface="Cambria Math" panose="02040503050406030204" pitchFamily="18" charset="0"/>
                  <a:ea typeface="Cambria Math" panose="02040503050406030204" pitchFamily="18" charset="0"/>
                </a:rPr>
                <a:t>)=</a:t>
              </a:r>
              <a:r>
                <a:rPr lang="en-US" sz="1100" b="0" i="0">
                  <a:latin typeface="Cambria Math" panose="02040503050406030204" pitchFamily="18" charset="0"/>
                  <a:ea typeface="Cambria Math" panose="02040503050406030204" pitchFamily="18" charset="0"/>
                </a:rPr>
                <a:t>(1+43%)∗(1+8%)−1=</a:t>
              </a:r>
              <a:endParaRPr lang="en-US"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0</xdr:col>
      <xdr:colOff>368711</xdr:colOff>
      <xdr:row>484</xdr:row>
      <xdr:rowOff>186334</xdr:rowOff>
    </xdr:from>
    <xdr:ext cx="5680175" cy="34541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F68972F-85F5-52AE-8D65-52B12FA54B6F}"/>
                </a:ext>
              </a:extLst>
            </xdr:cNvPr>
            <xdr:cNvSpPr txBox="1"/>
          </xdr:nvSpPr>
          <xdr:spPr>
            <a:xfrm>
              <a:off x="13530232458" y="28884237"/>
              <a:ext cx="5680175" cy="3454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𝑁𝑃𝑉</m:t>
                    </m:r>
                    <m:r>
                      <a:rPr lang="en-US" sz="1100" b="0" i="1">
                        <a:latin typeface="Cambria Math" panose="02040503050406030204" pitchFamily="18" charset="0"/>
                      </a:rPr>
                      <m:t>=−100,000+</m:t>
                    </m:r>
                    <m:f>
                      <m:fPr>
                        <m:ctrlPr>
                          <a:rPr lang="en-US" sz="1100" b="0" i="1">
                            <a:latin typeface="Cambria Math" panose="02040503050406030204" pitchFamily="18" charset="0"/>
                          </a:rPr>
                        </m:ctrlPr>
                      </m:fPr>
                      <m:num>
                        <m:r>
                          <a:rPr lang="en-US" sz="1100" b="0" i="1">
                            <a:latin typeface="Cambria Math" panose="02040503050406030204" pitchFamily="18" charset="0"/>
                          </a:rPr>
                          <m:t>53,850</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1+10%</m:t>
                                </m:r>
                              </m:e>
                            </m:d>
                          </m:e>
                          <m:sup>
                            <m:r>
                              <a:rPr lang="en-US" sz="1100" b="0" i="1">
                                <a:latin typeface="Cambria Math" panose="02040503050406030204" pitchFamily="18" charset="0"/>
                              </a:rPr>
                              <m:t>1</m:t>
                            </m:r>
                          </m:sup>
                        </m:sSup>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52,310</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1+10%</m:t>
                                </m:r>
                              </m:e>
                            </m:d>
                          </m:e>
                          <m:sup>
                            <m:r>
                              <a:rPr lang="en-US" sz="1100" b="0" i="1">
                                <a:latin typeface="Cambria Math" panose="02040503050406030204" pitchFamily="18" charset="0"/>
                              </a:rPr>
                              <m:t>2</m:t>
                            </m:r>
                          </m:sup>
                        </m:sSup>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40,440</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1+10%</m:t>
                                </m:r>
                              </m:e>
                            </m:d>
                          </m:e>
                          <m:sup>
                            <m:r>
                              <a:rPr lang="en-US" sz="1100" b="0" i="1">
                                <a:latin typeface="Cambria Math" panose="02040503050406030204" pitchFamily="18" charset="0"/>
                              </a:rPr>
                              <m:t>3</m:t>
                            </m:r>
                          </m:sup>
                        </m:sSup>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40,056</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1+10%</m:t>
                                </m:r>
                              </m:e>
                            </m:d>
                          </m:e>
                          <m:sup>
                            <m:r>
                              <a:rPr lang="en-US" sz="1100" b="0" i="1">
                                <a:latin typeface="Cambria Math" panose="02040503050406030204" pitchFamily="18" charset="0"/>
                              </a:rPr>
                              <m:t>4</m:t>
                            </m:r>
                          </m:sup>
                        </m:sSup>
                      </m:den>
                    </m:f>
                    <m:r>
                      <a:rPr lang="he-IL" sz="1100" b="0" i="1">
                        <a:latin typeface="Cambria Math" panose="02040503050406030204" pitchFamily="18" charset="0"/>
                      </a:rPr>
                      <m:t>=</m:t>
                    </m:r>
                    <m:r>
                      <a:rPr lang="en-US" sz="1100" b="0" i="1">
                        <a:latin typeface="Cambria Math" panose="02040503050406030204" pitchFamily="18" charset="0"/>
                      </a:rPr>
                      <m:t>49,928</m:t>
                    </m:r>
                  </m:oMath>
                </m:oMathPara>
              </a14:m>
              <a:endParaRPr lang="en-US" sz="1100"/>
            </a:p>
          </xdr:txBody>
        </xdr:sp>
      </mc:Choice>
      <mc:Fallback xmlns="">
        <xdr:sp macro="" textlink="">
          <xdr:nvSpPr>
            <xdr:cNvPr id="3" name="TextBox 2">
              <a:extLst>
                <a:ext uri="{FF2B5EF4-FFF2-40B4-BE49-F238E27FC236}">
                  <a16:creationId xmlns:a16="http://schemas.microsoft.com/office/drawing/2014/main" id="{BF68972F-85F5-52AE-8D65-52B12FA54B6F}"/>
                </a:ext>
              </a:extLst>
            </xdr:cNvPr>
            <xdr:cNvSpPr txBox="1"/>
          </xdr:nvSpPr>
          <xdr:spPr>
            <a:xfrm>
              <a:off x="13530232458" y="28884237"/>
              <a:ext cx="5680175" cy="3454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𝑁𝑃𝑉=−100,000+53,850/(1+10%)^1 +52,310/(1+10%)^2 +40,440/(1+10%)^3 +40,056/(1+10%)^4 </a:t>
              </a:r>
              <a:r>
                <a:rPr lang="he-IL" sz="1100" b="0" i="0">
                  <a:latin typeface="Cambria Math" panose="02040503050406030204" pitchFamily="18" charset="0"/>
                </a:rPr>
                <a:t>=</a:t>
              </a:r>
              <a:r>
                <a:rPr lang="en-US" sz="1100" b="0" i="0">
                  <a:latin typeface="Cambria Math" panose="02040503050406030204" pitchFamily="18" charset="0"/>
                </a:rPr>
                <a:t>49,928</a:t>
              </a:r>
              <a:endParaRPr lang="en-US" sz="1100"/>
            </a:p>
          </xdr:txBody>
        </xdr:sp>
      </mc:Fallback>
    </mc:AlternateContent>
    <xdr:clientData/>
  </xdr:oneCellAnchor>
  <xdr:oneCellAnchor>
    <xdr:from>
      <xdr:col>1</xdr:col>
      <xdr:colOff>573549</xdr:colOff>
      <xdr:row>541</xdr:row>
      <xdr:rowOff>71692</xdr:rowOff>
    </xdr:from>
    <xdr:ext cx="3539519" cy="356452"/>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CA231260-E8F5-2B4E-8059-3AB5F9FD8C37}"/>
                </a:ext>
              </a:extLst>
            </xdr:cNvPr>
            <xdr:cNvSpPr txBox="1"/>
          </xdr:nvSpPr>
          <xdr:spPr>
            <a:xfrm>
              <a:off x="13551741856" y="107992828"/>
              <a:ext cx="3539519" cy="3564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𝑁𝑃</m:t>
                    </m:r>
                    <m:sSub>
                      <m:sSubPr>
                        <m:ctrlPr>
                          <a:rPr lang="he-IL" sz="1100" b="0" i="1">
                            <a:latin typeface="Cambria Math" panose="02040503050406030204" pitchFamily="18" charset="0"/>
                          </a:rPr>
                        </m:ctrlPr>
                      </m:sSubPr>
                      <m:e>
                        <m:r>
                          <a:rPr lang="en-US" sz="1100" b="0" i="1">
                            <a:latin typeface="Cambria Math" panose="02040503050406030204" pitchFamily="18" charset="0"/>
                          </a:rPr>
                          <m:t>𝑉</m:t>
                        </m:r>
                      </m:e>
                      <m:sub>
                        <m:r>
                          <a:rPr lang="he-IL" sz="1100" b="0" i="1">
                            <a:latin typeface="Cambria Math" panose="02040503050406030204" pitchFamily="18" charset="0"/>
                          </a:rPr>
                          <m:t>2</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40,440</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1+10%</m:t>
                                </m:r>
                              </m:e>
                            </m:d>
                          </m:e>
                          <m:sup>
                            <m:r>
                              <a:rPr lang="he-IL" sz="1100" b="0" i="1">
                                <a:latin typeface="Cambria Math" panose="02040503050406030204" pitchFamily="18" charset="0"/>
                              </a:rPr>
                              <m:t>1</m:t>
                            </m:r>
                          </m:sup>
                        </m:sSup>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40,056</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1+10%</m:t>
                                </m:r>
                              </m:e>
                            </m:d>
                          </m:e>
                          <m:sup>
                            <m:r>
                              <a:rPr lang="he-IL" sz="1100" b="0" i="1">
                                <a:latin typeface="Cambria Math" panose="02040503050406030204" pitchFamily="18" charset="0"/>
                              </a:rPr>
                              <m:t>2</m:t>
                            </m:r>
                          </m:sup>
                        </m:sSup>
                      </m:den>
                    </m:f>
                    <m:r>
                      <a:rPr lang="he-IL" sz="1100" b="0" i="1">
                        <a:latin typeface="Cambria Math" panose="02040503050406030204" pitchFamily="18" charset="0"/>
                      </a:rPr>
                      <m:t>=69,868</m:t>
                    </m:r>
                  </m:oMath>
                </m:oMathPara>
              </a14:m>
              <a:endParaRPr lang="en-US" sz="1100"/>
            </a:p>
          </xdr:txBody>
        </xdr:sp>
      </mc:Choice>
      <mc:Fallback>
        <xdr:sp macro="" textlink="">
          <xdr:nvSpPr>
            <xdr:cNvPr id="4" name="TextBox 3">
              <a:extLst>
                <a:ext uri="{FF2B5EF4-FFF2-40B4-BE49-F238E27FC236}">
                  <a16:creationId xmlns:a16="http://schemas.microsoft.com/office/drawing/2014/main" id="{CA231260-E8F5-2B4E-8059-3AB5F9FD8C37}"/>
                </a:ext>
              </a:extLst>
            </xdr:cNvPr>
            <xdr:cNvSpPr txBox="1"/>
          </xdr:nvSpPr>
          <xdr:spPr>
            <a:xfrm>
              <a:off x="13551741856" y="107992828"/>
              <a:ext cx="3539519" cy="3564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𝑁𝑃𝑉</a:t>
              </a:r>
              <a:r>
                <a:rPr lang="he-IL" sz="1100" b="0" i="0">
                  <a:latin typeface="Cambria Math" panose="02040503050406030204" pitchFamily="18" charset="0"/>
                </a:rPr>
                <a:t>_2</a:t>
              </a:r>
              <a:r>
                <a:rPr lang="en-US" sz="1100" b="0" i="0">
                  <a:latin typeface="Cambria Math" panose="02040503050406030204" pitchFamily="18" charset="0"/>
                </a:rPr>
                <a:t>=40,440/(1+10%)^</a:t>
              </a:r>
              <a:r>
                <a:rPr lang="he-IL" sz="1100" b="0" i="0">
                  <a:latin typeface="Cambria Math" panose="02040503050406030204" pitchFamily="18" charset="0"/>
                </a:rPr>
                <a:t>1 </a:t>
              </a:r>
              <a:r>
                <a:rPr lang="en-US" sz="1100" b="0" i="0">
                  <a:latin typeface="Cambria Math" panose="02040503050406030204" pitchFamily="18" charset="0"/>
                </a:rPr>
                <a:t>+40,056/(1+10%)^</a:t>
              </a:r>
              <a:r>
                <a:rPr lang="he-IL" sz="1100" b="0" i="0">
                  <a:latin typeface="Cambria Math" panose="02040503050406030204" pitchFamily="18" charset="0"/>
                </a:rPr>
                <a:t>2 =69,868</a:t>
              </a:r>
              <a:endParaRPr lang="en-US" sz="1100"/>
            </a:p>
          </xdr:txBody>
        </xdr:sp>
      </mc:Fallback>
    </mc:AlternateContent>
    <xdr:clientData/>
  </xdr:oneCellAnchor>
  <xdr:twoCellAnchor>
    <xdr:from>
      <xdr:col>8</xdr:col>
      <xdr:colOff>778388</xdr:colOff>
      <xdr:row>588</xdr:row>
      <xdr:rowOff>30726</xdr:rowOff>
    </xdr:from>
    <xdr:to>
      <xdr:col>9</xdr:col>
      <xdr:colOff>464301</xdr:colOff>
      <xdr:row>588</xdr:row>
      <xdr:rowOff>187769</xdr:rowOff>
    </xdr:to>
    <xdr:sp macro="" textlink="">
      <xdr:nvSpPr>
        <xdr:cNvPr id="9" name="Left Arrow 8">
          <a:extLst>
            <a:ext uri="{FF2B5EF4-FFF2-40B4-BE49-F238E27FC236}">
              <a16:creationId xmlns:a16="http://schemas.microsoft.com/office/drawing/2014/main" id="{505E5761-05E6-96FE-7F08-4C042A749862}"/>
            </a:ext>
          </a:extLst>
        </xdr:cNvPr>
        <xdr:cNvSpPr/>
      </xdr:nvSpPr>
      <xdr:spPr>
        <a:xfrm>
          <a:off x="13528278979" y="41633468"/>
          <a:ext cx="512096" cy="157043"/>
        </a:xfrm>
        <a:prstGeom prst="lef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editAs="oneCell">
    <xdr:from>
      <xdr:col>0</xdr:col>
      <xdr:colOff>82357</xdr:colOff>
      <xdr:row>375</xdr:row>
      <xdr:rowOff>56346</xdr:rowOff>
    </xdr:from>
    <xdr:to>
      <xdr:col>7</xdr:col>
      <xdr:colOff>345121</xdr:colOff>
      <xdr:row>386</xdr:row>
      <xdr:rowOff>12999</xdr:rowOff>
    </xdr:to>
    <xdr:pic>
      <xdr:nvPicPr>
        <xdr:cNvPr id="5" name="Picture 4">
          <a:extLst>
            <a:ext uri="{FF2B5EF4-FFF2-40B4-BE49-F238E27FC236}">
              <a16:creationId xmlns:a16="http://schemas.microsoft.com/office/drawing/2014/main" id="{B0C2E439-C57C-4422-CF10-59801323FDED}"/>
            </a:ext>
          </a:extLst>
        </xdr:cNvPr>
        <xdr:cNvPicPr>
          <a:picLocks noChangeAspect="1"/>
        </xdr:cNvPicPr>
      </xdr:nvPicPr>
      <xdr:blipFill>
        <a:blip xmlns:r="http://schemas.openxmlformats.org/officeDocument/2006/relationships" r:embed="rId1"/>
        <a:stretch>
          <a:fillRect/>
        </a:stretch>
      </xdr:blipFill>
      <xdr:spPr>
        <a:xfrm>
          <a:off x="13486645830" y="44397984"/>
          <a:ext cx="6475670" cy="2197577"/>
        </a:xfrm>
        <a:prstGeom prst="rect">
          <a:avLst/>
        </a:prstGeom>
      </xdr:spPr>
    </xdr:pic>
    <xdr:clientData/>
  </xdr:twoCellAnchor>
  <xdr:twoCellAnchor>
    <xdr:from>
      <xdr:col>1</xdr:col>
      <xdr:colOff>372765</xdr:colOff>
      <xdr:row>253</xdr:row>
      <xdr:rowOff>13003</xdr:rowOff>
    </xdr:from>
    <xdr:to>
      <xdr:col>1</xdr:col>
      <xdr:colOff>429113</xdr:colOff>
      <xdr:row>253</xdr:row>
      <xdr:rowOff>186382</xdr:rowOff>
    </xdr:to>
    <xdr:sp macro="" textlink="">
      <xdr:nvSpPr>
        <xdr:cNvPr id="8" name="Down Arrow 7">
          <a:extLst>
            <a:ext uri="{FF2B5EF4-FFF2-40B4-BE49-F238E27FC236}">
              <a16:creationId xmlns:a16="http://schemas.microsoft.com/office/drawing/2014/main" id="{D74784F7-488F-A71A-ECEA-50D3631F347E}"/>
            </a:ext>
          </a:extLst>
        </xdr:cNvPr>
        <xdr:cNvSpPr/>
      </xdr:nvSpPr>
      <xdr:spPr>
        <a:xfrm>
          <a:off x="13491951195" y="28767884"/>
          <a:ext cx="56348" cy="173379"/>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1</xdr:col>
      <xdr:colOff>351093</xdr:colOff>
      <xdr:row>255</xdr:row>
      <xdr:rowOff>65017</xdr:rowOff>
    </xdr:from>
    <xdr:to>
      <xdr:col>1</xdr:col>
      <xdr:colOff>407441</xdr:colOff>
      <xdr:row>256</xdr:row>
      <xdr:rowOff>34676</xdr:rowOff>
    </xdr:to>
    <xdr:sp macro="" textlink="">
      <xdr:nvSpPr>
        <xdr:cNvPr id="11" name="Down Arrow 10">
          <a:extLst>
            <a:ext uri="{FF2B5EF4-FFF2-40B4-BE49-F238E27FC236}">
              <a16:creationId xmlns:a16="http://schemas.microsoft.com/office/drawing/2014/main" id="{C5ED2A02-20E6-DFA7-AEDC-CEB8692C73B8}"/>
            </a:ext>
          </a:extLst>
        </xdr:cNvPr>
        <xdr:cNvSpPr/>
      </xdr:nvSpPr>
      <xdr:spPr>
        <a:xfrm>
          <a:off x="13491972867" y="29227338"/>
          <a:ext cx="56348" cy="173379"/>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2</xdr:col>
      <xdr:colOff>670627</xdr:colOff>
      <xdr:row>336</xdr:row>
      <xdr:rowOff>81158</xdr:rowOff>
    </xdr:from>
    <xdr:ext cx="4252551" cy="341953"/>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65B3423D-BC96-3F8E-E1AE-150CA9339DD2}"/>
                </a:ext>
              </a:extLst>
            </xdr:cNvPr>
            <xdr:cNvSpPr txBox="1"/>
          </xdr:nvSpPr>
          <xdr:spPr>
            <a:xfrm>
              <a:off x="13500333213" y="45202762"/>
              <a:ext cx="4252551" cy="3419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solidFill>
                          <a:srgbClr val="FF0000"/>
                        </a:solidFill>
                        <a:latin typeface="Cambria Math" panose="02040503050406030204" pitchFamily="18" charset="0"/>
                      </a:rPr>
                      <m:t>−18</m:t>
                    </m:r>
                    <m:r>
                      <a:rPr lang="he-IL" sz="1100" b="0" i="1">
                        <a:latin typeface="Cambria Math" panose="02040503050406030204" pitchFamily="18" charset="0"/>
                      </a:rPr>
                      <m:t>+</m:t>
                    </m:r>
                    <m:f>
                      <m:fPr>
                        <m:ctrlPr>
                          <a:rPr lang="he-IL" sz="1100" b="0" i="1">
                            <a:latin typeface="Cambria Math" panose="02040503050406030204" pitchFamily="18" charset="0"/>
                          </a:rPr>
                        </m:ctrlPr>
                      </m:fPr>
                      <m:num>
                        <m:r>
                          <a:rPr lang="he-IL" sz="1100" b="0" i="1">
                            <a:solidFill>
                              <a:srgbClr val="0070C0"/>
                            </a:solidFill>
                            <a:latin typeface="Cambria Math" panose="02040503050406030204" pitchFamily="18" charset="0"/>
                          </a:rPr>
                          <m:t>90</m:t>
                        </m:r>
                      </m:num>
                      <m:den>
                        <m:sSup>
                          <m:sSupPr>
                            <m:ctrlPr>
                              <a:rPr lang="en-US" sz="1100" b="0" i="1">
                                <a:solidFill>
                                  <a:srgbClr val="0070C0"/>
                                </a:solidFill>
                                <a:latin typeface="Cambria Math" panose="02040503050406030204" pitchFamily="18" charset="0"/>
                              </a:rPr>
                            </m:ctrlPr>
                          </m:sSupPr>
                          <m:e>
                            <m:d>
                              <m:dPr>
                                <m:ctrlPr>
                                  <a:rPr lang="en-US" sz="1100" b="0" i="1">
                                    <a:solidFill>
                                      <a:srgbClr val="0070C0"/>
                                    </a:solidFill>
                                    <a:latin typeface="Cambria Math" panose="02040503050406030204" pitchFamily="18" charset="0"/>
                                  </a:rPr>
                                </m:ctrlPr>
                              </m:dPr>
                              <m:e>
                                <m:r>
                                  <a:rPr lang="en-US" sz="1100" b="0" i="1">
                                    <a:solidFill>
                                      <a:srgbClr val="0070C0"/>
                                    </a:solidFill>
                                    <a:latin typeface="Cambria Math" panose="02040503050406030204" pitchFamily="18" charset="0"/>
                                  </a:rPr>
                                  <m:t>1+</m:t>
                                </m:r>
                                <m:r>
                                  <a:rPr lang="en-US" sz="1100" b="0" i="1">
                                    <a:solidFill>
                                      <a:srgbClr val="0070C0"/>
                                    </a:solidFill>
                                    <a:latin typeface="Cambria Math" panose="02040503050406030204" pitchFamily="18" charset="0"/>
                                  </a:rPr>
                                  <m:t>𝐼𝑅𝑅</m:t>
                                </m:r>
                              </m:e>
                            </m:d>
                          </m:e>
                          <m:sup>
                            <m:r>
                              <a:rPr lang="en-US" sz="1100" b="0" i="1">
                                <a:solidFill>
                                  <a:srgbClr val="0070C0"/>
                                </a:solidFill>
                                <a:latin typeface="Cambria Math" panose="02040503050406030204" pitchFamily="18" charset="0"/>
                              </a:rPr>
                              <m:t>1</m:t>
                            </m:r>
                          </m:sup>
                        </m:sSup>
                      </m:den>
                    </m:f>
                    <m:r>
                      <a:rPr lang="en-US" sz="1100" b="0" i="1">
                        <a:solidFill>
                          <a:srgbClr val="D883FF"/>
                        </a:solidFill>
                        <a:latin typeface="Cambria Math" panose="02040503050406030204" pitchFamily="18" charset="0"/>
                      </a:rPr>
                      <m:t>−</m:t>
                    </m:r>
                    <m:f>
                      <m:fPr>
                        <m:ctrlPr>
                          <a:rPr lang="en-US" sz="1100" b="0" i="1">
                            <a:latin typeface="Cambria Math" panose="02040503050406030204" pitchFamily="18" charset="0"/>
                          </a:rPr>
                        </m:ctrlPr>
                      </m:fPr>
                      <m:num>
                        <m:r>
                          <a:rPr lang="en-US" sz="1100" b="0" i="1">
                            <a:solidFill>
                              <a:srgbClr val="D883FF"/>
                            </a:solidFill>
                            <a:latin typeface="Cambria Math" panose="02040503050406030204" pitchFamily="18" charset="0"/>
                          </a:rPr>
                          <m:t>90</m:t>
                        </m:r>
                      </m:num>
                      <m:den>
                        <m:sSup>
                          <m:sSupPr>
                            <m:ctrlPr>
                              <a:rPr lang="en-US" sz="1100" b="0" i="1">
                                <a:solidFill>
                                  <a:srgbClr val="D883FF"/>
                                </a:solidFill>
                                <a:latin typeface="Cambria Math" panose="02040503050406030204" pitchFamily="18" charset="0"/>
                              </a:rPr>
                            </m:ctrlPr>
                          </m:sSupPr>
                          <m:e>
                            <m:d>
                              <m:dPr>
                                <m:ctrlPr>
                                  <a:rPr lang="en-US" sz="1100" b="0" i="1">
                                    <a:solidFill>
                                      <a:srgbClr val="D883FF"/>
                                    </a:solidFill>
                                    <a:latin typeface="Cambria Math" panose="02040503050406030204" pitchFamily="18" charset="0"/>
                                  </a:rPr>
                                </m:ctrlPr>
                              </m:dPr>
                              <m:e>
                                <m:r>
                                  <a:rPr lang="en-US" sz="1100" b="0" i="1">
                                    <a:solidFill>
                                      <a:srgbClr val="D883FF"/>
                                    </a:solidFill>
                                    <a:latin typeface="Cambria Math" panose="02040503050406030204" pitchFamily="18" charset="0"/>
                                  </a:rPr>
                                  <m:t>1+</m:t>
                                </m:r>
                                <m:r>
                                  <a:rPr lang="en-US" sz="1100" b="0" i="1">
                                    <a:solidFill>
                                      <a:srgbClr val="D883FF"/>
                                    </a:solidFill>
                                    <a:latin typeface="Cambria Math" panose="02040503050406030204" pitchFamily="18" charset="0"/>
                                  </a:rPr>
                                  <m:t>𝐼𝑅𝑅</m:t>
                                </m:r>
                              </m:e>
                            </m:d>
                          </m:e>
                          <m:sup>
                            <m:r>
                              <a:rPr lang="en-US" sz="1100" b="0" i="1">
                                <a:solidFill>
                                  <a:srgbClr val="D883FF"/>
                                </a:solidFill>
                                <a:latin typeface="Cambria Math" panose="02040503050406030204" pitchFamily="18" charset="0"/>
                              </a:rPr>
                              <m:t>2</m:t>
                            </m:r>
                          </m:sup>
                        </m:sSup>
                      </m:den>
                    </m:f>
                    <m:r>
                      <a:rPr lang="en-US" sz="1100" b="0" i="1">
                        <a:latin typeface="Cambria Math" panose="02040503050406030204" pitchFamily="18" charset="0"/>
                      </a:rPr>
                      <m:t>=0</m:t>
                    </m:r>
                  </m:oMath>
                </m:oMathPara>
              </a14:m>
              <a:endParaRPr lang="en-US" sz="1100"/>
            </a:p>
          </xdr:txBody>
        </xdr:sp>
      </mc:Choice>
      <mc:Fallback xmlns="">
        <xdr:sp macro="" textlink="">
          <xdr:nvSpPr>
            <xdr:cNvPr id="14" name="TextBox 13">
              <a:extLst>
                <a:ext uri="{FF2B5EF4-FFF2-40B4-BE49-F238E27FC236}">
                  <a16:creationId xmlns:a16="http://schemas.microsoft.com/office/drawing/2014/main" id="{65B3423D-BC96-3F8E-E1AE-150CA9339DD2}"/>
                </a:ext>
              </a:extLst>
            </xdr:cNvPr>
            <xdr:cNvSpPr txBox="1"/>
          </xdr:nvSpPr>
          <xdr:spPr>
            <a:xfrm>
              <a:off x="13500333213" y="45202762"/>
              <a:ext cx="4252551" cy="3419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solidFill>
                    <a:srgbClr val="FF0000"/>
                  </a:solidFill>
                  <a:latin typeface="Cambria Math" panose="02040503050406030204" pitchFamily="18" charset="0"/>
                </a:rPr>
                <a:t>−18</a:t>
              </a:r>
              <a:r>
                <a:rPr lang="he-IL" sz="1100" b="0" i="0">
                  <a:latin typeface="Cambria Math" panose="02040503050406030204" pitchFamily="18" charset="0"/>
                </a:rPr>
                <a:t>+</a:t>
              </a:r>
              <a:r>
                <a:rPr lang="he-IL" sz="1100" b="0" i="0">
                  <a:solidFill>
                    <a:srgbClr val="0070C0"/>
                  </a:solidFill>
                  <a:latin typeface="Cambria Math" panose="02040503050406030204" pitchFamily="18" charset="0"/>
                </a:rPr>
                <a:t>90/</a:t>
              </a:r>
              <a:r>
                <a:rPr lang="en-US" sz="1100" b="0" i="0">
                  <a:solidFill>
                    <a:srgbClr val="0070C0"/>
                  </a:solidFill>
                  <a:latin typeface="Cambria Math" panose="02040503050406030204" pitchFamily="18" charset="0"/>
                </a:rPr>
                <a:t>(1+𝐼𝑅𝑅)^1 </a:t>
              </a:r>
              <a:r>
                <a:rPr lang="en-US" sz="1100" b="0" i="0">
                  <a:solidFill>
                    <a:srgbClr val="D883FF"/>
                  </a:solidFill>
                  <a:latin typeface="Cambria Math" panose="02040503050406030204" pitchFamily="18" charset="0"/>
                </a:rPr>
                <a:t>−90/(1+𝐼𝑅𝑅)^2 </a:t>
              </a:r>
              <a:r>
                <a:rPr lang="en-US" sz="1100" b="0" i="0">
                  <a:latin typeface="Cambria Math" panose="02040503050406030204" pitchFamily="18" charset="0"/>
                </a:rPr>
                <a:t>=0</a:t>
              </a:r>
              <a:endParaRPr lang="en-US" sz="1100"/>
            </a:p>
          </xdr:txBody>
        </xdr:sp>
      </mc:Fallback>
    </mc:AlternateContent>
    <xdr:clientData/>
  </xdr:oneCellAnchor>
  <xdr:oneCellAnchor>
    <xdr:from>
      <xdr:col>2</xdr:col>
      <xdr:colOff>316418</xdr:colOff>
      <xdr:row>411</xdr:row>
      <xdr:rowOff>138789</xdr:rowOff>
    </xdr:from>
    <xdr:ext cx="3524359" cy="45756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0ABCBF71-6E2E-855F-4332-07D37F7C39C2}"/>
                </a:ext>
              </a:extLst>
            </xdr:cNvPr>
            <xdr:cNvSpPr txBox="1"/>
          </xdr:nvSpPr>
          <xdr:spPr>
            <a:xfrm>
              <a:off x="13487715981" y="51866366"/>
              <a:ext cx="3524359" cy="4575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−2,000,000+</m:t>
                    </m:r>
                    <m:f>
                      <m:fPr>
                        <m:ctrlPr>
                          <a:rPr lang="en-US" sz="1100" b="0" i="1">
                            <a:latin typeface="Cambria Math" panose="02040503050406030204" pitchFamily="18" charset="0"/>
                          </a:rPr>
                        </m:ctrlPr>
                      </m:fPr>
                      <m:num>
                        <m:f>
                          <m:fPr>
                            <m:ctrlPr>
                              <a:rPr lang="en-US" sz="1100" b="0" i="1">
                                <a:latin typeface="Cambria Math" panose="02040503050406030204" pitchFamily="18" charset="0"/>
                              </a:rPr>
                            </m:ctrlPr>
                          </m:fPr>
                          <m:num>
                            <m:r>
                              <a:rPr lang="en-US" sz="1100" b="0" i="1">
                                <a:latin typeface="Cambria Math" panose="02040503050406030204" pitchFamily="18" charset="0"/>
                              </a:rPr>
                              <m:t>600,000</m:t>
                            </m:r>
                          </m:num>
                          <m:den>
                            <m:r>
                              <a:rPr lang="en-US" sz="1100" b="0" i="1">
                                <a:latin typeface="Cambria Math" panose="02040503050406030204" pitchFamily="18" charset="0"/>
                              </a:rPr>
                              <m:t>𝑟</m:t>
                            </m:r>
                          </m:den>
                        </m:f>
                      </m:num>
                      <m:den>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400,000</m:t>
                        </m:r>
                      </m:num>
                      <m:den>
                        <m:r>
                          <a:rPr lang="en-US" sz="1100" b="0" i="1">
                            <a:latin typeface="Cambria Math" panose="02040503050406030204" pitchFamily="18" charset="0"/>
                          </a:rPr>
                          <m:t>𝑟</m:t>
                        </m:r>
                      </m:den>
                    </m:f>
                    <m:r>
                      <a:rPr lang="en-US" sz="1100" b="0" i="1">
                        <a:latin typeface="Cambria Math" panose="02040503050406030204" pitchFamily="18" charset="0"/>
                      </a:rPr>
                      <m:t>→</m:t>
                    </m:r>
                    <m:r>
                      <a:rPr lang="en-US" sz="1100" b="0" i="1">
                        <a:latin typeface="Cambria Math" panose="02040503050406030204" pitchFamily="18" charset="0"/>
                      </a:rPr>
                      <m:t>𝑟</m:t>
                    </m:r>
                    <m:r>
                      <a:rPr lang="en-US" sz="1100" b="0" i="1">
                        <a:latin typeface="Cambria Math" panose="02040503050406030204" pitchFamily="18" charset="0"/>
                      </a:rPr>
                      <m:t>≈7.8%</m:t>
                    </m:r>
                  </m:oMath>
                </m:oMathPara>
              </a14:m>
              <a:endParaRPr lang="en-US" sz="1100"/>
            </a:p>
          </xdr:txBody>
        </xdr:sp>
      </mc:Choice>
      <mc:Fallback xmlns="">
        <xdr:sp macro="" textlink="">
          <xdr:nvSpPr>
            <xdr:cNvPr id="15" name="TextBox 14">
              <a:extLst>
                <a:ext uri="{FF2B5EF4-FFF2-40B4-BE49-F238E27FC236}">
                  <a16:creationId xmlns:a16="http://schemas.microsoft.com/office/drawing/2014/main" id="{0ABCBF71-6E2E-855F-4332-07D37F7C39C2}"/>
                </a:ext>
              </a:extLst>
            </xdr:cNvPr>
            <xdr:cNvSpPr txBox="1"/>
          </xdr:nvSpPr>
          <xdr:spPr>
            <a:xfrm>
              <a:off x="13487715981" y="51866366"/>
              <a:ext cx="3524359" cy="4575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−2,000,000+(600,000/𝑟)/((1+𝑟) )=400,000/𝑟→𝑟≈7.8%</a:t>
              </a:r>
              <a:endParaRPr lang="en-US" sz="1100"/>
            </a:p>
          </xdr:txBody>
        </xdr:sp>
      </mc:Fallback>
    </mc:AlternateContent>
    <xdr:clientData/>
  </xdr:oneCellAnchor>
  <xdr:twoCellAnchor>
    <xdr:from>
      <xdr:col>7</xdr:col>
      <xdr:colOff>443024</xdr:colOff>
      <xdr:row>3</xdr:row>
      <xdr:rowOff>190336</xdr:rowOff>
    </xdr:from>
    <xdr:to>
      <xdr:col>7</xdr:col>
      <xdr:colOff>790879</xdr:colOff>
      <xdr:row>7</xdr:row>
      <xdr:rowOff>183772</xdr:rowOff>
    </xdr:to>
    <xdr:sp macro="" textlink="">
      <xdr:nvSpPr>
        <xdr:cNvPr id="2" name="Left Brace 1">
          <a:extLst>
            <a:ext uri="{FF2B5EF4-FFF2-40B4-BE49-F238E27FC236}">
              <a16:creationId xmlns:a16="http://schemas.microsoft.com/office/drawing/2014/main" id="{0DFC908A-CB59-41EC-E3D2-AD85BBF57B09}"/>
            </a:ext>
          </a:extLst>
        </xdr:cNvPr>
        <xdr:cNvSpPr/>
      </xdr:nvSpPr>
      <xdr:spPr>
        <a:xfrm>
          <a:off x="13542607260" y="800724"/>
          <a:ext cx="347855" cy="807286"/>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7</xdr:col>
      <xdr:colOff>443024</xdr:colOff>
      <xdr:row>8</xdr:row>
      <xdr:rowOff>19689</xdr:rowOff>
    </xdr:from>
    <xdr:to>
      <xdr:col>7</xdr:col>
      <xdr:colOff>790879</xdr:colOff>
      <xdr:row>15</xdr:row>
      <xdr:rowOff>49224</xdr:rowOff>
    </xdr:to>
    <xdr:sp macro="" textlink="">
      <xdr:nvSpPr>
        <xdr:cNvPr id="16" name="Left Brace 15">
          <a:extLst>
            <a:ext uri="{FF2B5EF4-FFF2-40B4-BE49-F238E27FC236}">
              <a16:creationId xmlns:a16="http://schemas.microsoft.com/office/drawing/2014/main" id="{9B87C8D5-EA4C-B00C-3FAE-C0EE740A7DAA}"/>
            </a:ext>
          </a:extLst>
        </xdr:cNvPr>
        <xdr:cNvSpPr/>
      </xdr:nvSpPr>
      <xdr:spPr>
        <a:xfrm>
          <a:off x="13542607260" y="1647389"/>
          <a:ext cx="347855" cy="1453773"/>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3</xdr:col>
      <xdr:colOff>846666</xdr:colOff>
      <xdr:row>20</xdr:row>
      <xdr:rowOff>147674</xdr:rowOff>
    </xdr:from>
    <xdr:to>
      <xdr:col>4</xdr:col>
      <xdr:colOff>318320</xdr:colOff>
      <xdr:row>24</xdr:row>
      <xdr:rowOff>82041</xdr:rowOff>
    </xdr:to>
    <xdr:sp macro="" textlink="">
      <xdr:nvSpPr>
        <xdr:cNvPr id="17" name="Left Brace 16">
          <a:extLst>
            <a:ext uri="{FF2B5EF4-FFF2-40B4-BE49-F238E27FC236}">
              <a16:creationId xmlns:a16="http://schemas.microsoft.com/office/drawing/2014/main" id="{63884DF2-3EA4-DE69-06B9-08E0E7D650D2}"/>
            </a:ext>
          </a:extLst>
        </xdr:cNvPr>
        <xdr:cNvSpPr/>
      </xdr:nvSpPr>
      <xdr:spPr>
        <a:xfrm>
          <a:off x="13545623101" y="4216925"/>
          <a:ext cx="400362" cy="977933"/>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4</xdr:col>
      <xdr:colOff>626795</xdr:colOff>
      <xdr:row>19</xdr:row>
      <xdr:rowOff>158750</xdr:rowOff>
    </xdr:from>
    <xdr:to>
      <xdr:col>6</xdr:col>
      <xdr:colOff>105012</xdr:colOff>
      <xdr:row>23</xdr:row>
      <xdr:rowOff>187054</xdr:rowOff>
    </xdr:to>
    <xdr:sp macro="" textlink="">
      <xdr:nvSpPr>
        <xdr:cNvPr id="18" name="Rectangular Callout 17">
          <a:extLst>
            <a:ext uri="{FF2B5EF4-FFF2-40B4-BE49-F238E27FC236}">
              <a16:creationId xmlns:a16="http://schemas.microsoft.com/office/drawing/2014/main" id="{899270A5-9B28-EC50-35FD-730BECDF3E71}"/>
            </a:ext>
          </a:extLst>
        </xdr:cNvPr>
        <xdr:cNvSpPr/>
      </xdr:nvSpPr>
      <xdr:spPr>
        <a:xfrm>
          <a:off x="13481415359" y="4068704"/>
          <a:ext cx="1189189" cy="1074878"/>
        </a:xfrm>
        <a:prstGeom prst="wedgeRectCallout">
          <a:avLst>
            <a:gd name="adj1" fmla="val -61218"/>
            <a:gd name="adj2" fmla="val 48061"/>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כשרוצים להעריך פרויקטים מחשבים</a:t>
          </a:r>
          <a:r>
            <a:rPr lang="he-IL" sz="1100" baseline="0"/>
            <a:t> מהר ב-</a:t>
          </a:r>
          <a:r>
            <a:rPr lang="en-US" sz="1600" u="sng" baseline="0"/>
            <a:t>CASH</a:t>
          </a:r>
          <a:endParaRPr lang="en-US" sz="1100" u="sng" baseline="0"/>
        </a:p>
        <a:p>
          <a:pPr algn="r" rtl="1"/>
          <a:r>
            <a:rPr lang="he-IL" sz="1100" baseline="0"/>
            <a:t>כאילו היינו סוס גולש</a:t>
          </a:r>
          <a:endParaRPr lang="en-US" sz="1100"/>
        </a:p>
      </xdr:txBody>
    </xdr:sp>
    <xdr:clientData/>
  </xdr:twoCellAnchor>
  <xdr:twoCellAnchor editAs="oneCell">
    <xdr:from>
      <xdr:col>6</xdr:col>
      <xdr:colOff>142972</xdr:colOff>
      <xdr:row>22</xdr:row>
      <xdr:rowOff>13127</xdr:rowOff>
    </xdr:from>
    <xdr:to>
      <xdr:col>7</xdr:col>
      <xdr:colOff>112036</xdr:colOff>
      <xdr:row>26</xdr:row>
      <xdr:rowOff>84961</xdr:rowOff>
    </xdr:to>
    <xdr:pic>
      <xdr:nvPicPr>
        <xdr:cNvPr id="19" name="Picture 18">
          <a:extLst>
            <a:ext uri="{FF2B5EF4-FFF2-40B4-BE49-F238E27FC236}">
              <a16:creationId xmlns:a16="http://schemas.microsoft.com/office/drawing/2014/main" id="{538E0E7D-C728-531E-48AF-EF533B24C505}"/>
            </a:ext>
          </a:extLst>
        </xdr:cNvPr>
        <xdr:cNvPicPr>
          <a:picLocks noChangeAspect="1"/>
        </xdr:cNvPicPr>
      </xdr:nvPicPr>
      <xdr:blipFill>
        <a:blip xmlns:r="http://schemas.openxmlformats.org/officeDocument/2006/relationships" r:embed="rId2"/>
        <a:stretch>
          <a:fillRect/>
        </a:stretch>
      </xdr:blipFill>
      <xdr:spPr>
        <a:xfrm>
          <a:off x="13543286103" y="4719018"/>
          <a:ext cx="796041" cy="885685"/>
        </a:xfrm>
        <a:prstGeom prst="rect">
          <a:avLst/>
        </a:prstGeom>
      </xdr:spPr>
    </xdr:pic>
    <xdr:clientData/>
  </xdr:twoCellAnchor>
  <xdr:twoCellAnchor editAs="oneCell">
    <xdr:from>
      <xdr:col>0</xdr:col>
      <xdr:colOff>26254</xdr:colOff>
      <xdr:row>41</xdr:row>
      <xdr:rowOff>111575</xdr:rowOff>
    </xdr:from>
    <xdr:to>
      <xdr:col>8</xdr:col>
      <xdr:colOff>288710</xdr:colOff>
      <xdr:row>50</xdr:row>
      <xdr:rowOff>42115</xdr:rowOff>
    </xdr:to>
    <xdr:pic>
      <xdr:nvPicPr>
        <xdr:cNvPr id="20" name="Picture 19">
          <a:extLst>
            <a:ext uri="{FF2B5EF4-FFF2-40B4-BE49-F238E27FC236}">
              <a16:creationId xmlns:a16="http://schemas.microsoft.com/office/drawing/2014/main" id="{F34665C9-DBD5-35A7-1664-C8C0709D0456}"/>
            </a:ext>
          </a:extLst>
        </xdr:cNvPr>
        <xdr:cNvPicPr>
          <a:picLocks noChangeAspect="1"/>
        </xdr:cNvPicPr>
      </xdr:nvPicPr>
      <xdr:blipFill>
        <a:blip xmlns:r="http://schemas.openxmlformats.org/officeDocument/2006/relationships" r:embed="rId3"/>
        <a:stretch>
          <a:fillRect/>
        </a:stretch>
      </xdr:blipFill>
      <xdr:spPr>
        <a:xfrm>
          <a:off x="13542003437" y="8709508"/>
          <a:ext cx="7321368" cy="1761703"/>
        </a:xfrm>
        <a:prstGeom prst="rect">
          <a:avLst/>
        </a:prstGeom>
      </xdr:spPr>
    </xdr:pic>
    <xdr:clientData/>
  </xdr:twoCellAnchor>
  <xdr:twoCellAnchor>
    <xdr:from>
      <xdr:col>5</xdr:col>
      <xdr:colOff>364537</xdr:colOff>
      <xdr:row>90</xdr:row>
      <xdr:rowOff>148951</xdr:rowOff>
    </xdr:from>
    <xdr:to>
      <xdr:col>5</xdr:col>
      <xdr:colOff>497808</xdr:colOff>
      <xdr:row>91</xdr:row>
      <xdr:rowOff>160710</xdr:rowOff>
    </xdr:to>
    <xdr:sp macro="" textlink="">
      <xdr:nvSpPr>
        <xdr:cNvPr id="21" name="Up Arrow 20">
          <a:extLst>
            <a:ext uri="{FF2B5EF4-FFF2-40B4-BE49-F238E27FC236}">
              <a16:creationId xmlns:a16="http://schemas.microsoft.com/office/drawing/2014/main" id="{F961BA29-E2F5-A2A7-5D8B-43EDBF6203F0}"/>
            </a:ext>
          </a:extLst>
        </xdr:cNvPr>
        <xdr:cNvSpPr/>
      </xdr:nvSpPr>
      <xdr:spPr>
        <a:xfrm>
          <a:off x="13546110062" y="16549198"/>
          <a:ext cx="133271" cy="215586"/>
        </a:xfrm>
        <a:prstGeom prst="up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15</xdr:col>
      <xdr:colOff>360284</xdr:colOff>
      <xdr:row>243</xdr:row>
      <xdr:rowOff>45036</xdr:rowOff>
    </xdr:from>
    <xdr:to>
      <xdr:col>15</xdr:col>
      <xdr:colOff>396311</xdr:colOff>
      <xdr:row>257</xdr:row>
      <xdr:rowOff>121596</xdr:rowOff>
    </xdr:to>
    <xdr:cxnSp macro="">
      <xdr:nvCxnSpPr>
        <xdr:cNvPr id="23" name="Straight Arrow Connector 22">
          <a:extLst>
            <a:ext uri="{FF2B5EF4-FFF2-40B4-BE49-F238E27FC236}">
              <a16:creationId xmlns:a16="http://schemas.microsoft.com/office/drawing/2014/main" id="{BC30DC57-8F8E-107C-32DE-481755476585}"/>
            </a:ext>
          </a:extLst>
        </xdr:cNvPr>
        <xdr:cNvCxnSpPr/>
      </xdr:nvCxnSpPr>
      <xdr:spPr>
        <a:xfrm flipH="1" flipV="1">
          <a:off x="13490097625" y="26836632"/>
          <a:ext cx="36027" cy="2927304"/>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689042</xdr:colOff>
      <xdr:row>251</xdr:row>
      <xdr:rowOff>94575</xdr:rowOff>
    </xdr:from>
    <xdr:to>
      <xdr:col>15</xdr:col>
      <xdr:colOff>576453</xdr:colOff>
      <xdr:row>251</xdr:row>
      <xdr:rowOff>99078</xdr:rowOff>
    </xdr:to>
    <xdr:cxnSp macro="">
      <xdr:nvCxnSpPr>
        <xdr:cNvPr id="24" name="Straight Arrow Connector 23">
          <a:extLst>
            <a:ext uri="{FF2B5EF4-FFF2-40B4-BE49-F238E27FC236}">
              <a16:creationId xmlns:a16="http://schemas.microsoft.com/office/drawing/2014/main" id="{36EB5333-F1B8-3B3C-0945-F26470BC5146}"/>
            </a:ext>
          </a:extLst>
        </xdr:cNvPr>
        <xdr:cNvCxnSpPr/>
      </xdr:nvCxnSpPr>
      <xdr:spPr>
        <a:xfrm>
          <a:off x="13489917483" y="28507447"/>
          <a:ext cx="3184006" cy="450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157624</xdr:colOff>
      <xdr:row>246</xdr:row>
      <xdr:rowOff>157624</xdr:rowOff>
    </xdr:from>
    <xdr:to>
      <xdr:col>15</xdr:col>
      <xdr:colOff>387305</xdr:colOff>
      <xdr:row>253</xdr:row>
      <xdr:rowOff>135106</xdr:rowOff>
    </xdr:to>
    <xdr:sp macro="" textlink="">
      <xdr:nvSpPr>
        <xdr:cNvPr id="27" name="Freeform 26">
          <a:extLst>
            <a:ext uri="{FF2B5EF4-FFF2-40B4-BE49-F238E27FC236}">
              <a16:creationId xmlns:a16="http://schemas.microsoft.com/office/drawing/2014/main" id="{3B6C6691-238E-E45C-C2E9-85DF6AA46DA4}"/>
            </a:ext>
          </a:extLst>
        </xdr:cNvPr>
        <xdr:cNvSpPr/>
      </xdr:nvSpPr>
      <xdr:spPr>
        <a:xfrm>
          <a:off x="13490106631" y="27557198"/>
          <a:ext cx="1877979" cy="1396099"/>
        </a:xfrm>
        <a:custGeom>
          <a:avLst/>
          <a:gdLst>
            <a:gd name="connsiteX0" fmla="*/ 0 w 2508475"/>
            <a:gd name="connsiteY0" fmla="*/ 0 h 1846454"/>
            <a:gd name="connsiteX1" fmla="*/ 1170922 w 2508475"/>
            <a:gd name="connsiteY1" fmla="*/ 1522199 h 1846454"/>
            <a:gd name="connsiteX2" fmla="*/ 2508475 w 2508475"/>
            <a:gd name="connsiteY2" fmla="*/ 1846454 h 1846454"/>
          </a:gdLst>
          <a:ahLst/>
          <a:cxnLst>
            <a:cxn ang="0">
              <a:pos x="connsiteX0" y="connsiteY0"/>
            </a:cxn>
            <a:cxn ang="0">
              <a:pos x="connsiteX1" y="connsiteY1"/>
            </a:cxn>
            <a:cxn ang="0">
              <a:pos x="connsiteX2" y="connsiteY2"/>
            </a:cxn>
          </a:cxnLst>
          <a:rect l="l" t="t" r="r" b="b"/>
          <a:pathLst>
            <a:path w="2508475" h="1846454">
              <a:moveTo>
                <a:pt x="0" y="0"/>
              </a:moveTo>
              <a:cubicBezTo>
                <a:pt x="376421" y="607228"/>
                <a:pt x="752843" y="1214457"/>
                <a:pt x="1170922" y="1522199"/>
              </a:cubicBezTo>
              <a:cubicBezTo>
                <a:pt x="1589001" y="1829941"/>
                <a:pt x="2048738" y="1838197"/>
                <a:pt x="2508475" y="1846454"/>
              </a:cubicBezTo>
            </a:path>
          </a:pathLst>
        </a:custGeom>
      </xdr:spPr>
      <xdr:style>
        <a:lnRef idx="3">
          <a:schemeClr val="accent2"/>
        </a:lnRef>
        <a:fillRef idx="0">
          <a:schemeClr val="accent2"/>
        </a:fillRef>
        <a:effectRef idx="2">
          <a:schemeClr val="accent2"/>
        </a:effectRef>
        <a:fontRef idx="minor">
          <a:schemeClr val="tx1"/>
        </a:fontRef>
      </xdr:style>
      <xdr:txBody>
        <a:bodyPr vertOverflow="clip" horzOverflow="clip" rtlCol="0" anchor="t"/>
        <a:lstStyle/>
        <a:p>
          <a:pPr algn="r" rtl="1"/>
          <a:endParaRPr lang="en-US" sz="1100"/>
        </a:p>
      </xdr:txBody>
    </xdr:sp>
    <xdr:clientData/>
  </xdr:twoCellAnchor>
  <xdr:oneCellAnchor>
    <xdr:from>
      <xdr:col>14</xdr:col>
      <xdr:colOff>558440</xdr:colOff>
      <xdr:row>246</xdr:row>
      <xdr:rowOff>42693</xdr:rowOff>
    </xdr:from>
    <xdr:ext cx="1690324" cy="173766"/>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B50A7F4E-CF0B-356B-9138-0C10DB2BA52F}"/>
                </a:ext>
              </a:extLst>
            </xdr:cNvPr>
            <xdr:cNvSpPr txBox="1"/>
          </xdr:nvSpPr>
          <xdr:spPr>
            <a:xfrm>
              <a:off x="13489069321" y="27442267"/>
              <a:ext cx="169032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latin typeface="Cambria Math" panose="02040503050406030204" pitchFamily="18" charset="0"/>
                      </a:rPr>
                      <m:t>8,242</m:t>
                    </m:r>
                  </m:oMath>
                </m:oMathPara>
              </a14:m>
              <a:endParaRPr lang="en-US" sz="1100"/>
            </a:p>
          </xdr:txBody>
        </xdr:sp>
      </mc:Choice>
      <mc:Fallback xmlns="">
        <xdr:sp macro="" textlink="">
          <xdr:nvSpPr>
            <xdr:cNvPr id="28" name="TextBox 27">
              <a:extLst>
                <a:ext uri="{FF2B5EF4-FFF2-40B4-BE49-F238E27FC236}">
                  <a16:creationId xmlns:a16="http://schemas.microsoft.com/office/drawing/2014/main" id="{B50A7F4E-CF0B-356B-9138-0C10DB2BA52F}"/>
                </a:ext>
              </a:extLst>
            </xdr:cNvPr>
            <xdr:cNvSpPr txBox="1"/>
          </xdr:nvSpPr>
          <xdr:spPr>
            <a:xfrm>
              <a:off x="13489069321" y="27442267"/>
              <a:ext cx="169032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8,242</a:t>
              </a:r>
              <a:endParaRPr lang="en-US" sz="1100"/>
            </a:p>
          </xdr:txBody>
        </xdr:sp>
      </mc:Fallback>
    </mc:AlternateContent>
    <xdr:clientData/>
  </xdr:oneCellAnchor>
  <xdr:oneCellAnchor>
    <xdr:from>
      <xdr:col>13</xdr:col>
      <xdr:colOff>285311</xdr:colOff>
      <xdr:row>251</xdr:row>
      <xdr:rowOff>105496</xdr:rowOff>
    </xdr:from>
    <xdr:ext cx="1690324" cy="94770"/>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48CBFF9-8598-E734-AB9F-CEC016007FA9}"/>
                </a:ext>
              </a:extLst>
            </xdr:cNvPr>
            <xdr:cNvSpPr txBox="1"/>
          </xdr:nvSpPr>
          <xdr:spPr>
            <a:xfrm>
              <a:off x="13514999117" y="28459987"/>
              <a:ext cx="1690324" cy="94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600" b="0" i="1">
                        <a:latin typeface="Cambria Math" panose="02040503050406030204" pitchFamily="18" charset="0"/>
                      </a:rPr>
                      <m:t>17.76%</m:t>
                    </m:r>
                  </m:oMath>
                </m:oMathPara>
              </a14:m>
              <a:endParaRPr lang="en-US" sz="600"/>
            </a:p>
          </xdr:txBody>
        </xdr:sp>
      </mc:Choice>
      <mc:Fallback xmlns="">
        <xdr:sp macro="" textlink="">
          <xdr:nvSpPr>
            <xdr:cNvPr id="29" name="TextBox 28">
              <a:extLst>
                <a:ext uri="{FF2B5EF4-FFF2-40B4-BE49-F238E27FC236}">
                  <a16:creationId xmlns:a16="http://schemas.microsoft.com/office/drawing/2014/main" id="{648CBFF9-8598-E734-AB9F-CEC016007FA9}"/>
                </a:ext>
              </a:extLst>
            </xdr:cNvPr>
            <xdr:cNvSpPr txBox="1"/>
          </xdr:nvSpPr>
          <xdr:spPr>
            <a:xfrm>
              <a:off x="13514999117" y="28459987"/>
              <a:ext cx="1690324" cy="94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600" b="0" i="0">
                  <a:latin typeface="Cambria Math" panose="02040503050406030204" pitchFamily="18" charset="0"/>
                </a:rPr>
                <a:t>17.76%</a:t>
              </a:r>
              <a:endParaRPr lang="en-US" sz="600"/>
            </a:p>
          </xdr:txBody>
        </xdr:sp>
      </mc:Fallback>
    </mc:AlternateContent>
    <xdr:clientData/>
  </xdr:oneCellAnchor>
  <xdr:oneCellAnchor>
    <xdr:from>
      <xdr:col>14</xdr:col>
      <xdr:colOff>675533</xdr:colOff>
      <xdr:row>253</xdr:row>
      <xdr:rowOff>65211</xdr:rowOff>
    </xdr:from>
    <xdr:ext cx="1690324" cy="17376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0C2AAE6B-6BC2-6088-4CE9-A339C698C38E}"/>
                </a:ext>
              </a:extLst>
            </xdr:cNvPr>
            <xdr:cNvSpPr txBox="1"/>
          </xdr:nvSpPr>
          <xdr:spPr>
            <a:xfrm>
              <a:off x="13488952228" y="28883402"/>
              <a:ext cx="169032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latin typeface="Cambria Math" panose="02040503050406030204" pitchFamily="18" charset="0"/>
                      </a:rPr>
                      <m:t>−10,000</m:t>
                    </m:r>
                  </m:oMath>
                </m:oMathPara>
              </a14:m>
              <a:endParaRPr lang="en-US" sz="1100"/>
            </a:p>
          </xdr:txBody>
        </xdr:sp>
      </mc:Choice>
      <mc:Fallback xmlns="">
        <xdr:sp macro="" textlink="">
          <xdr:nvSpPr>
            <xdr:cNvPr id="30" name="TextBox 29">
              <a:extLst>
                <a:ext uri="{FF2B5EF4-FFF2-40B4-BE49-F238E27FC236}">
                  <a16:creationId xmlns:a16="http://schemas.microsoft.com/office/drawing/2014/main" id="{0C2AAE6B-6BC2-6088-4CE9-A339C698C38E}"/>
                </a:ext>
              </a:extLst>
            </xdr:cNvPr>
            <xdr:cNvSpPr txBox="1"/>
          </xdr:nvSpPr>
          <xdr:spPr>
            <a:xfrm>
              <a:off x="13488952228" y="28883402"/>
              <a:ext cx="169032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−10,000</a:t>
              </a:r>
              <a:endParaRPr lang="en-US" sz="1100"/>
            </a:p>
          </xdr:txBody>
        </xdr:sp>
      </mc:Fallback>
    </mc:AlternateContent>
    <xdr:clientData/>
  </xdr:oneCellAnchor>
  <xdr:twoCellAnchor>
    <xdr:from>
      <xdr:col>13</xdr:col>
      <xdr:colOff>666525</xdr:colOff>
      <xdr:row>244</xdr:row>
      <xdr:rowOff>9007</xdr:rowOff>
    </xdr:from>
    <xdr:to>
      <xdr:col>15</xdr:col>
      <xdr:colOff>405319</xdr:colOff>
      <xdr:row>256</xdr:row>
      <xdr:rowOff>162128</xdr:rowOff>
    </xdr:to>
    <xdr:sp macro="" textlink="">
      <xdr:nvSpPr>
        <xdr:cNvPr id="31" name="Freeform 30">
          <a:extLst>
            <a:ext uri="{FF2B5EF4-FFF2-40B4-BE49-F238E27FC236}">
              <a16:creationId xmlns:a16="http://schemas.microsoft.com/office/drawing/2014/main" id="{6699B46A-B05D-7540-9821-8F2DA80708B5}"/>
            </a:ext>
          </a:extLst>
        </xdr:cNvPr>
        <xdr:cNvSpPr/>
      </xdr:nvSpPr>
      <xdr:spPr>
        <a:xfrm>
          <a:off x="13490088617" y="27003262"/>
          <a:ext cx="1387092" cy="2585036"/>
        </a:xfrm>
        <a:custGeom>
          <a:avLst/>
          <a:gdLst>
            <a:gd name="connsiteX0" fmla="*/ 0 w 1387092"/>
            <a:gd name="connsiteY0" fmla="*/ 0 h 2585036"/>
            <a:gd name="connsiteX1" fmla="*/ 612482 w 1387092"/>
            <a:gd name="connsiteY1" fmla="*/ 2148192 h 2585036"/>
            <a:gd name="connsiteX2" fmla="*/ 1387092 w 1387092"/>
            <a:gd name="connsiteY2" fmla="*/ 2585036 h 2585036"/>
          </a:gdLst>
          <a:ahLst/>
          <a:cxnLst>
            <a:cxn ang="0">
              <a:pos x="connsiteX0" y="connsiteY0"/>
            </a:cxn>
            <a:cxn ang="0">
              <a:pos x="connsiteX1" y="connsiteY1"/>
            </a:cxn>
            <a:cxn ang="0">
              <a:pos x="connsiteX2" y="connsiteY2"/>
            </a:cxn>
          </a:cxnLst>
          <a:rect l="l" t="t" r="r" b="b"/>
          <a:pathLst>
            <a:path w="1387092" h="2585036">
              <a:moveTo>
                <a:pt x="0" y="0"/>
              </a:moveTo>
              <a:cubicBezTo>
                <a:pt x="190650" y="858676"/>
                <a:pt x="381300" y="1717353"/>
                <a:pt x="612482" y="2148192"/>
              </a:cubicBezTo>
              <a:cubicBezTo>
                <a:pt x="843664" y="2579031"/>
                <a:pt x="1115378" y="2582033"/>
                <a:pt x="1387092" y="2585036"/>
              </a:cubicBezTo>
            </a:path>
          </a:pathLst>
        </a:custGeom>
      </xdr:spPr>
      <xdr:style>
        <a:lnRef idx="3">
          <a:schemeClr val="accent6"/>
        </a:lnRef>
        <a:fillRef idx="0">
          <a:schemeClr val="accent6"/>
        </a:fillRef>
        <a:effectRef idx="2">
          <a:schemeClr val="accent6"/>
        </a:effectRef>
        <a:fontRef idx="minor">
          <a:schemeClr val="tx1"/>
        </a:fontRef>
      </xdr:style>
      <xdr:txBody>
        <a:bodyPr vertOverflow="clip" horzOverflow="clip" rtlCol="0" anchor="t"/>
        <a:lstStyle/>
        <a:p>
          <a:pPr algn="r" rtl="1"/>
          <a:endParaRPr lang="en-US" sz="1100"/>
        </a:p>
      </xdr:txBody>
    </xdr:sp>
    <xdr:clientData/>
  </xdr:twoCellAnchor>
  <xdr:oneCellAnchor>
    <xdr:from>
      <xdr:col>12</xdr:col>
      <xdr:colOff>117093</xdr:colOff>
      <xdr:row>253</xdr:row>
      <xdr:rowOff>38190</xdr:rowOff>
    </xdr:from>
    <xdr:ext cx="1230963" cy="173766"/>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40D980D0-FC26-4B52-DB58-C56813EDF166}"/>
                </a:ext>
              </a:extLst>
            </xdr:cNvPr>
            <xdr:cNvSpPr txBox="1"/>
          </xdr:nvSpPr>
          <xdr:spPr>
            <a:xfrm>
              <a:off x="13491618327" y="28856381"/>
              <a:ext cx="123096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𝑁𝑃𝑉</m:t>
                    </m:r>
                    <m:r>
                      <a:rPr lang="en-US" sz="1100" b="0" i="1">
                        <a:latin typeface="Cambria Math" panose="02040503050406030204" pitchFamily="18" charset="0"/>
                      </a:rPr>
                      <m:t>(</m:t>
                    </m:r>
                    <m:r>
                      <a:rPr lang="en-US" sz="1100" b="0" i="1">
                        <a:latin typeface="Cambria Math" panose="02040503050406030204" pitchFamily="18" charset="0"/>
                      </a:rPr>
                      <m:t>𝑁</m:t>
                    </m:r>
                    <m:r>
                      <a:rPr lang="en-US" sz="1100" b="0" i="1">
                        <a:latin typeface="Cambria Math" panose="02040503050406030204" pitchFamily="18" charset="0"/>
                      </a:rPr>
                      <m:t>)</m:t>
                    </m:r>
                  </m:oMath>
                </m:oMathPara>
              </a14:m>
              <a:endParaRPr lang="en-US" sz="1100"/>
            </a:p>
          </xdr:txBody>
        </xdr:sp>
      </mc:Choice>
      <mc:Fallback xmlns="">
        <xdr:sp macro="" textlink="">
          <xdr:nvSpPr>
            <xdr:cNvPr id="33" name="TextBox 32">
              <a:extLst>
                <a:ext uri="{FF2B5EF4-FFF2-40B4-BE49-F238E27FC236}">
                  <a16:creationId xmlns:a16="http://schemas.microsoft.com/office/drawing/2014/main" id="{40D980D0-FC26-4B52-DB58-C56813EDF166}"/>
                </a:ext>
              </a:extLst>
            </xdr:cNvPr>
            <xdr:cNvSpPr txBox="1"/>
          </xdr:nvSpPr>
          <xdr:spPr>
            <a:xfrm>
              <a:off x="13491618327" y="28856381"/>
              <a:ext cx="123096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𝑁𝑃𝑉(𝑁)</a:t>
              </a:r>
              <a:endParaRPr lang="en-US" sz="1100"/>
            </a:p>
          </xdr:txBody>
        </xdr:sp>
      </mc:Fallback>
    </mc:AlternateContent>
    <xdr:clientData/>
  </xdr:oneCellAnchor>
  <xdr:oneCellAnchor>
    <xdr:from>
      <xdr:col>12</xdr:col>
      <xdr:colOff>553937</xdr:colOff>
      <xdr:row>256</xdr:row>
      <xdr:rowOff>56204</xdr:rowOff>
    </xdr:from>
    <xdr:ext cx="1230963" cy="173766"/>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D98039FB-06C7-F32F-DD46-AE5AC3CCE2A8}"/>
                </a:ext>
              </a:extLst>
            </xdr:cNvPr>
            <xdr:cNvSpPr txBox="1"/>
          </xdr:nvSpPr>
          <xdr:spPr>
            <a:xfrm>
              <a:off x="13491181483" y="29482374"/>
              <a:ext cx="123096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𝑁𝑃𝑉</m:t>
                    </m:r>
                    <m:r>
                      <a:rPr lang="en-US" sz="1100" b="0" i="1">
                        <a:latin typeface="Cambria Math" panose="02040503050406030204" pitchFamily="18" charset="0"/>
                      </a:rPr>
                      <m:t>(</m:t>
                    </m:r>
                    <m:r>
                      <a:rPr lang="en-US" sz="1100" b="0" i="1">
                        <a:latin typeface="Cambria Math" panose="02040503050406030204" pitchFamily="18" charset="0"/>
                      </a:rPr>
                      <m:t>𝑀</m:t>
                    </m:r>
                    <m:r>
                      <a:rPr lang="en-US" sz="1100" b="0" i="1">
                        <a:latin typeface="Cambria Math" panose="02040503050406030204" pitchFamily="18" charset="0"/>
                      </a:rPr>
                      <m:t>)</m:t>
                    </m:r>
                  </m:oMath>
                </m:oMathPara>
              </a14:m>
              <a:endParaRPr lang="en-US" sz="1100"/>
            </a:p>
          </xdr:txBody>
        </xdr:sp>
      </mc:Choice>
      <mc:Fallback xmlns="">
        <xdr:sp macro="" textlink="">
          <xdr:nvSpPr>
            <xdr:cNvPr id="34" name="TextBox 33">
              <a:extLst>
                <a:ext uri="{FF2B5EF4-FFF2-40B4-BE49-F238E27FC236}">
                  <a16:creationId xmlns:a16="http://schemas.microsoft.com/office/drawing/2014/main" id="{D98039FB-06C7-F32F-DD46-AE5AC3CCE2A8}"/>
                </a:ext>
              </a:extLst>
            </xdr:cNvPr>
            <xdr:cNvSpPr txBox="1"/>
          </xdr:nvSpPr>
          <xdr:spPr>
            <a:xfrm>
              <a:off x="13491181483" y="29482374"/>
              <a:ext cx="123096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𝑁𝑃𝑉(𝑀)</a:t>
              </a:r>
              <a:endParaRPr lang="en-US" sz="1100"/>
            </a:p>
          </xdr:txBody>
        </xdr:sp>
      </mc:Fallback>
    </mc:AlternateContent>
    <xdr:clientData/>
  </xdr:oneCellAnchor>
  <xdr:oneCellAnchor>
    <xdr:from>
      <xdr:col>14</xdr:col>
      <xdr:colOff>616986</xdr:colOff>
      <xdr:row>243</xdr:row>
      <xdr:rowOff>141770</xdr:rowOff>
    </xdr:from>
    <xdr:ext cx="1690324" cy="173766"/>
    <mc:AlternateContent xmlns:mc="http://schemas.openxmlformats.org/markup-compatibility/2006" xmlns:a14="http://schemas.microsoft.com/office/drawing/2010/main">
      <mc:Choice Requires="a14">
        <xdr:sp macro="" textlink="">
          <xdr:nvSpPr>
            <xdr:cNvPr id="35" name="TextBox 34">
              <a:extLst>
                <a:ext uri="{FF2B5EF4-FFF2-40B4-BE49-F238E27FC236}">
                  <a16:creationId xmlns:a16="http://schemas.microsoft.com/office/drawing/2014/main" id="{5B179E7A-56A1-7DAE-347B-DDD3F2E4A58F}"/>
                </a:ext>
              </a:extLst>
            </xdr:cNvPr>
            <xdr:cNvSpPr txBox="1"/>
          </xdr:nvSpPr>
          <xdr:spPr>
            <a:xfrm>
              <a:off x="13489010775" y="26933366"/>
              <a:ext cx="169032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15,605</m:t>
                    </m:r>
                  </m:oMath>
                </m:oMathPara>
              </a14:m>
              <a:endParaRPr lang="en-US" sz="1100"/>
            </a:p>
          </xdr:txBody>
        </xdr:sp>
      </mc:Choice>
      <mc:Fallback xmlns="">
        <xdr:sp macro="" textlink="">
          <xdr:nvSpPr>
            <xdr:cNvPr id="35" name="TextBox 34">
              <a:extLst>
                <a:ext uri="{FF2B5EF4-FFF2-40B4-BE49-F238E27FC236}">
                  <a16:creationId xmlns:a16="http://schemas.microsoft.com/office/drawing/2014/main" id="{5B179E7A-56A1-7DAE-347B-DDD3F2E4A58F}"/>
                </a:ext>
              </a:extLst>
            </xdr:cNvPr>
            <xdr:cNvSpPr txBox="1"/>
          </xdr:nvSpPr>
          <xdr:spPr>
            <a:xfrm>
              <a:off x="13489010775" y="26933366"/>
              <a:ext cx="169032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15,605</a:t>
              </a:r>
              <a:endParaRPr lang="en-US" sz="1100"/>
            </a:p>
          </xdr:txBody>
        </xdr:sp>
      </mc:Fallback>
    </mc:AlternateContent>
    <xdr:clientData/>
  </xdr:oneCellAnchor>
  <xdr:oneCellAnchor>
    <xdr:from>
      <xdr:col>14</xdr:col>
      <xdr:colOff>644007</xdr:colOff>
      <xdr:row>256</xdr:row>
      <xdr:rowOff>96736</xdr:rowOff>
    </xdr:from>
    <xdr:ext cx="1690324" cy="173766"/>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AAFA0D87-AD11-5CEC-BB6C-33BEA6EE4B12}"/>
                </a:ext>
              </a:extLst>
            </xdr:cNvPr>
            <xdr:cNvSpPr txBox="1"/>
          </xdr:nvSpPr>
          <xdr:spPr>
            <a:xfrm>
              <a:off x="13488983754" y="29522906"/>
              <a:ext cx="169032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−30,000</m:t>
                    </m:r>
                  </m:oMath>
                </m:oMathPara>
              </a14:m>
              <a:endParaRPr lang="en-US" sz="1100"/>
            </a:p>
          </xdr:txBody>
        </xdr:sp>
      </mc:Choice>
      <mc:Fallback xmlns="">
        <xdr:sp macro="" textlink="">
          <xdr:nvSpPr>
            <xdr:cNvPr id="36" name="TextBox 35">
              <a:extLst>
                <a:ext uri="{FF2B5EF4-FFF2-40B4-BE49-F238E27FC236}">
                  <a16:creationId xmlns:a16="http://schemas.microsoft.com/office/drawing/2014/main" id="{AAFA0D87-AD11-5CEC-BB6C-33BEA6EE4B12}"/>
                </a:ext>
              </a:extLst>
            </xdr:cNvPr>
            <xdr:cNvSpPr txBox="1"/>
          </xdr:nvSpPr>
          <xdr:spPr>
            <a:xfrm>
              <a:off x="13488983754" y="29522906"/>
              <a:ext cx="169032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−30,000</a:t>
              </a:r>
              <a:endParaRPr lang="en-US" sz="1100"/>
            </a:p>
          </xdr:txBody>
        </xdr:sp>
      </mc:Fallback>
    </mc:AlternateContent>
    <xdr:clientData/>
  </xdr:oneCellAnchor>
  <xdr:oneCellAnchor>
    <xdr:from>
      <xdr:col>13</xdr:col>
      <xdr:colOff>789247</xdr:colOff>
      <xdr:row>251</xdr:row>
      <xdr:rowOff>112127</xdr:rowOff>
    </xdr:from>
    <xdr:ext cx="1690324" cy="94770"/>
    <mc:AlternateContent xmlns:mc="http://schemas.openxmlformats.org/markup-compatibility/2006" xmlns:a14="http://schemas.microsoft.com/office/drawing/2010/main">
      <mc:Choice Requires="a14">
        <xdr:sp macro="" textlink="">
          <xdr:nvSpPr>
            <xdr:cNvPr id="37" name="TextBox 36">
              <a:extLst>
                <a:ext uri="{FF2B5EF4-FFF2-40B4-BE49-F238E27FC236}">
                  <a16:creationId xmlns:a16="http://schemas.microsoft.com/office/drawing/2014/main" id="{09BAFB4A-6B98-833A-2589-B6A5763E9E5F}"/>
                </a:ext>
              </a:extLst>
            </xdr:cNvPr>
            <xdr:cNvSpPr txBox="1"/>
          </xdr:nvSpPr>
          <xdr:spPr>
            <a:xfrm>
              <a:off x="13493543061" y="28656889"/>
              <a:ext cx="1690324" cy="94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600" b="0" i="1">
                        <a:latin typeface="Cambria Math" panose="02040503050406030204" pitchFamily="18" charset="0"/>
                      </a:rPr>
                      <m:t>11.72%</m:t>
                    </m:r>
                  </m:oMath>
                </m:oMathPara>
              </a14:m>
              <a:endParaRPr lang="en-US" sz="600"/>
            </a:p>
          </xdr:txBody>
        </xdr:sp>
      </mc:Choice>
      <mc:Fallback xmlns="">
        <xdr:sp macro="" textlink="">
          <xdr:nvSpPr>
            <xdr:cNvPr id="37" name="TextBox 36">
              <a:extLst>
                <a:ext uri="{FF2B5EF4-FFF2-40B4-BE49-F238E27FC236}">
                  <a16:creationId xmlns:a16="http://schemas.microsoft.com/office/drawing/2014/main" id="{09BAFB4A-6B98-833A-2589-B6A5763E9E5F}"/>
                </a:ext>
              </a:extLst>
            </xdr:cNvPr>
            <xdr:cNvSpPr txBox="1"/>
          </xdr:nvSpPr>
          <xdr:spPr>
            <a:xfrm>
              <a:off x="13493543061" y="28656889"/>
              <a:ext cx="1690324" cy="94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600" b="0" i="0">
                  <a:latin typeface="Cambria Math" panose="02040503050406030204" pitchFamily="18" charset="0"/>
                </a:rPr>
                <a:t>11.72%</a:t>
              </a:r>
              <a:endParaRPr lang="en-US" sz="600"/>
            </a:p>
          </xdr:txBody>
        </xdr:sp>
      </mc:Fallback>
    </mc:AlternateContent>
    <xdr:clientData/>
  </xdr:oneCellAnchor>
  <xdr:twoCellAnchor editAs="oneCell">
    <xdr:from>
      <xdr:col>15</xdr:col>
      <xdr:colOff>150900</xdr:colOff>
      <xdr:row>247</xdr:row>
      <xdr:rowOff>181429</xdr:rowOff>
    </xdr:from>
    <xdr:to>
      <xdr:col>15</xdr:col>
      <xdr:colOff>268133</xdr:colOff>
      <xdr:row>248</xdr:row>
      <xdr:rowOff>121176</xdr:rowOff>
    </xdr:to>
    <xdr:pic>
      <xdr:nvPicPr>
        <xdr:cNvPr id="38" name="Picture 37">
          <a:extLst>
            <a:ext uri="{FF2B5EF4-FFF2-40B4-BE49-F238E27FC236}">
              <a16:creationId xmlns:a16="http://schemas.microsoft.com/office/drawing/2014/main" id="{2C25A6C8-8376-031E-C99D-342E597B3EC5}"/>
            </a:ext>
          </a:extLst>
        </xdr:cNvPr>
        <xdr:cNvPicPr>
          <a:picLocks noChangeAspect="1"/>
        </xdr:cNvPicPr>
      </xdr:nvPicPr>
      <xdr:blipFill>
        <a:blip xmlns:r="http://schemas.openxmlformats.org/officeDocument/2006/relationships" r:embed="rId4"/>
        <a:stretch>
          <a:fillRect/>
        </a:stretch>
      </xdr:blipFill>
      <xdr:spPr>
        <a:xfrm>
          <a:off x="13494105727" y="27911354"/>
          <a:ext cx="117233" cy="143456"/>
        </a:xfrm>
        <a:prstGeom prst="rect">
          <a:avLst/>
        </a:prstGeom>
      </xdr:spPr>
    </xdr:pic>
    <xdr:clientData/>
  </xdr:twoCellAnchor>
  <xdr:oneCellAnchor>
    <xdr:from>
      <xdr:col>4</xdr:col>
      <xdr:colOff>471079</xdr:colOff>
      <xdr:row>329</xdr:row>
      <xdr:rowOff>125279</xdr:rowOff>
    </xdr:from>
    <xdr:ext cx="2341510" cy="416909"/>
    <mc:AlternateContent xmlns:mc="http://schemas.openxmlformats.org/markup-compatibility/2006" xmlns:a14="http://schemas.microsoft.com/office/drawing/2010/main">
      <mc:Choice Requires="a14">
        <xdr:sp macro="" textlink="">
          <xdr:nvSpPr>
            <xdr:cNvPr id="39" name="TextBox 38">
              <a:extLst>
                <a:ext uri="{FF2B5EF4-FFF2-40B4-BE49-F238E27FC236}">
                  <a16:creationId xmlns:a16="http://schemas.microsoft.com/office/drawing/2014/main" id="{9D050A68-D859-D8DD-A076-CB09EF32368E}"/>
                </a:ext>
              </a:extLst>
            </xdr:cNvPr>
            <xdr:cNvSpPr txBox="1"/>
          </xdr:nvSpPr>
          <xdr:spPr>
            <a:xfrm>
              <a:off x="13500693176" y="44228337"/>
              <a:ext cx="2341510" cy="4169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latin typeface="Cambria Math" panose="02040503050406030204" pitchFamily="18" charset="0"/>
                      </a:rPr>
                      <m:t>−</m:t>
                    </m:r>
                    <m:sSub>
                      <m:sSubPr>
                        <m:ctrlPr>
                          <a:rPr lang="en-US" sz="1100" b="0" i="1">
                            <a:latin typeface="Cambria Math" panose="02040503050406030204" pitchFamily="18" charset="0"/>
                          </a:rPr>
                        </m:ctrlPr>
                      </m:sSubPr>
                      <m:e>
                        <m:r>
                          <a:rPr lang="en-US" sz="1100" b="0" i="1">
                            <a:latin typeface="Cambria Math" panose="02040503050406030204" pitchFamily="18" charset="0"/>
                          </a:rPr>
                          <m:t>𝐼</m:t>
                        </m:r>
                      </m:e>
                      <m:sub>
                        <m:r>
                          <a:rPr lang="en-US" sz="1100" b="0" i="1">
                            <a:latin typeface="Cambria Math" panose="02040503050406030204" pitchFamily="18" charset="0"/>
                          </a:rPr>
                          <m:t>0</m:t>
                        </m:r>
                      </m:sub>
                    </m:sSub>
                    <m:r>
                      <a:rPr lang="en-US" sz="1100" b="0" i="1">
                        <a:latin typeface="Cambria Math" panose="02040503050406030204" pitchFamily="18" charset="0"/>
                      </a:rPr>
                      <m:t>+</m:t>
                    </m:r>
                    <m:nary>
                      <m:naryPr>
                        <m:chr m:val="∑"/>
                        <m:subHide m:val="on"/>
                        <m:supHide m:val="on"/>
                        <m:ctrlPr>
                          <a:rPr lang="en-US" sz="1100" b="0" i="1">
                            <a:latin typeface="Cambria Math" panose="02040503050406030204" pitchFamily="18" charset="0"/>
                          </a:rPr>
                        </m:ctrlPr>
                      </m:naryPr>
                      <m:sub/>
                      <m:sup/>
                      <m:e>
                        <m:f>
                          <m:fPr>
                            <m:ctrlPr>
                              <a:rPr lang="en-US" sz="1100" b="0" i="1">
                                <a:latin typeface="Cambria Math" panose="02040503050406030204" pitchFamily="18" charset="0"/>
                              </a:rPr>
                            </m:ctrlPr>
                          </m:fPr>
                          <m:num>
                            <m:r>
                              <a:rPr lang="en-US" sz="1100" b="0" i="1">
                                <a:latin typeface="Cambria Math" panose="02040503050406030204" pitchFamily="18" charset="0"/>
                              </a:rPr>
                              <m:t>𝐶</m:t>
                            </m:r>
                            <m:sSub>
                              <m:sSubPr>
                                <m:ctrlPr>
                                  <a:rPr lang="en-US" sz="1100" b="0" i="1">
                                    <a:latin typeface="Cambria Math" panose="02040503050406030204" pitchFamily="18" charset="0"/>
                                  </a:rPr>
                                </m:ctrlPr>
                              </m:sSubPr>
                              <m:e>
                                <m:r>
                                  <a:rPr lang="en-US" sz="1100" b="0" i="1">
                                    <a:latin typeface="Cambria Math" panose="02040503050406030204" pitchFamily="18" charset="0"/>
                                  </a:rPr>
                                  <m:t>𝐹</m:t>
                                </m:r>
                              </m:e>
                              <m:sub>
                                <m:r>
                                  <a:rPr lang="en-US" sz="1100" b="0" i="1">
                                    <a:latin typeface="Cambria Math" panose="02040503050406030204" pitchFamily="18" charset="0"/>
                                  </a:rPr>
                                  <m:t>𝑡</m:t>
                                </m:r>
                              </m:sub>
                            </m:sSub>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𝐼𝑅𝑅</m:t>
                                    </m:r>
                                  </m:e>
                                </m:d>
                              </m:e>
                              <m:sup>
                                <m:r>
                                  <a:rPr lang="en-US" sz="1100" b="0" i="1">
                                    <a:latin typeface="Cambria Math" panose="02040503050406030204" pitchFamily="18" charset="0"/>
                                  </a:rPr>
                                  <m:t>𝑡</m:t>
                                </m:r>
                              </m:sup>
                            </m:sSup>
                          </m:den>
                        </m:f>
                        <m:r>
                          <a:rPr lang="en-US" sz="1100" b="0" i="1">
                            <a:latin typeface="Cambria Math" panose="02040503050406030204" pitchFamily="18" charset="0"/>
                          </a:rPr>
                          <m:t>=0</m:t>
                        </m:r>
                      </m:e>
                    </m:nary>
                  </m:oMath>
                </m:oMathPara>
              </a14:m>
              <a:endParaRPr lang="en-US" sz="1100"/>
            </a:p>
          </xdr:txBody>
        </xdr:sp>
      </mc:Choice>
      <mc:Fallback xmlns="">
        <xdr:sp macro="" textlink="">
          <xdr:nvSpPr>
            <xdr:cNvPr id="39" name="TextBox 38">
              <a:extLst>
                <a:ext uri="{FF2B5EF4-FFF2-40B4-BE49-F238E27FC236}">
                  <a16:creationId xmlns:a16="http://schemas.microsoft.com/office/drawing/2014/main" id="{9D050A68-D859-D8DD-A076-CB09EF32368E}"/>
                </a:ext>
              </a:extLst>
            </xdr:cNvPr>
            <xdr:cNvSpPr txBox="1"/>
          </xdr:nvSpPr>
          <xdr:spPr>
            <a:xfrm>
              <a:off x="13500693176" y="44228337"/>
              <a:ext cx="2341510" cy="4169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a:t>
              </a:r>
              <a:r>
                <a:rPr lang="en-US" sz="1100" b="0" i="0">
                  <a:latin typeface="Cambria Math" panose="02040503050406030204" pitchFamily="18" charset="0"/>
                </a:rPr>
                <a:t>𝐼_0+∑▒〖(𝐶𝐹_𝑡)/(1+𝐼𝑅𝑅)^𝑡 =0〗</a:t>
              </a:r>
              <a:endParaRPr lang="en-US" sz="1100"/>
            </a:p>
          </xdr:txBody>
        </xdr:sp>
      </mc:Fallback>
    </mc:AlternateContent>
    <xdr:clientData/>
  </xdr:oneCellAnchor>
  <xdr:oneCellAnchor>
    <xdr:from>
      <xdr:col>0</xdr:col>
      <xdr:colOff>432882</xdr:colOff>
      <xdr:row>338</xdr:row>
      <xdr:rowOff>147561</xdr:rowOff>
    </xdr:from>
    <xdr:ext cx="2020032" cy="320793"/>
    <mc:AlternateContent xmlns:mc="http://schemas.openxmlformats.org/markup-compatibility/2006" xmlns:a14="http://schemas.microsoft.com/office/drawing/2010/main">
      <mc:Choice Requires="a14">
        <xdr:sp macro="" textlink="">
          <xdr:nvSpPr>
            <xdr:cNvPr id="40" name="TextBox 39">
              <a:extLst>
                <a:ext uri="{FF2B5EF4-FFF2-40B4-BE49-F238E27FC236}">
                  <a16:creationId xmlns:a16="http://schemas.microsoft.com/office/drawing/2014/main" id="{BA5900CB-9157-5121-7028-CFCE2D02A7F1}"/>
                </a:ext>
              </a:extLst>
            </xdr:cNvPr>
            <xdr:cNvSpPr txBox="1"/>
          </xdr:nvSpPr>
          <xdr:spPr>
            <a:xfrm>
              <a:off x="13504452249" y="45676584"/>
              <a:ext cx="2020032" cy="3207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𝑋</m:t>
                    </m:r>
                    <m:r>
                      <a:rPr lang="he-IL" sz="1100" b="0" i="1">
                        <a:latin typeface="Cambria Math" panose="02040503050406030204" pitchFamily="18" charset="0"/>
                      </a:rPr>
                      <m:t>=</m:t>
                    </m:r>
                    <m:f>
                      <m:fPr>
                        <m:ctrlPr>
                          <a:rPr lang="en-US" sz="1100" b="0" i="1">
                            <a:latin typeface="Cambria Math" panose="02040503050406030204" pitchFamily="18" charset="0"/>
                          </a:rPr>
                        </m:ctrlPr>
                      </m:fPr>
                      <m:num>
                        <m:r>
                          <a:rPr lang="he-IL" sz="1100" b="0" i="1">
                            <a:latin typeface="Cambria Math" panose="02040503050406030204" pitchFamily="18" charset="0"/>
                          </a:rPr>
                          <m:t>1</m:t>
                        </m:r>
                      </m:num>
                      <m:den>
                        <m:r>
                          <a:rPr lang="he-IL" sz="1100" b="0" i="1">
                            <a:latin typeface="Cambria Math" panose="02040503050406030204" pitchFamily="18" charset="0"/>
                          </a:rPr>
                          <m:t>1+</m:t>
                        </m:r>
                        <m:r>
                          <a:rPr lang="en-US" sz="1100" b="0" i="1">
                            <a:latin typeface="Cambria Math" panose="02040503050406030204" pitchFamily="18" charset="0"/>
                          </a:rPr>
                          <m:t>𝐼𝑅𝑅</m:t>
                        </m:r>
                      </m:den>
                    </m:f>
                  </m:oMath>
                </m:oMathPara>
              </a14:m>
              <a:endParaRPr lang="en-US" sz="1100"/>
            </a:p>
          </xdr:txBody>
        </xdr:sp>
      </mc:Choice>
      <mc:Fallback xmlns="">
        <xdr:sp macro="" textlink="">
          <xdr:nvSpPr>
            <xdr:cNvPr id="40" name="TextBox 39">
              <a:extLst>
                <a:ext uri="{FF2B5EF4-FFF2-40B4-BE49-F238E27FC236}">
                  <a16:creationId xmlns:a16="http://schemas.microsoft.com/office/drawing/2014/main" id="{BA5900CB-9157-5121-7028-CFCE2D02A7F1}"/>
                </a:ext>
              </a:extLst>
            </xdr:cNvPr>
            <xdr:cNvSpPr txBox="1"/>
          </xdr:nvSpPr>
          <xdr:spPr>
            <a:xfrm>
              <a:off x="13504452249" y="45676584"/>
              <a:ext cx="2020032" cy="3207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𝑋</a:t>
              </a:r>
              <a:r>
                <a:rPr lang="he-IL" sz="1100" b="0" i="0">
                  <a:latin typeface="Cambria Math" panose="02040503050406030204" pitchFamily="18" charset="0"/>
                </a:rPr>
                <a:t>=1</a:t>
              </a:r>
              <a:r>
                <a:rPr lang="en-US" sz="1100" b="0" i="0">
                  <a:latin typeface="Cambria Math" panose="02040503050406030204" pitchFamily="18" charset="0"/>
                </a:rPr>
                <a:t>/(</a:t>
              </a:r>
              <a:r>
                <a:rPr lang="he-IL" sz="1100" b="0" i="0">
                  <a:latin typeface="Cambria Math" panose="02040503050406030204" pitchFamily="18" charset="0"/>
                </a:rPr>
                <a:t>1+</a:t>
              </a:r>
              <a:r>
                <a:rPr lang="en-US" sz="1100" b="0" i="0">
                  <a:latin typeface="Cambria Math" panose="02040503050406030204" pitchFamily="18" charset="0"/>
                </a:rPr>
                <a:t>𝐼𝑅𝑅)</a:t>
              </a:r>
              <a:endParaRPr lang="en-US" sz="1100"/>
            </a:p>
          </xdr:txBody>
        </xdr:sp>
      </mc:Fallback>
    </mc:AlternateContent>
    <xdr:clientData/>
  </xdr:oneCellAnchor>
  <xdr:oneCellAnchor>
    <xdr:from>
      <xdr:col>3</xdr:col>
      <xdr:colOff>164536</xdr:colOff>
      <xdr:row>340</xdr:row>
      <xdr:rowOff>163916</xdr:rowOff>
    </xdr:from>
    <xdr:ext cx="4252551" cy="177228"/>
    <mc:AlternateContent xmlns:mc="http://schemas.openxmlformats.org/markup-compatibility/2006" xmlns:a14="http://schemas.microsoft.com/office/drawing/2010/main">
      <mc:Choice Requires="a14">
        <xdr:sp macro="" textlink="">
          <xdr:nvSpPr>
            <xdr:cNvPr id="41" name="TextBox 40">
              <a:extLst>
                <a:ext uri="{FF2B5EF4-FFF2-40B4-BE49-F238E27FC236}">
                  <a16:creationId xmlns:a16="http://schemas.microsoft.com/office/drawing/2014/main" id="{55BDAEEE-9A71-EDA0-BC5E-C7F195852159}"/>
                </a:ext>
              </a:extLst>
            </xdr:cNvPr>
            <xdr:cNvSpPr txBox="1"/>
          </xdr:nvSpPr>
          <xdr:spPr>
            <a:xfrm>
              <a:off x="13500014918" y="46100357"/>
              <a:ext cx="4252551"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solidFill>
                          <a:srgbClr val="FF0000"/>
                        </a:solidFill>
                        <a:latin typeface="Cambria Math" panose="02040503050406030204" pitchFamily="18" charset="0"/>
                      </a:rPr>
                      <m:t>−18</m:t>
                    </m:r>
                    <m:r>
                      <a:rPr lang="he-IL" sz="1100" b="0" i="1">
                        <a:latin typeface="Cambria Math" panose="02040503050406030204" pitchFamily="18" charset="0"/>
                      </a:rPr>
                      <m:t>+</m:t>
                    </m:r>
                    <m:r>
                      <a:rPr lang="en-US" sz="1100" b="0" i="1">
                        <a:latin typeface="Cambria Math" panose="02040503050406030204" pitchFamily="18" charset="0"/>
                      </a:rPr>
                      <m:t>90</m:t>
                    </m:r>
                    <m:r>
                      <a:rPr lang="en-US" sz="1100" b="0" i="1">
                        <a:latin typeface="Cambria Math" panose="02040503050406030204" pitchFamily="18" charset="0"/>
                      </a:rPr>
                      <m:t>𝑋</m:t>
                    </m:r>
                    <m:r>
                      <a:rPr lang="en-US" sz="1100" b="0" i="1">
                        <a:solidFill>
                          <a:srgbClr val="D883FF"/>
                        </a:solidFill>
                        <a:latin typeface="Cambria Math" panose="02040503050406030204" pitchFamily="18" charset="0"/>
                      </a:rPr>
                      <m:t>−</m:t>
                    </m:r>
                    <m:r>
                      <a:rPr lang="en-US" sz="1100" b="0" i="1">
                        <a:latin typeface="Cambria Math" panose="02040503050406030204" pitchFamily="18" charset="0"/>
                      </a:rPr>
                      <m:t>90</m:t>
                    </m:r>
                    <m:sSup>
                      <m:sSupPr>
                        <m:ctrlPr>
                          <a:rPr lang="en-US" sz="1100" b="0" i="1">
                            <a:latin typeface="Cambria Math" panose="02040503050406030204" pitchFamily="18" charset="0"/>
                          </a:rPr>
                        </m:ctrlPr>
                      </m:sSupPr>
                      <m:e>
                        <m:r>
                          <a:rPr lang="en-US" sz="1100" b="0" i="1">
                            <a:latin typeface="Cambria Math" panose="02040503050406030204" pitchFamily="18" charset="0"/>
                          </a:rPr>
                          <m:t>𝑋</m:t>
                        </m:r>
                      </m:e>
                      <m:sup>
                        <m:r>
                          <a:rPr lang="en-US" sz="1100" b="0" i="1">
                            <a:latin typeface="Cambria Math" panose="02040503050406030204" pitchFamily="18" charset="0"/>
                          </a:rPr>
                          <m:t>2</m:t>
                        </m:r>
                      </m:sup>
                    </m:sSup>
                    <m:r>
                      <a:rPr lang="en-US" sz="1100" b="0" i="1">
                        <a:latin typeface="Cambria Math" panose="02040503050406030204" pitchFamily="18" charset="0"/>
                      </a:rPr>
                      <m:t>=0</m:t>
                    </m:r>
                  </m:oMath>
                </m:oMathPara>
              </a14:m>
              <a:endParaRPr lang="en-US" sz="1100"/>
            </a:p>
          </xdr:txBody>
        </xdr:sp>
      </mc:Choice>
      <mc:Fallback xmlns="">
        <xdr:sp macro="" textlink="">
          <xdr:nvSpPr>
            <xdr:cNvPr id="41" name="TextBox 40">
              <a:extLst>
                <a:ext uri="{FF2B5EF4-FFF2-40B4-BE49-F238E27FC236}">
                  <a16:creationId xmlns:a16="http://schemas.microsoft.com/office/drawing/2014/main" id="{55BDAEEE-9A71-EDA0-BC5E-C7F195852159}"/>
                </a:ext>
              </a:extLst>
            </xdr:cNvPr>
            <xdr:cNvSpPr txBox="1"/>
          </xdr:nvSpPr>
          <xdr:spPr>
            <a:xfrm>
              <a:off x="13500014918" y="46100357"/>
              <a:ext cx="4252551"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solidFill>
                    <a:srgbClr val="FF0000"/>
                  </a:solidFill>
                  <a:latin typeface="Cambria Math" panose="02040503050406030204" pitchFamily="18" charset="0"/>
                </a:rPr>
                <a:t>−18</a:t>
              </a:r>
              <a:r>
                <a:rPr lang="he-IL" sz="1100" b="0" i="0">
                  <a:latin typeface="Cambria Math" panose="02040503050406030204" pitchFamily="18" charset="0"/>
                </a:rPr>
                <a:t>+</a:t>
              </a:r>
              <a:r>
                <a:rPr lang="en-US" sz="1100" b="0" i="0">
                  <a:latin typeface="Cambria Math" panose="02040503050406030204" pitchFamily="18" charset="0"/>
                </a:rPr>
                <a:t>90𝑋</a:t>
              </a:r>
              <a:r>
                <a:rPr lang="en-US" sz="1100" b="0" i="0">
                  <a:solidFill>
                    <a:srgbClr val="D883FF"/>
                  </a:solidFill>
                  <a:latin typeface="Cambria Math" panose="02040503050406030204" pitchFamily="18" charset="0"/>
                </a:rPr>
                <a:t>−</a:t>
              </a:r>
              <a:r>
                <a:rPr lang="en-US" sz="1100" b="0" i="0">
                  <a:latin typeface="Cambria Math" panose="02040503050406030204" pitchFamily="18" charset="0"/>
                </a:rPr>
                <a:t>90𝑋^2=0</a:t>
              </a:r>
              <a:endParaRPr lang="en-US" sz="1100"/>
            </a:p>
          </xdr:txBody>
        </xdr:sp>
      </mc:Fallback>
    </mc:AlternateContent>
    <xdr:clientData/>
  </xdr:oneCellAnchor>
  <xdr:twoCellAnchor>
    <xdr:from>
      <xdr:col>5</xdr:col>
      <xdr:colOff>639775</xdr:colOff>
      <xdr:row>338</xdr:row>
      <xdr:rowOff>50927</xdr:rowOff>
    </xdr:from>
    <xdr:to>
      <xdr:col>5</xdr:col>
      <xdr:colOff>697068</xdr:colOff>
      <xdr:row>340</xdr:row>
      <xdr:rowOff>143233</xdr:rowOff>
    </xdr:to>
    <xdr:cxnSp macro="">
      <xdr:nvCxnSpPr>
        <xdr:cNvPr id="43" name="Straight Arrow Connector 42">
          <a:extLst>
            <a:ext uri="{FF2B5EF4-FFF2-40B4-BE49-F238E27FC236}">
              <a16:creationId xmlns:a16="http://schemas.microsoft.com/office/drawing/2014/main" id="{48AF5B29-6C2A-5EA8-9372-5C353B004C05}"/>
            </a:ext>
          </a:extLst>
        </xdr:cNvPr>
        <xdr:cNvCxnSpPr/>
      </xdr:nvCxnSpPr>
      <xdr:spPr>
        <a:xfrm flipH="1">
          <a:off x="13501984311" y="45579950"/>
          <a:ext cx="57293" cy="499724"/>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732081</xdr:colOff>
      <xdr:row>338</xdr:row>
      <xdr:rowOff>44561</xdr:rowOff>
    </xdr:from>
    <xdr:to>
      <xdr:col>5</xdr:col>
      <xdr:colOff>254637</xdr:colOff>
      <xdr:row>340</xdr:row>
      <xdr:rowOff>140050</xdr:rowOff>
    </xdr:to>
    <xdr:cxnSp macro="">
      <xdr:nvCxnSpPr>
        <xdr:cNvPr id="44" name="Straight Arrow Connector 43">
          <a:extLst>
            <a:ext uri="{FF2B5EF4-FFF2-40B4-BE49-F238E27FC236}">
              <a16:creationId xmlns:a16="http://schemas.microsoft.com/office/drawing/2014/main" id="{6F12BD70-D81C-1A2A-67BA-37542A567C3B}"/>
            </a:ext>
          </a:extLst>
        </xdr:cNvPr>
        <xdr:cNvCxnSpPr/>
      </xdr:nvCxnSpPr>
      <xdr:spPr>
        <a:xfrm flipH="1">
          <a:off x="13502426742" y="45573584"/>
          <a:ext cx="346942" cy="50290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261003</xdr:colOff>
      <xdr:row>341</xdr:row>
      <xdr:rowOff>175063</xdr:rowOff>
    </xdr:from>
    <xdr:to>
      <xdr:col>5</xdr:col>
      <xdr:colOff>267369</xdr:colOff>
      <xdr:row>343</xdr:row>
      <xdr:rowOff>50927</xdr:rowOff>
    </xdr:to>
    <xdr:cxnSp macro="">
      <xdr:nvCxnSpPr>
        <xdr:cNvPr id="46" name="Straight Arrow Connector 45">
          <a:extLst>
            <a:ext uri="{FF2B5EF4-FFF2-40B4-BE49-F238E27FC236}">
              <a16:creationId xmlns:a16="http://schemas.microsoft.com/office/drawing/2014/main" id="{F9232CD2-C714-52AE-FA82-7613394DAF9F}"/>
            </a:ext>
          </a:extLst>
        </xdr:cNvPr>
        <xdr:cNvCxnSpPr/>
      </xdr:nvCxnSpPr>
      <xdr:spPr>
        <a:xfrm>
          <a:off x="13502414010" y="46315213"/>
          <a:ext cx="6366" cy="28328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645161</xdr:colOff>
      <xdr:row>343</xdr:row>
      <xdr:rowOff>49329</xdr:rowOff>
    </xdr:from>
    <xdr:ext cx="4252551" cy="177228"/>
    <mc:AlternateContent xmlns:mc="http://schemas.openxmlformats.org/markup-compatibility/2006" xmlns:a14="http://schemas.microsoft.com/office/drawing/2010/main">
      <mc:Choice Requires="a14">
        <xdr:sp macro="" textlink="">
          <xdr:nvSpPr>
            <xdr:cNvPr id="48" name="TextBox 47">
              <a:extLst>
                <a:ext uri="{FF2B5EF4-FFF2-40B4-BE49-F238E27FC236}">
                  <a16:creationId xmlns:a16="http://schemas.microsoft.com/office/drawing/2014/main" id="{17086CAD-D718-B11A-1C0C-297A0EA478F2}"/>
                </a:ext>
              </a:extLst>
            </xdr:cNvPr>
            <xdr:cNvSpPr txBox="1"/>
          </xdr:nvSpPr>
          <xdr:spPr>
            <a:xfrm>
              <a:off x="13500358679" y="46596898"/>
              <a:ext cx="4252551"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𝑎</m:t>
                    </m:r>
                    <m:r>
                      <a:rPr lang="en-US" sz="1100" b="0" i="1">
                        <a:latin typeface="Cambria Math" panose="02040503050406030204" pitchFamily="18" charset="0"/>
                      </a:rPr>
                      <m:t>=−90</m:t>
                    </m:r>
                  </m:oMath>
                </m:oMathPara>
              </a14:m>
              <a:endParaRPr lang="en-US" sz="1100"/>
            </a:p>
          </xdr:txBody>
        </xdr:sp>
      </mc:Choice>
      <mc:Fallback xmlns="">
        <xdr:sp macro="" textlink="">
          <xdr:nvSpPr>
            <xdr:cNvPr id="48" name="TextBox 47">
              <a:extLst>
                <a:ext uri="{FF2B5EF4-FFF2-40B4-BE49-F238E27FC236}">
                  <a16:creationId xmlns:a16="http://schemas.microsoft.com/office/drawing/2014/main" id="{17086CAD-D718-B11A-1C0C-297A0EA478F2}"/>
                </a:ext>
              </a:extLst>
            </xdr:cNvPr>
            <xdr:cNvSpPr txBox="1"/>
          </xdr:nvSpPr>
          <xdr:spPr>
            <a:xfrm>
              <a:off x="13500358679" y="46596898"/>
              <a:ext cx="4252551"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𝑎=−90</a:t>
              </a:r>
              <a:endParaRPr lang="en-US" sz="1100"/>
            </a:p>
          </xdr:txBody>
        </xdr:sp>
      </mc:Fallback>
    </mc:AlternateContent>
    <xdr:clientData/>
  </xdr:oneCellAnchor>
  <xdr:oneCellAnchor>
    <xdr:from>
      <xdr:col>3</xdr:col>
      <xdr:colOff>486013</xdr:colOff>
      <xdr:row>343</xdr:row>
      <xdr:rowOff>62061</xdr:rowOff>
    </xdr:from>
    <xdr:ext cx="4252551" cy="177228"/>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83887192-0276-D99F-E8E2-CE588F9BE617}"/>
                </a:ext>
              </a:extLst>
            </xdr:cNvPr>
            <xdr:cNvSpPr txBox="1"/>
          </xdr:nvSpPr>
          <xdr:spPr>
            <a:xfrm>
              <a:off x="13499693441" y="46609630"/>
              <a:ext cx="4252551"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𝑏</m:t>
                    </m:r>
                    <m:r>
                      <a:rPr lang="en-US" sz="1100" b="0" i="1">
                        <a:latin typeface="Cambria Math" panose="02040503050406030204" pitchFamily="18" charset="0"/>
                      </a:rPr>
                      <m:t>=90</m:t>
                    </m:r>
                  </m:oMath>
                </m:oMathPara>
              </a14:m>
              <a:endParaRPr lang="en-US" sz="1100"/>
            </a:p>
          </xdr:txBody>
        </xdr:sp>
      </mc:Choice>
      <mc:Fallback xmlns="">
        <xdr:sp macro="" textlink="">
          <xdr:nvSpPr>
            <xdr:cNvPr id="49" name="TextBox 48">
              <a:extLst>
                <a:ext uri="{FF2B5EF4-FFF2-40B4-BE49-F238E27FC236}">
                  <a16:creationId xmlns:a16="http://schemas.microsoft.com/office/drawing/2014/main" id="{83887192-0276-D99F-E8E2-CE588F9BE617}"/>
                </a:ext>
              </a:extLst>
            </xdr:cNvPr>
            <xdr:cNvSpPr txBox="1"/>
          </xdr:nvSpPr>
          <xdr:spPr>
            <a:xfrm>
              <a:off x="13499693441" y="46609630"/>
              <a:ext cx="4252551"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𝑏=90</a:t>
              </a:r>
              <a:endParaRPr lang="en-US" sz="1100"/>
            </a:p>
          </xdr:txBody>
        </xdr:sp>
      </mc:Fallback>
    </mc:AlternateContent>
    <xdr:clientData/>
  </xdr:oneCellAnchor>
  <xdr:twoCellAnchor>
    <xdr:from>
      <xdr:col>5</xdr:col>
      <xdr:colOff>757544</xdr:colOff>
      <xdr:row>341</xdr:row>
      <xdr:rowOff>159148</xdr:rowOff>
    </xdr:from>
    <xdr:to>
      <xdr:col>5</xdr:col>
      <xdr:colOff>763910</xdr:colOff>
      <xdr:row>343</xdr:row>
      <xdr:rowOff>35012</xdr:rowOff>
    </xdr:to>
    <xdr:cxnSp macro="">
      <xdr:nvCxnSpPr>
        <xdr:cNvPr id="50" name="Straight Arrow Connector 49">
          <a:extLst>
            <a:ext uri="{FF2B5EF4-FFF2-40B4-BE49-F238E27FC236}">
              <a16:creationId xmlns:a16="http://schemas.microsoft.com/office/drawing/2014/main" id="{8CD0C4EB-3FB6-EA15-BC19-04C4B7F84328}"/>
            </a:ext>
          </a:extLst>
        </xdr:cNvPr>
        <xdr:cNvCxnSpPr/>
      </xdr:nvCxnSpPr>
      <xdr:spPr>
        <a:xfrm>
          <a:off x="13501917469" y="46299298"/>
          <a:ext cx="6366" cy="28328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248270</xdr:colOff>
      <xdr:row>341</xdr:row>
      <xdr:rowOff>146416</xdr:rowOff>
    </xdr:from>
    <xdr:to>
      <xdr:col>6</xdr:col>
      <xdr:colOff>493357</xdr:colOff>
      <xdr:row>343</xdr:row>
      <xdr:rowOff>41378</xdr:rowOff>
    </xdr:to>
    <xdr:cxnSp macro="">
      <xdr:nvCxnSpPr>
        <xdr:cNvPr id="51" name="Straight Arrow Connector 50">
          <a:extLst>
            <a:ext uri="{FF2B5EF4-FFF2-40B4-BE49-F238E27FC236}">
              <a16:creationId xmlns:a16="http://schemas.microsoft.com/office/drawing/2014/main" id="{4E19EB88-47BE-B120-8831-F78DBCB0B874}"/>
            </a:ext>
          </a:extLst>
        </xdr:cNvPr>
        <xdr:cNvCxnSpPr/>
      </xdr:nvCxnSpPr>
      <xdr:spPr>
        <a:xfrm flipH="1">
          <a:off x="13501299976" y="46286566"/>
          <a:ext cx="245087" cy="302381"/>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xdr:col>
      <xdr:colOff>193182</xdr:colOff>
      <xdr:row>343</xdr:row>
      <xdr:rowOff>71610</xdr:rowOff>
    </xdr:from>
    <xdr:ext cx="4252551" cy="177228"/>
    <mc:AlternateContent xmlns:mc="http://schemas.openxmlformats.org/markup-compatibility/2006" xmlns:a14="http://schemas.microsoft.com/office/drawing/2010/main">
      <mc:Choice Requires="a14">
        <xdr:sp macro="" textlink="">
          <xdr:nvSpPr>
            <xdr:cNvPr id="53" name="TextBox 52">
              <a:extLst>
                <a:ext uri="{FF2B5EF4-FFF2-40B4-BE49-F238E27FC236}">
                  <a16:creationId xmlns:a16="http://schemas.microsoft.com/office/drawing/2014/main" id="{482CDE48-834C-3017-1BF6-364323BA6874}"/>
                </a:ext>
              </a:extLst>
            </xdr:cNvPr>
            <xdr:cNvSpPr txBox="1"/>
          </xdr:nvSpPr>
          <xdr:spPr>
            <a:xfrm>
              <a:off x="13499060032" y="46619179"/>
              <a:ext cx="4252551"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𝐶</m:t>
                    </m:r>
                    <m:r>
                      <a:rPr lang="en-US" sz="1100" b="0" i="1">
                        <a:latin typeface="Cambria Math" panose="02040503050406030204" pitchFamily="18" charset="0"/>
                      </a:rPr>
                      <m:t>=−18</m:t>
                    </m:r>
                  </m:oMath>
                </m:oMathPara>
              </a14:m>
              <a:endParaRPr lang="en-US" sz="1100"/>
            </a:p>
          </xdr:txBody>
        </xdr:sp>
      </mc:Choice>
      <mc:Fallback xmlns="">
        <xdr:sp macro="" textlink="">
          <xdr:nvSpPr>
            <xdr:cNvPr id="53" name="TextBox 52">
              <a:extLst>
                <a:ext uri="{FF2B5EF4-FFF2-40B4-BE49-F238E27FC236}">
                  <a16:creationId xmlns:a16="http://schemas.microsoft.com/office/drawing/2014/main" id="{482CDE48-834C-3017-1BF6-364323BA6874}"/>
                </a:ext>
              </a:extLst>
            </xdr:cNvPr>
            <xdr:cNvSpPr txBox="1"/>
          </xdr:nvSpPr>
          <xdr:spPr>
            <a:xfrm>
              <a:off x="13499060032" y="46619179"/>
              <a:ext cx="4252551"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𝐶=−18</a:t>
              </a:r>
              <a:endParaRPr lang="en-US" sz="1100"/>
            </a:p>
          </xdr:txBody>
        </xdr:sp>
      </mc:Fallback>
    </mc:AlternateContent>
    <xdr:clientData/>
  </xdr:oneCellAnchor>
  <xdr:twoCellAnchor>
    <xdr:from>
      <xdr:col>4</xdr:col>
      <xdr:colOff>652504</xdr:colOff>
      <xdr:row>344</xdr:row>
      <xdr:rowOff>42970</xdr:rowOff>
    </xdr:from>
    <xdr:to>
      <xdr:col>7</xdr:col>
      <xdr:colOff>109810</xdr:colOff>
      <xdr:row>344</xdr:row>
      <xdr:rowOff>178246</xdr:rowOff>
    </xdr:to>
    <xdr:sp macro="" textlink="">
      <xdr:nvSpPr>
        <xdr:cNvPr id="54" name="Left Brace 53">
          <a:extLst>
            <a:ext uri="{FF2B5EF4-FFF2-40B4-BE49-F238E27FC236}">
              <a16:creationId xmlns:a16="http://schemas.microsoft.com/office/drawing/2014/main" id="{EEEA347F-E545-3D9D-952E-9687F8073ABB}"/>
            </a:ext>
          </a:extLst>
        </xdr:cNvPr>
        <xdr:cNvSpPr/>
      </xdr:nvSpPr>
      <xdr:spPr>
        <a:xfrm rot="16200000">
          <a:off x="13501788561" y="45864824"/>
          <a:ext cx="135276" cy="1994124"/>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oneCellAnchor>
    <xdr:from>
      <xdr:col>2</xdr:col>
      <xdr:colOff>369224</xdr:colOff>
      <xdr:row>345</xdr:row>
      <xdr:rowOff>87525</xdr:rowOff>
    </xdr:from>
    <xdr:ext cx="5445182" cy="444029"/>
    <mc:AlternateContent xmlns:mc="http://schemas.openxmlformats.org/markup-compatibility/2006" xmlns:a14="http://schemas.microsoft.com/office/drawing/2010/main">
      <mc:Choice Requires="a14">
        <xdr:sp macro="" textlink="">
          <xdr:nvSpPr>
            <xdr:cNvPr id="55" name="TextBox 54">
              <a:extLst>
                <a:ext uri="{FF2B5EF4-FFF2-40B4-BE49-F238E27FC236}">
                  <a16:creationId xmlns:a16="http://schemas.microsoft.com/office/drawing/2014/main" id="{0C8BC3BF-5DDE-C5FF-398E-0225F1A902BA}"/>
                </a:ext>
              </a:extLst>
            </xdr:cNvPr>
            <xdr:cNvSpPr txBox="1"/>
          </xdr:nvSpPr>
          <xdr:spPr>
            <a:xfrm>
              <a:off x="13499441985" y="47042512"/>
              <a:ext cx="5445182" cy="4440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lgn="r" rtl="1"/>
              <a14:m>
                <m:oMathPara xmlns:m="http://schemas.openxmlformats.org/officeDocument/2006/math">
                  <m:oMathParaPr>
                    <m:jc m:val="centerGroup"/>
                  </m:oMathParaPr>
                  <m:oMath xmlns:m="http://schemas.openxmlformats.org/officeDocument/2006/math">
                    <m:sSub>
                      <m:sSubPr>
                        <m:ctrlPr>
                          <a:rPr lang="en-US" sz="1100" b="0" i="1">
                            <a:solidFill>
                              <a:sysClr val="windowText" lastClr="000000"/>
                            </a:solidFill>
                            <a:latin typeface="Cambria Math" panose="02040503050406030204" pitchFamily="18" charset="0"/>
                          </a:rPr>
                        </m:ctrlPr>
                      </m:sSubPr>
                      <m:e>
                        <m:r>
                          <a:rPr lang="en-US" sz="1100" b="0" i="1">
                            <a:solidFill>
                              <a:sysClr val="windowText" lastClr="000000"/>
                            </a:solidFill>
                            <a:latin typeface="Cambria Math" panose="02040503050406030204" pitchFamily="18" charset="0"/>
                          </a:rPr>
                          <m:t>𝑋</m:t>
                        </m:r>
                      </m:e>
                      <m:sub>
                        <m:r>
                          <a:rPr lang="en-US" sz="1100" b="0" i="1">
                            <a:solidFill>
                              <a:sysClr val="windowText" lastClr="000000"/>
                            </a:solidFill>
                            <a:latin typeface="Cambria Math" panose="02040503050406030204" pitchFamily="18" charset="0"/>
                          </a:rPr>
                          <m:t>1</m:t>
                        </m:r>
                      </m:sub>
                    </m:sSub>
                    <m:r>
                      <a:rPr lang="en-US" sz="1100" b="0" i="1">
                        <a:solidFill>
                          <a:sysClr val="windowText" lastClr="000000"/>
                        </a:solidFill>
                        <a:latin typeface="Cambria Math" panose="02040503050406030204" pitchFamily="18" charset="0"/>
                      </a:rPr>
                      <m:t>=</m:t>
                    </m:r>
                    <m:r>
                      <a:rPr lang="en-US" sz="1100" b="0" i="0">
                        <a:solidFill>
                          <a:sysClr val="windowText" lastClr="000000"/>
                        </a:solidFill>
                        <a:latin typeface="Cambria Math" panose="02040503050406030204" pitchFamily="18" charset="0"/>
                      </a:rPr>
                      <m:t>0.723</m:t>
                    </m:r>
                    <m:r>
                      <a:rPr lang="en-US" sz="1100" b="0" i="1">
                        <a:solidFill>
                          <a:sysClr val="windowText" lastClr="000000"/>
                        </a:solidFill>
                        <a:latin typeface="Cambria Math" panose="02040503050406030204" pitchFamily="18" charset="0"/>
                      </a:rPr>
                      <m:t>→</m:t>
                    </m:r>
                    <m:f>
                      <m:fPr>
                        <m:ctrlPr>
                          <a:rPr lang="en-US" sz="1100" b="0" i="1">
                            <a:solidFill>
                              <a:sysClr val="windowText" lastClr="000000"/>
                            </a:solidFill>
                            <a:latin typeface="Cambria Math" panose="02040503050406030204" pitchFamily="18" charset="0"/>
                          </a:rPr>
                        </m:ctrlPr>
                      </m:fPr>
                      <m:num>
                        <m:r>
                          <a:rPr lang="en-US" sz="1100" b="0" i="1">
                            <a:solidFill>
                              <a:sysClr val="windowText" lastClr="000000"/>
                            </a:solidFill>
                            <a:latin typeface="Cambria Math" panose="02040503050406030204" pitchFamily="18" charset="0"/>
                          </a:rPr>
                          <m:t>1</m:t>
                        </m:r>
                      </m:num>
                      <m:den>
                        <m:r>
                          <a:rPr lang="en-US" sz="1100" b="0" i="1">
                            <a:solidFill>
                              <a:sysClr val="windowText" lastClr="000000"/>
                            </a:solidFill>
                            <a:latin typeface="Cambria Math" panose="02040503050406030204" pitchFamily="18" charset="0"/>
                          </a:rPr>
                          <m:t>1+</m:t>
                        </m:r>
                        <m:r>
                          <a:rPr lang="en-US" sz="1100" b="0" i="1">
                            <a:solidFill>
                              <a:sysClr val="windowText" lastClr="000000"/>
                            </a:solidFill>
                            <a:latin typeface="Cambria Math" panose="02040503050406030204" pitchFamily="18" charset="0"/>
                          </a:rPr>
                          <m:t>𝐼𝑅𝑅</m:t>
                        </m:r>
                      </m:den>
                    </m:f>
                    <m:r>
                      <a:rPr lang="en-US" sz="1100" b="0" i="1">
                        <a:solidFill>
                          <a:sysClr val="windowText" lastClr="000000"/>
                        </a:solidFill>
                        <a:latin typeface="Cambria Math" panose="02040503050406030204" pitchFamily="18" charset="0"/>
                      </a:rPr>
                      <m:t>=0.723→</m:t>
                    </m:r>
                    <m:r>
                      <a:rPr lang="en-US" sz="1100" b="0" i="1">
                        <a:solidFill>
                          <a:sysClr val="windowText" lastClr="000000"/>
                        </a:solidFill>
                        <a:latin typeface="Cambria Math" panose="02040503050406030204" pitchFamily="18" charset="0"/>
                      </a:rPr>
                      <m:t>𝐼𝑅𝑅</m:t>
                    </m:r>
                    <m:r>
                      <a:rPr lang="en-US" sz="1100" b="0" i="1">
                        <a:solidFill>
                          <a:sysClr val="windowText" lastClr="000000"/>
                        </a:solidFill>
                        <a:latin typeface="Cambria Math" panose="02040503050406030204" pitchFamily="18" charset="0"/>
                      </a:rPr>
                      <m:t>=261.8%</m:t>
                    </m:r>
                  </m:oMath>
                </m:oMathPara>
              </a14:m>
              <a:endParaRPr lang="en-US" sz="1100" b="0">
                <a:solidFill>
                  <a:sysClr val="windowText" lastClr="000000"/>
                </a:solidFill>
              </a:endParaRPr>
            </a:p>
            <a:p>
              <a:pPr algn="r" rtl="1"/>
              <a:endParaRPr lang="en-US" sz="1100"/>
            </a:p>
          </xdr:txBody>
        </xdr:sp>
      </mc:Choice>
      <mc:Fallback xmlns="">
        <xdr:sp macro="" textlink="">
          <xdr:nvSpPr>
            <xdr:cNvPr id="55" name="TextBox 54">
              <a:extLst>
                <a:ext uri="{FF2B5EF4-FFF2-40B4-BE49-F238E27FC236}">
                  <a16:creationId xmlns:a16="http://schemas.microsoft.com/office/drawing/2014/main" id="{0C8BC3BF-5DDE-C5FF-398E-0225F1A902BA}"/>
                </a:ext>
              </a:extLst>
            </xdr:cNvPr>
            <xdr:cNvSpPr txBox="1"/>
          </xdr:nvSpPr>
          <xdr:spPr>
            <a:xfrm>
              <a:off x="13499441985" y="47042512"/>
              <a:ext cx="5445182" cy="4440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lgn="r" rtl="1"/>
              <a:r>
                <a:rPr lang="en-US" sz="1100" b="0" i="0">
                  <a:solidFill>
                    <a:sysClr val="windowText" lastClr="000000"/>
                  </a:solidFill>
                  <a:latin typeface="Cambria Math" panose="02040503050406030204" pitchFamily="18" charset="0"/>
                </a:rPr>
                <a:t>𝑋_1=0.723→1/(1+𝐼𝑅𝑅)=0.723→𝐼𝑅𝑅=261.8%</a:t>
              </a:r>
              <a:endParaRPr lang="en-US" sz="1100" b="0">
                <a:solidFill>
                  <a:sysClr val="windowText" lastClr="000000"/>
                </a:solidFill>
              </a:endParaRPr>
            </a:p>
            <a:p>
              <a:pPr algn="r" rtl="1"/>
              <a:endParaRPr lang="en-US" sz="1100"/>
            </a:p>
          </xdr:txBody>
        </xdr:sp>
      </mc:Fallback>
    </mc:AlternateContent>
    <xdr:clientData/>
  </xdr:oneCellAnchor>
  <xdr:oneCellAnchor>
    <xdr:from>
      <xdr:col>2</xdr:col>
      <xdr:colOff>814837</xdr:colOff>
      <xdr:row>347</xdr:row>
      <xdr:rowOff>100257</xdr:rowOff>
    </xdr:from>
    <xdr:ext cx="4684456" cy="405834"/>
    <mc:AlternateContent xmlns:mc="http://schemas.openxmlformats.org/markup-compatibility/2006" xmlns:a14="http://schemas.microsoft.com/office/drawing/2010/main">
      <mc:Choice Requires="a14">
        <xdr:sp macro="" textlink="">
          <xdr:nvSpPr>
            <xdr:cNvPr id="56" name="TextBox 55">
              <a:extLst>
                <a:ext uri="{FF2B5EF4-FFF2-40B4-BE49-F238E27FC236}">
                  <a16:creationId xmlns:a16="http://schemas.microsoft.com/office/drawing/2014/main" id="{7F9B1903-96B6-E5A0-2F3A-F9481746C054}"/>
                </a:ext>
              </a:extLst>
            </xdr:cNvPr>
            <xdr:cNvSpPr txBox="1"/>
          </xdr:nvSpPr>
          <xdr:spPr>
            <a:xfrm>
              <a:off x="13499757098" y="47462663"/>
              <a:ext cx="4684456" cy="40583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lgn="r" rtl="1"/>
              <a14:m>
                <m:oMathPara xmlns:m="http://schemas.openxmlformats.org/officeDocument/2006/math">
                  <m:oMathParaPr>
                    <m:jc m:val="centerGroup"/>
                  </m:oMathParaPr>
                  <m:oMath xmlns:m="http://schemas.openxmlformats.org/officeDocument/2006/math">
                    <m:sSub>
                      <m:sSubPr>
                        <m:ctrlPr>
                          <a:rPr lang="en-US" sz="1100" b="0" i="1">
                            <a:solidFill>
                              <a:sysClr val="windowText" lastClr="000000"/>
                            </a:solidFill>
                            <a:latin typeface="Cambria Math" panose="02040503050406030204" pitchFamily="18" charset="0"/>
                          </a:rPr>
                        </m:ctrlPr>
                      </m:sSubPr>
                      <m:e>
                        <m:r>
                          <a:rPr lang="en-US" sz="1100" b="0" i="1">
                            <a:solidFill>
                              <a:sysClr val="windowText" lastClr="000000"/>
                            </a:solidFill>
                            <a:latin typeface="Cambria Math" panose="02040503050406030204" pitchFamily="18" charset="0"/>
                          </a:rPr>
                          <m:t>𝑋</m:t>
                        </m:r>
                      </m:e>
                      <m:sub>
                        <m:r>
                          <a:rPr lang="en-US" sz="1100" b="0" i="1">
                            <a:solidFill>
                              <a:sysClr val="windowText" lastClr="000000"/>
                            </a:solidFill>
                            <a:latin typeface="Cambria Math" panose="02040503050406030204" pitchFamily="18" charset="0"/>
                          </a:rPr>
                          <m:t>2</m:t>
                        </m:r>
                      </m:sub>
                    </m:sSub>
                    <m:r>
                      <a:rPr lang="en-US" sz="1100" b="0" i="1">
                        <a:solidFill>
                          <a:sysClr val="windowText" lastClr="000000"/>
                        </a:solidFill>
                        <a:latin typeface="Cambria Math" panose="02040503050406030204" pitchFamily="18" charset="0"/>
                      </a:rPr>
                      <m:t>=</m:t>
                    </m:r>
                    <m:r>
                      <a:rPr lang="en-US" sz="1100" b="0" i="0">
                        <a:solidFill>
                          <a:sysClr val="windowText" lastClr="000000"/>
                        </a:solidFill>
                        <a:latin typeface="Cambria Math" panose="02040503050406030204" pitchFamily="18" charset="0"/>
                      </a:rPr>
                      <m:t>0.27</m:t>
                    </m:r>
                    <m:r>
                      <a:rPr lang="en-US" sz="1100" b="0" i="1">
                        <a:solidFill>
                          <a:sysClr val="windowText" lastClr="000000"/>
                        </a:solidFill>
                        <a:latin typeface="Cambria Math" panose="02040503050406030204" pitchFamily="18" charset="0"/>
                      </a:rPr>
                      <m:t>→</m:t>
                    </m:r>
                    <m:f>
                      <m:fPr>
                        <m:ctrlPr>
                          <a:rPr lang="en-US" sz="1100" b="0" i="1">
                            <a:solidFill>
                              <a:sysClr val="windowText" lastClr="000000"/>
                            </a:solidFill>
                            <a:latin typeface="Cambria Math" panose="02040503050406030204" pitchFamily="18" charset="0"/>
                          </a:rPr>
                        </m:ctrlPr>
                      </m:fPr>
                      <m:num>
                        <m:r>
                          <a:rPr lang="en-US" sz="1100" b="0" i="1">
                            <a:solidFill>
                              <a:sysClr val="windowText" lastClr="000000"/>
                            </a:solidFill>
                            <a:latin typeface="Cambria Math" panose="02040503050406030204" pitchFamily="18" charset="0"/>
                          </a:rPr>
                          <m:t>1</m:t>
                        </m:r>
                      </m:num>
                      <m:den>
                        <m:r>
                          <a:rPr lang="en-US" sz="1100" b="0" i="1">
                            <a:solidFill>
                              <a:sysClr val="windowText" lastClr="000000"/>
                            </a:solidFill>
                            <a:latin typeface="Cambria Math" panose="02040503050406030204" pitchFamily="18" charset="0"/>
                          </a:rPr>
                          <m:t>1+</m:t>
                        </m:r>
                        <m:r>
                          <a:rPr lang="en-US" sz="1100" b="0" i="1">
                            <a:solidFill>
                              <a:sysClr val="windowText" lastClr="000000"/>
                            </a:solidFill>
                            <a:latin typeface="Cambria Math" panose="02040503050406030204" pitchFamily="18" charset="0"/>
                          </a:rPr>
                          <m:t>𝐼𝑅𝑅</m:t>
                        </m:r>
                      </m:den>
                    </m:f>
                    <m:r>
                      <a:rPr lang="en-US" sz="1100" b="0" i="1">
                        <a:solidFill>
                          <a:sysClr val="windowText" lastClr="000000"/>
                        </a:solidFill>
                        <a:latin typeface="Cambria Math" panose="02040503050406030204" pitchFamily="18" charset="0"/>
                      </a:rPr>
                      <m:t>=0.27→</m:t>
                    </m:r>
                    <m:r>
                      <a:rPr lang="en-US" sz="1100" b="0" i="1">
                        <a:solidFill>
                          <a:sysClr val="windowText" lastClr="000000"/>
                        </a:solidFill>
                        <a:latin typeface="Cambria Math" panose="02040503050406030204" pitchFamily="18" charset="0"/>
                      </a:rPr>
                      <m:t>𝐼𝑅𝑅</m:t>
                    </m:r>
                    <m:r>
                      <a:rPr lang="en-US" sz="1100" b="0" i="1">
                        <a:solidFill>
                          <a:sysClr val="windowText" lastClr="000000"/>
                        </a:solidFill>
                        <a:latin typeface="Cambria Math" panose="02040503050406030204" pitchFamily="18" charset="0"/>
                      </a:rPr>
                      <m:t>=38.1966%</m:t>
                    </m:r>
                  </m:oMath>
                </m:oMathPara>
              </a14:m>
              <a:endParaRPr lang="en-US" sz="1100" b="0">
                <a:solidFill>
                  <a:sysClr val="windowText" lastClr="000000"/>
                </a:solidFill>
              </a:endParaRPr>
            </a:p>
            <a:p>
              <a:pPr algn="r" rtl="1"/>
              <a:endParaRPr lang="en-US" sz="1100"/>
            </a:p>
          </xdr:txBody>
        </xdr:sp>
      </mc:Choice>
      <mc:Fallback xmlns="">
        <xdr:sp macro="" textlink="">
          <xdr:nvSpPr>
            <xdr:cNvPr id="56" name="TextBox 55">
              <a:extLst>
                <a:ext uri="{FF2B5EF4-FFF2-40B4-BE49-F238E27FC236}">
                  <a16:creationId xmlns:a16="http://schemas.microsoft.com/office/drawing/2014/main" id="{7F9B1903-96B6-E5A0-2F3A-F9481746C054}"/>
                </a:ext>
              </a:extLst>
            </xdr:cNvPr>
            <xdr:cNvSpPr txBox="1"/>
          </xdr:nvSpPr>
          <xdr:spPr>
            <a:xfrm>
              <a:off x="13499757098" y="47462663"/>
              <a:ext cx="4684456" cy="40583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lgn="r" rtl="1"/>
              <a:r>
                <a:rPr lang="en-US" sz="1100" b="0" i="0">
                  <a:solidFill>
                    <a:sysClr val="windowText" lastClr="000000"/>
                  </a:solidFill>
                  <a:latin typeface="Cambria Math" panose="02040503050406030204" pitchFamily="18" charset="0"/>
                </a:rPr>
                <a:t>𝑋_2=0.27→1/(1+𝐼𝑅𝑅)=0.27→𝐼𝑅𝑅=38.1966%</a:t>
              </a:r>
              <a:endParaRPr lang="en-US" sz="1100" b="0">
                <a:solidFill>
                  <a:sysClr val="windowText" lastClr="000000"/>
                </a:solidFill>
              </a:endParaRPr>
            </a:p>
            <a:p>
              <a:pPr algn="r" rtl="1"/>
              <a:endParaRPr lang="en-US" sz="1100"/>
            </a:p>
          </xdr:txBody>
        </xdr:sp>
      </mc:Fallback>
    </mc:AlternateContent>
    <xdr:clientData/>
  </xdr:oneCellAnchor>
  <xdr:twoCellAnchor>
    <xdr:from>
      <xdr:col>5</xdr:col>
      <xdr:colOff>381000</xdr:colOff>
      <xdr:row>103</xdr:row>
      <xdr:rowOff>55371</xdr:rowOff>
    </xdr:from>
    <xdr:to>
      <xdr:col>5</xdr:col>
      <xdr:colOff>504492</xdr:colOff>
      <xdr:row>105</xdr:row>
      <xdr:rowOff>86894</xdr:rowOff>
    </xdr:to>
    <xdr:sp macro="" textlink="">
      <xdr:nvSpPr>
        <xdr:cNvPr id="6" name="Up Arrow 5">
          <a:extLst>
            <a:ext uri="{FF2B5EF4-FFF2-40B4-BE49-F238E27FC236}">
              <a16:creationId xmlns:a16="http://schemas.microsoft.com/office/drawing/2014/main" id="{446AF177-B955-D581-B541-B28E7DD689DD}"/>
            </a:ext>
          </a:extLst>
        </xdr:cNvPr>
        <xdr:cNvSpPr/>
      </xdr:nvSpPr>
      <xdr:spPr>
        <a:xfrm rot="10800000">
          <a:off x="13575160508" y="21050476"/>
          <a:ext cx="123492" cy="432576"/>
        </a:xfrm>
        <a:prstGeom prst="up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4</xdr:col>
      <xdr:colOff>26737</xdr:colOff>
      <xdr:row>115</xdr:row>
      <xdr:rowOff>37430</xdr:rowOff>
    </xdr:from>
    <xdr:ext cx="4552233" cy="46743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567FF26-6058-FCF5-9D53-CCE12CB20C6E}"/>
                </a:ext>
              </a:extLst>
            </xdr:cNvPr>
            <xdr:cNvSpPr txBox="1"/>
          </xdr:nvSpPr>
          <xdr:spPr>
            <a:xfrm>
              <a:off x="13571914872" y="23465588"/>
              <a:ext cx="4552233" cy="4674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𝑁𝑃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𝑁𝑎𝑘𝑛𝑖𝑘</m:t>
                        </m:r>
                      </m:sub>
                    </m:sSub>
                    <m:r>
                      <a:rPr lang="en-US" sz="1100" b="0" i="1">
                        <a:latin typeface="Cambria Math" panose="02040503050406030204" pitchFamily="18" charset="0"/>
                      </a:rPr>
                      <m:t>=−10,000+2,606∗</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1+6%</m:t>
                                    </m:r>
                                  </m:e>
                                </m:d>
                              </m:e>
                              <m:sup>
                                <m:r>
                                  <a:rPr lang="en-US" sz="1100" b="0" i="1">
                                    <a:latin typeface="Cambria Math" panose="02040503050406030204" pitchFamily="18" charset="0"/>
                                  </a:rPr>
                                  <m:t>7</m:t>
                                </m:r>
                              </m:sup>
                            </m:sSup>
                          </m:den>
                        </m:f>
                      </m:num>
                      <m:den>
                        <m:r>
                          <a:rPr lang="en-US" sz="1100" b="0" i="1">
                            <a:latin typeface="Cambria Math" panose="02040503050406030204" pitchFamily="18" charset="0"/>
                          </a:rPr>
                          <m:t>6%</m:t>
                        </m:r>
                      </m:den>
                    </m:f>
                    <m:r>
                      <a:rPr lang="en-US" sz="1100" b="0" i="1">
                        <a:latin typeface="Cambria Math" panose="02040503050406030204" pitchFamily="18" charset="0"/>
                      </a:rPr>
                      <m:t>=4,547.69</m:t>
                    </m:r>
                  </m:oMath>
                </m:oMathPara>
              </a14:m>
              <a:endParaRPr lang="en-US" sz="1100"/>
            </a:p>
          </xdr:txBody>
        </xdr:sp>
      </mc:Choice>
      <mc:Fallback xmlns="">
        <xdr:sp macro="" textlink="">
          <xdr:nvSpPr>
            <xdr:cNvPr id="7" name="TextBox 6">
              <a:extLst>
                <a:ext uri="{FF2B5EF4-FFF2-40B4-BE49-F238E27FC236}">
                  <a16:creationId xmlns:a16="http://schemas.microsoft.com/office/drawing/2014/main" id="{0567FF26-6058-FCF5-9D53-CCE12CB20C6E}"/>
                </a:ext>
              </a:extLst>
            </xdr:cNvPr>
            <xdr:cNvSpPr txBox="1"/>
          </xdr:nvSpPr>
          <xdr:spPr>
            <a:xfrm>
              <a:off x="13571914872" y="23465588"/>
              <a:ext cx="4552233" cy="4674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𝑁𝑃𝑉_𝑁𝑎𝑘𝑛𝑖𝑘=−10,000+2,606∗(1−1/(1+6%)^7 )/(6%)=4,547.69</a:t>
              </a:r>
              <a:endParaRPr lang="en-US" sz="1100"/>
            </a:p>
          </xdr:txBody>
        </xdr:sp>
      </mc:Fallback>
    </mc:AlternateContent>
    <xdr:clientData/>
  </xdr:oneCellAnchor>
  <xdr:oneCellAnchor>
    <xdr:from>
      <xdr:col>4</xdr:col>
      <xdr:colOff>447842</xdr:colOff>
      <xdr:row>112</xdr:row>
      <xdr:rowOff>93579</xdr:rowOff>
    </xdr:from>
    <xdr:ext cx="3033080" cy="459678"/>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C4B9A748-AD14-6949-BBA3-DF8F845DC123}"/>
                </a:ext>
              </a:extLst>
            </xdr:cNvPr>
            <xdr:cNvSpPr txBox="1"/>
          </xdr:nvSpPr>
          <xdr:spPr>
            <a:xfrm>
              <a:off x="13573012920" y="22920158"/>
              <a:ext cx="3033080" cy="459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𝑁𝑃𝑉</m:t>
                    </m:r>
                    <m:r>
                      <a:rPr lang="en-US" sz="1100" b="0" i="1">
                        <a:latin typeface="Cambria Math" panose="02040503050406030204" pitchFamily="18" charset="0"/>
                      </a:rPr>
                      <m:t>=−</m:t>
                    </m:r>
                    <m:sSub>
                      <m:sSubPr>
                        <m:ctrlPr>
                          <a:rPr lang="en-US" sz="1100" b="0" i="1">
                            <a:latin typeface="Cambria Math" panose="02040503050406030204" pitchFamily="18" charset="0"/>
                          </a:rPr>
                        </m:ctrlPr>
                      </m:sSubPr>
                      <m:e>
                        <m:r>
                          <a:rPr lang="en-US" sz="1100" b="0" i="1">
                            <a:latin typeface="Cambria Math" panose="02040503050406030204" pitchFamily="18" charset="0"/>
                          </a:rPr>
                          <m:t>𝐼</m:t>
                        </m:r>
                      </m:e>
                      <m:sub>
                        <m:r>
                          <a:rPr lang="en-US" sz="1100" b="0" i="1">
                            <a:latin typeface="Cambria Math" panose="02040503050406030204" pitchFamily="18" charset="0"/>
                          </a:rPr>
                          <m:t>0</m:t>
                        </m:r>
                      </m:sub>
                    </m:sSub>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10" name="TextBox 9">
              <a:extLst>
                <a:ext uri="{FF2B5EF4-FFF2-40B4-BE49-F238E27FC236}">
                  <a16:creationId xmlns:a16="http://schemas.microsoft.com/office/drawing/2014/main" id="{C4B9A748-AD14-6949-BBA3-DF8F845DC123}"/>
                </a:ext>
              </a:extLst>
            </xdr:cNvPr>
            <xdr:cNvSpPr txBox="1"/>
          </xdr:nvSpPr>
          <xdr:spPr>
            <a:xfrm>
              <a:off x="13573012920" y="22920158"/>
              <a:ext cx="3033080" cy="459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𝑁𝑃𝑉=−𝐼_0+𝑃𝑀𝑇∗(1−1/(1+𝑟)^𝑛 )/𝑟</a:t>
              </a:r>
              <a:endParaRPr lang="en-US" sz="1100"/>
            </a:p>
          </xdr:txBody>
        </xdr:sp>
      </mc:Fallback>
    </mc:AlternateContent>
    <xdr:clientData/>
  </xdr:oneCellAnchor>
  <xdr:twoCellAnchor editAs="oneCell">
    <xdr:from>
      <xdr:col>1</xdr:col>
      <xdr:colOff>635000</xdr:colOff>
      <xdr:row>148</xdr:row>
      <xdr:rowOff>13369</xdr:rowOff>
    </xdr:from>
    <xdr:to>
      <xdr:col>4</xdr:col>
      <xdr:colOff>661036</xdr:colOff>
      <xdr:row>161</xdr:row>
      <xdr:rowOff>76868</xdr:rowOff>
    </xdr:to>
    <xdr:pic>
      <xdr:nvPicPr>
        <xdr:cNvPr id="13" name="Picture 12">
          <a:extLst>
            <a:ext uri="{FF2B5EF4-FFF2-40B4-BE49-F238E27FC236}">
              <a16:creationId xmlns:a16="http://schemas.microsoft.com/office/drawing/2014/main" id="{75A35648-1B8A-9A8D-077E-A01AC5357F90}"/>
            </a:ext>
          </a:extLst>
        </xdr:cNvPr>
        <xdr:cNvPicPr>
          <a:picLocks noChangeAspect="1"/>
        </xdr:cNvPicPr>
      </xdr:nvPicPr>
      <xdr:blipFill>
        <a:blip xmlns:r="http://schemas.openxmlformats.org/officeDocument/2006/relationships" r:embed="rId5"/>
        <a:stretch>
          <a:fillRect/>
        </a:stretch>
      </xdr:blipFill>
      <xdr:spPr>
        <a:xfrm>
          <a:off x="13575832806" y="30139106"/>
          <a:ext cx="2612826" cy="2670341"/>
        </a:xfrm>
        <a:prstGeom prst="rect">
          <a:avLst/>
        </a:prstGeom>
      </xdr:spPr>
    </xdr:pic>
    <xdr:clientData/>
  </xdr:twoCellAnchor>
  <xdr:twoCellAnchor editAs="oneCell">
    <xdr:from>
      <xdr:col>5</xdr:col>
      <xdr:colOff>0</xdr:colOff>
      <xdr:row>152</xdr:row>
      <xdr:rowOff>0</xdr:rowOff>
    </xdr:from>
    <xdr:to>
      <xdr:col>8</xdr:col>
      <xdr:colOff>5252</xdr:colOff>
      <xdr:row>155</xdr:row>
      <xdr:rowOff>73526</xdr:rowOff>
    </xdr:to>
    <xdr:pic>
      <xdr:nvPicPr>
        <xdr:cNvPr id="22" name="Picture 21">
          <a:extLst>
            <a:ext uri="{FF2B5EF4-FFF2-40B4-BE49-F238E27FC236}">
              <a16:creationId xmlns:a16="http://schemas.microsoft.com/office/drawing/2014/main" id="{73F9AA02-804C-9BCB-2F5E-A9018B22F56D}"/>
            </a:ext>
          </a:extLst>
        </xdr:cNvPr>
        <xdr:cNvPicPr>
          <a:picLocks noChangeAspect="1"/>
        </xdr:cNvPicPr>
      </xdr:nvPicPr>
      <xdr:blipFill>
        <a:blip xmlns:r="http://schemas.openxmlformats.org/officeDocument/2006/relationships" r:embed="rId6"/>
        <a:stretch>
          <a:fillRect/>
        </a:stretch>
      </xdr:blipFill>
      <xdr:spPr>
        <a:xfrm>
          <a:off x="13573118890" y="30927842"/>
          <a:ext cx="2546110" cy="675105"/>
        </a:xfrm>
        <a:prstGeom prst="rect">
          <a:avLst/>
        </a:prstGeom>
      </xdr:spPr>
    </xdr:pic>
    <xdr:clientData/>
  </xdr:twoCellAnchor>
  <xdr:twoCellAnchor>
    <xdr:from>
      <xdr:col>4</xdr:col>
      <xdr:colOff>454526</xdr:colOff>
      <xdr:row>174</xdr:row>
      <xdr:rowOff>180474</xdr:rowOff>
    </xdr:from>
    <xdr:to>
      <xdr:col>4</xdr:col>
      <xdr:colOff>601578</xdr:colOff>
      <xdr:row>177</xdr:row>
      <xdr:rowOff>26737</xdr:rowOff>
    </xdr:to>
    <xdr:sp macro="" textlink="">
      <xdr:nvSpPr>
        <xdr:cNvPr id="25" name="Left Brace 24">
          <a:extLst>
            <a:ext uri="{FF2B5EF4-FFF2-40B4-BE49-F238E27FC236}">
              <a16:creationId xmlns:a16="http://schemas.microsoft.com/office/drawing/2014/main" id="{F89C988B-EFD6-00A9-6D7A-E1CAE24846CD}"/>
            </a:ext>
          </a:extLst>
        </xdr:cNvPr>
        <xdr:cNvSpPr/>
      </xdr:nvSpPr>
      <xdr:spPr>
        <a:xfrm>
          <a:off x="13575892264" y="35546632"/>
          <a:ext cx="147052" cy="447842"/>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4</xdr:col>
      <xdr:colOff>401053</xdr:colOff>
      <xdr:row>192</xdr:row>
      <xdr:rowOff>40105</xdr:rowOff>
    </xdr:from>
    <xdr:to>
      <xdr:col>4</xdr:col>
      <xdr:colOff>407737</xdr:colOff>
      <xdr:row>202</xdr:row>
      <xdr:rowOff>60158</xdr:rowOff>
    </xdr:to>
    <xdr:cxnSp macro="">
      <xdr:nvCxnSpPr>
        <xdr:cNvPr id="32" name="Straight Arrow Connector 31">
          <a:extLst>
            <a:ext uri="{FF2B5EF4-FFF2-40B4-BE49-F238E27FC236}">
              <a16:creationId xmlns:a16="http://schemas.microsoft.com/office/drawing/2014/main" id="{DE4F7BC4-2974-F9B5-B2A2-1FC5FF657E8A}"/>
            </a:ext>
          </a:extLst>
        </xdr:cNvPr>
        <xdr:cNvCxnSpPr/>
      </xdr:nvCxnSpPr>
      <xdr:spPr>
        <a:xfrm flipH="1" flipV="1">
          <a:off x="13576086105" y="39069210"/>
          <a:ext cx="6684" cy="202531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327527</xdr:colOff>
      <xdr:row>198</xdr:row>
      <xdr:rowOff>106948</xdr:rowOff>
    </xdr:from>
    <xdr:to>
      <xdr:col>4</xdr:col>
      <xdr:colOff>628316</xdr:colOff>
      <xdr:row>198</xdr:row>
      <xdr:rowOff>133684</xdr:rowOff>
    </xdr:to>
    <xdr:cxnSp macro="">
      <xdr:nvCxnSpPr>
        <xdr:cNvPr id="42" name="Straight Arrow Connector 41">
          <a:extLst>
            <a:ext uri="{FF2B5EF4-FFF2-40B4-BE49-F238E27FC236}">
              <a16:creationId xmlns:a16="http://schemas.microsoft.com/office/drawing/2014/main" id="{996B501B-3676-5179-8D65-866591FBE55F}"/>
            </a:ext>
          </a:extLst>
        </xdr:cNvPr>
        <xdr:cNvCxnSpPr/>
      </xdr:nvCxnSpPr>
      <xdr:spPr>
        <a:xfrm flipV="1">
          <a:off x="13575865526" y="40339211"/>
          <a:ext cx="2887579" cy="2673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254000</xdr:colOff>
      <xdr:row>193</xdr:row>
      <xdr:rowOff>106947</xdr:rowOff>
    </xdr:from>
    <xdr:to>
      <xdr:col>4</xdr:col>
      <xdr:colOff>421105</xdr:colOff>
      <xdr:row>201</xdr:row>
      <xdr:rowOff>20053</xdr:rowOff>
    </xdr:to>
    <xdr:sp macro="" textlink="">
      <xdr:nvSpPr>
        <xdr:cNvPr id="57" name="Freeform 56">
          <a:extLst>
            <a:ext uri="{FF2B5EF4-FFF2-40B4-BE49-F238E27FC236}">
              <a16:creationId xmlns:a16="http://schemas.microsoft.com/office/drawing/2014/main" id="{E2A1562D-961C-7FE1-85FC-EE21071ED5E8}"/>
            </a:ext>
          </a:extLst>
        </xdr:cNvPr>
        <xdr:cNvSpPr/>
      </xdr:nvSpPr>
      <xdr:spPr>
        <a:xfrm>
          <a:off x="13576072737" y="39336579"/>
          <a:ext cx="2753895" cy="1517316"/>
        </a:xfrm>
        <a:custGeom>
          <a:avLst/>
          <a:gdLst>
            <a:gd name="connsiteX0" fmla="*/ 0 w 2753895"/>
            <a:gd name="connsiteY0" fmla="*/ 0 h 1517316"/>
            <a:gd name="connsiteX1" fmla="*/ 1056105 w 2753895"/>
            <a:gd name="connsiteY1" fmla="*/ 848895 h 1517316"/>
            <a:gd name="connsiteX2" fmla="*/ 2753895 w 2753895"/>
            <a:gd name="connsiteY2" fmla="*/ 1517316 h 1517316"/>
          </a:gdLst>
          <a:ahLst/>
          <a:cxnLst>
            <a:cxn ang="0">
              <a:pos x="connsiteX0" y="connsiteY0"/>
            </a:cxn>
            <a:cxn ang="0">
              <a:pos x="connsiteX1" y="connsiteY1"/>
            </a:cxn>
            <a:cxn ang="0">
              <a:pos x="connsiteX2" y="connsiteY2"/>
            </a:cxn>
          </a:cxnLst>
          <a:rect l="l" t="t" r="r" b="b"/>
          <a:pathLst>
            <a:path w="2753895" h="1517316">
              <a:moveTo>
                <a:pt x="0" y="0"/>
              </a:moveTo>
              <a:cubicBezTo>
                <a:pt x="298561" y="298004"/>
                <a:pt x="597122" y="596009"/>
                <a:pt x="1056105" y="848895"/>
              </a:cubicBezTo>
              <a:cubicBezTo>
                <a:pt x="1515088" y="1101781"/>
                <a:pt x="2134491" y="1309548"/>
                <a:pt x="2753895" y="1517316"/>
              </a:cubicBezTo>
            </a:path>
          </a:pathLst>
        </a:custGeom>
      </xdr:spPr>
      <xdr:style>
        <a:lnRef idx="3">
          <a:schemeClr val="accent2"/>
        </a:lnRef>
        <a:fillRef idx="0">
          <a:schemeClr val="accent2"/>
        </a:fillRef>
        <a:effectRef idx="2">
          <a:schemeClr val="accent2"/>
        </a:effectRef>
        <a:fontRef idx="minor">
          <a:schemeClr val="tx1"/>
        </a:fontRef>
      </xdr:style>
      <xdr:txBody>
        <a:bodyPr vertOverflow="clip" horzOverflow="clip" rtlCol="0" anchor="t"/>
        <a:lstStyle/>
        <a:p>
          <a:pPr algn="r" rtl="1"/>
          <a:endParaRPr lang="en-US" sz="1100"/>
        </a:p>
      </xdr:txBody>
    </xdr:sp>
    <xdr:clientData/>
  </xdr:twoCellAnchor>
  <xdr:twoCellAnchor editAs="oneCell">
    <xdr:from>
      <xdr:col>6</xdr:col>
      <xdr:colOff>0</xdr:colOff>
      <xdr:row>191</xdr:row>
      <xdr:rowOff>0</xdr:rowOff>
    </xdr:from>
    <xdr:to>
      <xdr:col>9</xdr:col>
      <xdr:colOff>126300</xdr:colOff>
      <xdr:row>204</xdr:row>
      <xdr:rowOff>63499</xdr:rowOff>
    </xdr:to>
    <xdr:pic>
      <xdr:nvPicPr>
        <xdr:cNvPr id="58" name="Picture 57">
          <a:extLst>
            <a:ext uri="{FF2B5EF4-FFF2-40B4-BE49-F238E27FC236}">
              <a16:creationId xmlns:a16="http://schemas.microsoft.com/office/drawing/2014/main" id="{2FA84E15-A7A8-F145-B6B1-251D53E61737}"/>
            </a:ext>
          </a:extLst>
        </xdr:cNvPr>
        <xdr:cNvPicPr>
          <a:picLocks noChangeAspect="1"/>
        </xdr:cNvPicPr>
      </xdr:nvPicPr>
      <xdr:blipFill>
        <a:blip xmlns:r="http://schemas.openxmlformats.org/officeDocument/2006/relationships" r:embed="rId5"/>
        <a:stretch>
          <a:fillRect/>
        </a:stretch>
      </xdr:blipFill>
      <xdr:spPr>
        <a:xfrm>
          <a:off x="13572163174" y="38828579"/>
          <a:ext cx="2612826" cy="2670341"/>
        </a:xfrm>
        <a:prstGeom prst="rect">
          <a:avLst/>
        </a:prstGeom>
      </xdr:spPr>
    </xdr:pic>
    <xdr:clientData/>
  </xdr:twoCellAnchor>
  <xdr:twoCellAnchor editAs="oneCell">
    <xdr:from>
      <xdr:col>9</xdr:col>
      <xdr:colOff>294106</xdr:colOff>
      <xdr:row>194</xdr:row>
      <xdr:rowOff>187157</xdr:rowOff>
    </xdr:from>
    <xdr:to>
      <xdr:col>12</xdr:col>
      <xdr:colOff>353690</xdr:colOff>
      <xdr:row>198</xdr:row>
      <xdr:rowOff>60157</xdr:rowOff>
    </xdr:to>
    <xdr:pic>
      <xdr:nvPicPr>
        <xdr:cNvPr id="59" name="Picture 58">
          <a:extLst>
            <a:ext uri="{FF2B5EF4-FFF2-40B4-BE49-F238E27FC236}">
              <a16:creationId xmlns:a16="http://schemas.microsoft.com/office/drawing/2014/main" id="{AC3305AF-5E49-4D40-8CD5-5645E2DA0DDD}"/>
            </a:ext>
          </a:extLst>
        </xdr:cNvPr>
        <xdr:cNvPicPr>
          <a:picLocks noChangeAspect="1"/>
        </xdr:cNvPicPr>
      </xdr:nvPicPr>
      <xdr:blipFill>
        <a:blip xmlns:r="http://schemas.openxmlformats.org/officeDocument/2006/relationships" r:embed="rId6"/>
        <a:stretch>
          <a:fillRect/>
        </a:stretch>
      </xdr:blipFill>
      <xdr:spPr>
        <a:xfrm>
          <a:off x="13569449258" y="39617315"/>
          <a:ext cx="2546110" cy="675105"/>
        </a:xfrm>
        <a:prstGeom prst="rect">
          <a:avLst/>
        </a:prstGeom>
      </xdr:spPr>
    </xdr:pic>
    <xdr:clientData/>
  </xdr:twoCellAnchor>
  <xdr:twoCellAnchor>
    <xdr:from>
      <xdr:col>6</xdr:col>
      <xdr:colOff>13368</xdr:colOff>
      <xdr:row>205</xdr:row>
      <xdr:rowOff>106948</xdr:rowOff>
    </xdr:from>
    <xdr:to>
      <xdr:col>6</xdr:col>
      <xdr:colOff>614947</xdr:colOff>
      <xdr:row>206</xdr:row>
      <xdr:rowOff>127000</xdr:rowOff>
    </xdr:to>
    <xdr:cxnSp macro="">
      <xdr:nvCxnSpPr>
        <xdr:cNvPr id="61" name="Straight Arrow Connector 60">
          <a:extLst>
            <a:ext uri="{FF2B5EF4-FFF2-40B4-BE49-F238E27FC236}">
              <a16:creationId xmlns:a16="http://schemas.microsoft.com/office/drawing/2014/main" id="{E9BF3F00-F6B6-BD18-6743-CA87A798CC28}"/>
            </a:ext>
          </a:extLst>
        </xdr:cNvPr>
        <xdr:cNvCxnSpPr/>
      </xdr:nvCxnSpPr>
      <xdr:spPr>
        <a:xfrm flipH="1" flipV="1">
          <a:off x="13574161053" y="41742895"/>
          <a:ext cx="601579" cy="220579"/>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46789</xdr:colOff>
      <xdr:row>206</xdr:row>
      <xdr:rowOff>147052</xdr:rowOff>
    </xdr:from>
    <xdr:to>
      <xdr:col>6</xdr:col>
      <xdr:colOff>768684</xdr:colOff>
      <xdr:row>209</xdr:row>
      <xdr:rowOff>113631</xdr:rowOff>
    </xdr:to>
    <xdr:cxnSp macro="">
      <xdr:nvCxnSpPr>
        <xdr:cNvPr id="62" name="Straight Arrow Connector 61">
          <a:extLst>
            <a:ext uri="{FF2B5EF4-FFF2-40B4-BE49-F238E27FC236}">
              <a16:creationId xmlns:a16="http://schemas.microsoft.com/office/drawing/2014/main" id="{49CD15D2-28FC-2872-6E2E-883FD27736F2}"/>
            </a:ext>
          </a:extLst>
        </xdr:cNvPr>
        <xdr:cNvCxnSpPr/>
      </xdr:nvCxnSpPr>
      <xdr:spPr>
        <a:xfrm flipH="1">
          <a:off x="13574007316" y="41983526"/>
          <a:ext cx="721895" cy="56815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173791</xdr:colOff>
      <xdr:row>198</xdr:row>
      <xdr:rowOff>131010</xdr:rowOff>
    </xdr:from>
    <xdr:ext cx="1129917" cy="173702"/>
    <mc:AlternateContent xmlns:mc="http://schemas.openxmlformats.org/markup-compatibility/2006" xmlns:a14="http://schemas.microsoft.com/office/drawing/2010/main">
      <mc:Choice Requires="a14">
        <xdr:sp macro="" textlink="">
          <xdr:nvSpPr>
            <xdr:cNvPr id="65" name="TextBox 64">
              <a:extLst>
                <a:ext uri="{FF2B5EF4-FFF2-40B4-BE49-F238E27FC236}">
                  <a16:creationId xmlns:a16="http://schemas.microsoft.com/office/drawing/2014/main" id="{C39F1937-87EF-CB4D-A10E-965FEA057BCA}"/>
                </a:ext>
              </a:extLst>
            </xdr:cNvPr>
            <xdr:cNvSpPr txBox="1"/>
          </xdr:nvSpPr>
          <xdr:spPr>
            <a:xfrm>
              <a:off x="13576948082" y="40363273"/>
              <a:ext cx="1129917"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latin typeface="Cambria Math" panose="02040503050406030204" pitchFamily="18" charset="0"/>
                      </a:rPr>
                      <m:t>11.72%</m:t>
                    </m:r>
                  </m:oMath>
                </m:oMathPara>
              </a14:m>
              <a:endParaRPr lang="en-US" sz="1100"/>
            </a:p>
          </xdr:txBody>
        </xdr:sp>
      </mc:Choice>
      <mc:Fallback xmlns="">
        <xdr:sp macro="" textlink="">
          <xdr:nvSpPr>
            <xdr:cNvPr id="65" name="TextBox 64">
              <a:extLst>
                <a:ext uri="{FF2B5EF4-FFF2-40B4-BE49-F238E27FC236}">
                  <a16:creationId xmlns:a16="http://schemas.microsoft.com/office/drawing/2014/main" id="{C39F1937-87EF-CB4D-A10E-965FEA057BCA}"/>
                </a:ext>
              </a:extLst>
            </xdr:cNvPr>
            <xdr:cNvSpPr txBox="1"/>
          </xdr:nvSpPr>
          <xdr:spPr>
            <a:xfrm>
              <a:off x="13576948082" y="40363273"/>
              <a:ext cx="1129917"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11.72%</a:t>
              </a:r>
              <a:endParaRPr lang="en-US" sz="1100"/>
            </a:p>
          </xdr:txBody>
        </xdr:sp>
      </mc:Fallback>
    </mc:AlternateContent>
    <xdr:clientData/>
  </xdr:oneCellAnchor>
  <xdr:oneCellAnchor>
    <xdr:from>
      <xdr:col>0</xdr:col>
      <xdr:colOff>588212</xdr:colOff>
      <xdr:row>201</xdr:row>
      <xdr:rowOff>44115</xdr:rowOff>
    </xdr:from>
    <xdr:ext cx="1129917" cy="173702"/>
    <mc:AlternateContent xmlns:mc="http://schemas.openxmlformats.org/markup-compatibility/2006" xmlns:a14="http://schemas.microsoft.com/office/drawing/2010/main">
      <mc:Choice Requires="a14">
        <xdr:sp macro="" textlink="">
          <xdr:nvSpPr>
            <xdr:cNvPr id="66" name="TextBox 65">
              <a:extLst>
                <a:ext uri="{FF2B5EF4-FFF2-40B4-BE49-F238E27FC236}">
                  <a16:creationId xmlns:a16="http://schemas.microsoft.com/office/drawing/2014/main" id="{C640042A-CC76-B6C7-D504-EC1355402889}"/>
                </a:ext>
              </a:extLst>
            </xdr:cNvPr>
            <xdr:cNvSpPr txBox="1"/>
          </xdr:nvSpPr>
          <xdr:spPr>
            <a:xfrm>
              <a:off x="13578191345" y="40877957"/>
              <a:ext cx="1129917"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solidFill>
                          <a:srgbClr val="FF0000"/>
                        </a:solidFill>
                        <a:latin typeface="Cambria Math" panose="02040503050406030204" pitchFamily="18" charset="0"/>
                      </a:rPr>
                      <m:t>𝑁𝑃</m:t>
                    </m:r>
                    <m:sSub>
                      <m:sSubPr>
                        <m:ctrlPr>
                          <a:rPr lang="en-US" sz="1100" b="0" i="1">
                            <a:solidFill>
                              <a:srgbClr val="FF0000"/>
                            </a:solidFill>
                            <a:latin typeface="Cambria Math" panose="02040503050406030204" pitchFamily="18" charset="0"/>
                          </a:rPr>
                        </m:ctrlPr>
                      </m:sSubPr>
                      <m:e>
                        <m:r>
                          <a:rPr lang="en-US" sz="1100" b="0" i="1">
                            <a:solidFill>
                              <a:srgbClr val="FF0000"/>
                            </a:solidFill>
                            <a:latin typeface="Cambria Math" panose="02040503050406030204" pitchFamily="18" charset="0"/>
                          </a:rPr>
                          <m:t>𝑉</m:t>
                        </m:r>
                      </m:e>
                      <m:sub>
                        <m:r>
                          <a:rPr lang="en-US" sz="1100" b="0" i="1">
                            <a:solidFill>
                              <a:srgbClr val="FF0000"/>
                            </a:solidFill>
                            <a:latin typeface="Cambria Math" panose="02040503050406030204" pitchFamily="18" charset="0"/>
                          </a:rPr>
                          <m:t>𝑀</m:t>
                        </m:r>
                      </m:sub>
                    </m:sSub>
                  </m:oMath>
                </m:oMathPara>
              </a14:m>
              <a:endParaRPr lang="en-US" sz="1100">
                <a:solidFill>
                  <a:srgbClr val="FF0000"/>
                </a:solidFill>
              </a:endParaRPr>
            </a:p>
          </xdr:txBody>
        </xdr:sp>
      </mc:Choice>
      <mc:Fallback xmlns="">
        <xdr:sp macro="" textlink="">
          <xdr:nvSpPr>
            <xdr:cNvPr id="66" name="TextBox 65">
              <a:extLst>
                <a:ext uri="{FF2B5EF4-FFF2-40B4-BE49-F238E27FC236}">
                  <a16:creationId xmlns:a16="http://schemas.microsoft.com/office/drawing/2014/main" id="{C640042A-CC76-B6C7-D504-EC1355402889}"/>
                </a:ext>
              </a:extLst>
            </xdr:cNvPr>
            <xdr:cNvSpPr txBox="1"/>
          </xdr:nvSpPr>
          <xdr:spPr>
            <a:xfrm>
              <a:off x="13578191345" y="40877957"/>
              <a:ext cx="1129917"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solidFill>
                    <a:srgbClr val="FF0000"/>
                  </a:solidFill>
                  <a:latin typeface="Cambria Math" panose="02040503050406030204" pitchFamily="18" charset="0"/>
                </a:rPr>
                <a:t>𝑁𝑃𝑉_𝑀</a:t>
              </a:r>
              <a:endParaRPr lang="en-US" sz="1100">
                <a:solidFill>
                  <a:srgbClr val="FF0000"/>
                </a:solidFill>
              </a:endParaRPr>
            </a:p>
          </xdr:txBody>
        </xdr:sp>
      </mc:Fallback>
    </mc:AlternateContent>
    <xdr:clientData/>
  </xdr:oneCellAnchor>
  <xdr:oneCellAnchor>
    <xdr:from>
      <xdr:col>1</xdr:col>
      <xdr:colOff>67366</xdr:colOff>
      <xdr:row>198</xdr:row>
      <xdr:rowOff>109725</xdr:rowOff>
    </xdr:from>
    <xdr:ext cx="1129917" cy="173702"/>
    <mc:AlternateContent xmlns:mc="http://schemas.openxmlformats.org/markup-compatibility/2006" xmlns:a14="http://schemas.microsoft.com/office/drawing/2010/main">
      <mc:Choice Requires="a14">
        <xdr:sp macro="" textlink="">
          <xdr:nvSpPr>
            <xdr:cNvPr id="67" name="TextBox 66">
              <a:extLst>
                <a:ext uri="{FF2B5EF4-FFF2-40B4-BE49-F238E27FC236}">
                  <a16:creationId xmlns:a16="http://schemas.microsoft.com/office/drawing/2014/main" id="{55B2D4E4-E343-2274-41B7-6B80435FB754}"/>
                </a:ext>
              </a:extLst>
            </xdr:cNvPr>
            <xdr:cNvSpPr txBox="1"/>
          </xdr:nvSpPr>
          <xdr:spPr>
            <a:xfrm>
              <a:off x="13482456572" y="41232183"/>
              <a:ext cx="1129917"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latin typeface="Cambria Math" panose="02040503050406030204" pitchFamily="18" charset="0"/>
                      </a:rPr>
                      <m:t>17.76%</m:t>
                    </m:r>
                  </m:oMath>
                </m:oMathPara>
              </a14:m>
              <a:endParaRPr lang="en-US" sz="1100"/>
            </a:p>
          </xdr:txBody>
        </xdr:sp>
      </mc:Choice>
      <mc:Fallback xmlns="">
        <xdr:sp macro="" textlink="">
          <xdr:nvSpPr>
            <xdr:cNvPr id="67" name="TextBox 66">
              <a:extLst>
                <a:ext uri="{FF2B5EF4-FFF2-40B4-BE49-F238E27FC236}">
                  <a16:creationId xmlns:a16="http://schemas.microsoft.com/office/drawing/2014/main" id="{55B2D4E4-E343-2274-41B7-6B80435FB754}"/>
                </a:ext>
              </a:extLst>
            </xdr:cNvPr>
            <xdr:cNvSpPr txBox="1"/>
          </xdr:nvSpPr>
          <xdr:spPr>
            <a:xfrm>
              <a:off x="13482456572" y="41232183"/>
              <a:ext cx="1129917"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17.76%</a:t>
              </a:r>
              <a:endParaRPr lang="en-US" sz="1100"/>
            </a:p>
          </xdr:txBody>
        </xdr:sp>
      </mc:Fallback>
    </mc:AlternateContent>
    <xdr:clientData/>
  </xdr:oneCellAnchor>
  <xdr:twoCellAnchor>
    <xdr:from>
      <xdr:col>0</xdr:col>
      <xdr:colOff>574693</xdr:colOff>
      <xdr:row>195</xdr:row>
      <xdr:rowOff>99329</xdr:rowOff>
    </xdr:from>
    <xdr:to>
      <xdr:col>4</xdr:col>
      <xdr:colOff>418603</xdr:colOff>
      <xdr:row>199</xdr:row>
      <xdr:rowOff>101056</xdr:rowOff>
    </xdr:to>
    <xdr:sp macro="" textlink="">
      <xdr:nvSpPr>
        <xdr:cNvPr id="68" name="Freeform 67">
          <a:extLst>
            <a:ext uri="{FF2B5EF4-FFF2-40B4-BE49-F238E27FC236}">
              <a16:creationId xmlns:a16="http://schemas.microsoft.com/office/drawing/2014/main" id="{5251FC47-58BC-BA5B-55F5-D609544A0645}"/>
            </a:ext>
          </a:extLst>
        </xdr:cNvPr>
        <xdr:cNvSpPr/>
      </xdr:nvSpPr>
      <xdr:spPr>
        <a:xfrm>
          <a:off x="13480659777" y="40604525"/>
          <a:ext cx="3242402" cy="824743"/>
        </a:xfrm>
        <a:custGeom>
          <a:avLst/>
          <a:gdLst>
            <a:gd name="connsiteX0" fmla="*/ 0 w 3242402"/>
            <a:gd name="connsiteY0" fmla="*/ 0 h 824743"/>
            <a:gd name="connsiteX1" fmla="*/ 2327150 w 3242402"/>
            <a:gd name="connsiteY1" fmla="*/ 695307 h 824743"/>
            <a:gd name="connsiteX2" fmla="*/ 3242402 w 3242402"/>
            <a:gd name="connsiteY2" fmla="*/ 823017 h 824743"/>
          </a:gdLst>
          <a:ahLst/>
          <a:cxnLst>
            <a:cxn ang="0">
              <a:pos x="connsiteX0" y="connsiteY0"/>
            </a:cxn>
            <a:cxn ang="0">
              <a:pos x="connsiteX1" y="connsiteY1"/>
            </a:cxn>
            <a:cxn ang="0">
              <a:pos x="connsiteX2" y="connsiteY2"/>
            </a:cxn>
          </a:cxnLst>
          <a:rect l="l" t="t" r="r" b="b"/>
          <a:pathLst>
            <a:path w="3242402" h="824743">
              <a:moveTo>
                <a:pt x="0" y="0"/>
              </a:moveTo>
              <a:cubicBezTo>
                <a:pt x="893375" y="279069"/>
                <a:pt x="1786750" y="558138"/>
                <a:pt x="2327150" y="695307"/>
              </a:cubicBezTo>
              <a:cubicBezTo>
                <a:pt x="2867550" y="832476"/>
                <a:pt x="3054976" y="827746"/>
                <a:pt x="3242402" y="823017"/>
              </a:cubicBezTo>
            </a:path>
          </a:pathLst>
        </a:custGeom>
      </xdr:spPr>
      <xdr:style>
        <a:lnRef idx="3">
          <a:schemeClr val="accent6"/>
        </a:lnRef>
        <a:fillRef idx="0">
          <a:schemeClr val="accent6"/>
        </a:fillRef>
        <a:effectRef idx="2">
          <a:schemeClr val="accent6"/>
        </a:effectRef>
        <a:fontRef idx="minor">
          <a:schemeClr val="tx1"/>
        </a:fontRef>
      </xdr:style>
      <xdr:txBody>
        <a:bodyPr vertOverflow="clip" horzOverflow="clip" rtlCol="0" anchor="t"/>
        <a:lstStyle/>
        <a:p>
          <a:pPr algn="r" rtl="1"/>
          <a:endParaRPr lang="en-US" sz="1100"/>
        </a:p>
      </xdr:txBody>
    </xdr:sp>
    <xdr:clientData/>
  </xdr:twoCellAnchor>
  <xdr:oneCellAnchor>
    <xdr:from>
      <xdr:col>0</xdr:col>
      <xdr:colOff>226368</xdr:colOff>
      <xdr:row>198</xdr:row>
      <xdr:rowOff>115066</xdr:rowOff>
    </xdr:from>
    <xdr:ext cx="1129917" cy="173702"/>
    <mc:AlternateContent xmlns:mc="http://schemas.openxmlformats.org/markup-compatibility/2006" xmlns:a14="http://schemas.microsoft.com/office/drawing/2010/main">
      <mc:Choice Requires="a14">
        <xdr:sp macro="" textlink="">
          <xdr:nvSpPr>
            <xdr:cNvPr id="69" name="TextBox 68">
              <a:extLst>
                <a:ext uri="{FF2B5EF4-FFF2-40B4-BE49-F238E27FC236}">
                  <a16:creationId xmlns:a16="http://schemas.microsoft.com/office/drawing/2014/main" id="{B0446BD8-7B9F-9C21-6F11-CEA7A4B78828}"/>
                </a:ext>
              </a:extLst>
            </xdr:cNvPr>
            <xdr:cNvSpPr txBox="1"/>
          </xdr:nvSpPr>
          <xdr:spPr>
            <a:xfrm>
              <a:off x="13483120587" y="41237524"/>
              <a:ext cx="1129917"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solidFill>
                          <a:srgbClr val="00B050"/>
                        </a:solidFill>
                        <a:latin typeface="Cambria Math" panose="02040503050406030204" pitchFamily="18" charset="0"/>
                      </a:rPr>
                      <m:t>𝑁𝑃</m:t>
                    </m:r>
                    <m:sSub>
                      <m:sSubPr>
                        <m:ctrlPr>
                          <a:rPr lang="en-US" sz="1100" b="0" i="1">
                            <a:solidFill>
                              <a:srgbClr val="00B050"/>
                            </a:solidFill>
                            <a:latin typeface="Cambria Math" panose="02040503050406030204" pitchFamily="18" charset="0"/>
                          </a:rPr>
                        </m:ctrlPr>
                      </m:sSubPr>
                      <m:e>
                        <m:r>
                          <a:rPr lang="en-US" sz="1100" b="0" i="1">
                            <a:solidFill>
                              <a:srgbClr val="00B050"/>
                            </a:solidFill>
                            <a:latin typeface="Cambria Math" panose="02040503050406030204" pitchFamily="18" charset="0"/>
                          </a:rPr>
                          <m:t>𝑉</m:t>
                        </m:r>
                      </m:e>
                      <m:sub>
                        <m:r>
                          <a:rPr lang="en-US" sz="1100" b="0" i="1">
                            <a:solidFill>
                              <a:srgbClr val="00B050"/>
                            </a:solidFill>
                            <a:latin typeface="Cambria Math" panose="02040503050406030204" pitchFamily="18" charset="0"/>
                          </a:rPr>
                          <m:t>𝑁</m:t>
                        </m:r>
                      </m:sub>
                    </m:sSub>
                  </m:oMath>
                </m:oMathPara>
              </a14:m>
              <a:endParaRPr lang="en-US" sz="1100">
                <a:solidFill>
                  <a:srgbClr val="00B050"/>
                </a:solidFill>
              </a:endParaRPr>
            </a:p>
          </xdr:txBody>
        </xdr:sp>
      </mc:Choice>
      <mc:Fallback xmlns="">
        <xdr:sp macro="" textlink="">
          <xdr:nvSpPr>
            <xdr:cNvPr id="69" name="TextBox 68">
              <a:extLst>
                <a:ext uri="{FF2B5EF4-FFF2-40B4-BE49-F238E27FC236}">
                  <a16:creationId xmlns:a16="http://schemas.microsoft.com/office/drawing/2014/main" id="{B0446BD8-7B9F-9C21-6F11-CEA7A4B78828}"/>
                </a:ext>
              </a:extLst>
            </xdr:cNvPr>
            <xdr:cNvSpPr txBox="1"/>
          </xdr:nvSpPr>
          <xdr:spPr>
            <a:xfrm>
              <a:off x="13483120587" y="41237524"/>
              <a:ext cx="1129917"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solidFill>
                    <a:srgbClr val="00B050"/>
                  </a:solidFill>
                  <a:latin typeface="Cambria Math" panose="02040503050406030204" pitchFamily="18" charset="0"/>
                </a:rPr>
                <a:t>𝑁𝑃𝑉_𝑁</a:t>
              </a:r>
              <a:endParaRPr lang="en-US" sz="1100">
                <a:solidFill>
                  <a:srgbClr val="00B050"/>
                </a:solidFill>
              </a:endParaRPr>
            </a:p>
          </xdr:txBody>
        </xdr:sp>
      </mc:Fallback>
    </mc:AlternateContent>
    <xdr:clientData/>
  </xdr:oneCellAnchor>
  <xdr:twoCellAnchor>
    <xdr:from>
      <xdr:col>3</xdr:col>
      <xdr:colOff>4220</xdr:colOff>
      <xdr:row>213</xdr:row>
      <xdr:rowOff>47723</xdr:rowOff>
    </xdr:from>
    <xdr:to>
      <xdr:col>3</xdr:col>
      <xdr:colOff>726115</xdr:colOff>
      <xdr:row>216</xdr:row>
      <xdr:rowOff>14301</xdr:rowOff>
    </xdr:to>
    <xdr:cxnSp macro="">
      <xdr:nvCxnSpPr>
        <xdr:cNvPr id="70" name="Straight Arrow Connector 69">
          <a:extLst>
            <a:ext uri="{FF2B5EF4-FFF2-40B4-BE49-F238E27FC236}">
              <a16:creationId xmlns:a16="http://schemas.microsoft.com/office/drawing/2014/main" id="{533EEB3F-A620-ACC6-3022-1618DEA76018}"/>
            </a:ext>
          </a:extLst>
        </xdr:cNvPr>
        <xdr:cNvCxnSpPr/>
      </xdr:nvCxnSpPr>
      <xdr:spPr>
        <a:xfrm flipH="1">
          <a:off x="13481281707" y="44256494"/>
          <a:ext cx="721895" cy="583841"/>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234134</xdr:colOff>
      <xdr:row>213</xdr:row>
      <xdr:rowOff>28380</xdr:rowOff>
    </xdr:from>
    <xdr:to>
      <xdr:col>2</xdr:col>
      <xdr:colOff>780446</xdr:colOff>
      <xdr:row>216</xdr:row>
      <xdr:rowOff>42569</xdr:rowOff>
    </xdr:to>
    <xdr:cxnSp macro="">
      <xdr:nvCxnSpPr>
        <xdr:cNvPr id="71" name="Straight Arrow Connector 70">
          <a:extLst>
            <a:ext uri="{FF2B5EF4-FFF2-40B4-BE49-F238E27FC236}">
              <a16:creationId xmlns:a16="http://schemas.microsoft.com/office/drawing/2014/main" id="{46BDBC2B-F63B-C304-5AD9-DA2A9B55EE83}"/>
            </a:ext>
          </a:extLst>
        </xdr:cNvPr>
        <xdr:cNvCxnSpPr/>
      </xdr:nvCxnSpPr>
      <xdr:spPr>
        <a:xfrm>
          <a:off x="13482050392" y="44237151"/>
          <a:ext cx="1369329" cy="63145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148995</xdr:colOff>
      <xdr:row>226</xdr:row>
      <xdr:rowOff>177374</xdr:rowOff>
    </xdr:from>
    <xdr:to>
      <xdr:col>5</xdr:col>
      <xdr:colOff>695308</xdr:colOff>
      <xdr:row>228</xdr:row>
      <xdr:rowOff>7094</xdr:rowOff>
    </xdr:to>
    <xdr:sp macro="" textlink="">
      <xdr:nvSpPr>
        <xdr:cNvPr id="74" name="Right Arrow 73">
          <a:extLst>
            <a:ext uri="{FF2B5EF4-FFF2-40B4-BE49-F238E27FC236}">
              <a16:creationId xmlns:a16="http://schemas.microsoft.com/office/drawing/2014/main" id="{4B37A3A1-834B-6241-7AB9-889ECEC92080}"/>
            </a:ext>
          </a:extLst>
        </xdr:cNvPr>
        <xdr:cNvSpPr/>
      </xdr:nvSpPr>
      <xdr:spPr>
        <a:xfrm>
          <a:off x="13479560056" y="47060949"/>
          <a:ext cx="546313" cy="241229"/>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3</xdr:col>
      <xdr:colOff>383129</xdr:colOff>
      <xdr:row>226</xdr:row>
      <xdr:rowOff>205754</xdr:rowOff>
    </xdr:from>
    <xdr:to>
      <xdr:col>4</xdr:col>
      <xdr:colOff>0</xdr:colOff>
      <xdr:row>228</xdr:row>
      <xdr:rowOff>35474</xdr:rowOff>
    </xdr:to>
    <xdr:sp macro="" textlink="">
      <xdr:nvSpPr>
        <xdr:cNvPr id="75" name="Right Arrow 74">
          <a:extLst>
            <a:ext uri="{FF2B5EF4-FFF2-40B4-BE49-F238E27FC236}">
              <a16:creationId xmlns:a16="http://schemas.microsoft.com/office/drawing/2014/main" id="{FE17684B-4797-7EB9-8258-57356C3EE345}"/>
            </a:ext>
          </a:extLst>
        </xdr:cNvPr>
        <xdr:cNvSpPr/>
      </xdr:nvSpPr>
      <xdr:spPr>
        <a:xfrm>
          <a:off x="13481078380" y="47089329"/>
          <a:ext cx="546313" cy="241229"/>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3</xdr:col>
      <xdr:colOff>46082</xdr:colOff>
      <xdr:row>198</xdr:row>
      <xdr:rowOff>138105</xdr:rowOff>
    </xdr:from>
    <xdr:ext cx="1129917" cy="173702"/>
    <mc:AlternateContent xmlns:mc="http://schemas.openxmlformats.org/markup-compatibility/2006" xmlns:a14="http://schemas.microsoft.com/office/drawing/2010/main">
      <mc:Choice Requires="a14">
        <xdr:sp macro="" textlink="">
          <xdr:nvSpPr>
            <xdr:cNvPr id="76" name="TextBox 75">
              <a:extLst>
                <a:ext uri="{FF2B5EF4-FFF2-40B4-BE49-F238E27FC236}">
                  <a16:creationId xmlns:a16="http://schemas.microsoft.com/office/drawing/2014/main" id="{01B3E160-EB7D-4736-245A-0F9FF743D264}"/>
                </a:ext>
              </a:extLst>
            </xdr:cNvPr>
            <xdr:cNvSpPr txBox="1"/>
          </xdr:nvSpPr>
          <xdr:spPr>
            <a:xfrm>
              <a:off x="13480831823" y="41260563"/>
              <a:ext cx="1129917"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solidFill>
                          <a:srgbClr val="0070C0"/>
                        </a:solidFill>
                        <a:latin typeface="Cambria Math" panose="02040503050406030204" pitchFamily="18" charset="0"/>
                      </a:rPr>
                      <m:t>8.512%</m:t>
                    </m:r>
                  </m:oMath>
                </m:oMathPara>
              </a14:m>
              <a:endParaRPr lang="en-US" sz="1100">
                <a:solidFill>
                  <a:srgbClr val="0070C0"/>
                </a:solidFill>
              </a:endParaRPr>
            </a:p>
          </xdr:txBody>
        </xdr:sp>
      </mc:Choice>
      <mc:Fallback xmlns="">
        <xdr:sp macro="" textlink="">
          <xdr:nvSpPr>
            <xdr:cNvPr id="76" name="TextBox 75">
              <a:extLst>
                <a:ext uri="{FF2B5EF4-FFF2-40B4-BE49-F238E27FC236}">
                  <a16:creationId xmlns:a16="http://schemas.microsoft.com/office/drawing/2014/main" id="{01B3E160-EB7D-4736-245A-0F9FF743D264}"/>
                </a:ext>
              </a:extLst>
            </xdr:cNvPr>
            <xdr:cNvSpPr txBox="1"/>
          </xdr:nvSpPr>
          <xdr:spPr>
            <a:xfrm>
              <a:off x="13480831823" y="41260563"/>
              <a:ext cx="1129917"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solidFill>
                    <a:srgbClr val="0070C0"/>
                  </a:solidFill>
                  <a:latin typeface="Cambria Math" panose="02040503050406030204" pitchFamily="18" charset="0"/>
                </a:rPr>
                <a:t>8.512%</a:t>
              </a:r>
              <a:endParaRPr lang="en-US" sz="1100">
                <a:solidFill>
                  <a:srgbClr val="0070C0"/>
                </a:solidFill>
              </a:endParaRPr>
            </a:p>
          </xdr:txBody>
        </xdr:sp>
      </mc:Fallback>
    </mc:AlternateContent>
    <xdr:clientData/>
  </xdr:oneCellAnchor>
  <xdr:twoCellAnchor>
    <xdr:from>
      <xdr:col>3</xdr:col>
      <xdr:colOff>723688</xdr:colOff>
      <xdr:row>196</xdr:row>
      <xdr:rowOff>99329</xdr:rowOff>
    </xdr:from>
    <xdr:to>
      <xdr:col>3</xdr:col>
      <xdr:colOff>723688</xdr:colOff>
      <xdr:row>198</xdr:row>
      <xdr:rowOff>14190</xdr:rowOff>
    </xdr:to>
    <xdr:cxnSp macro="">
      <xdr:nvCxnSpPr>
        <xdr:cNvPr id="78" name="Straight Connector 77">
          <a:extLst>
            <a:ext uri="{FF2B5EF4-FFF2-40B4-BE49-F238E27FC236}">
              <a16:creationId xmlns:a16="http://schemas.microsoft.com/office/drawing/2014/main" id="{A0828D04-DF2D-5EE5-35CA-29C13191CAC7}"/>
            </a:ext>
          </a:extLst>
        </xdr:cNvPr>
        <xdr:cNvCxnSpPr/>
      </xdr:nvCxnSpPr>
      <xdr:spPr>
        <a:xfrm>
          <a:off x="13481284134" y="40810279"/>
          <a:ext cx="0" cy="326369"/>
        </a:xfrm>
        <a:prstGeom prst="line">
          <a:avLst/>
        </a:prstGeom>
        <a:ln>
          <a:prstDash val="sysDot"/>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708675</xdr:colOff>
      <xdr:row>199</xdr:row>
      <xdr:rowOff>91526</xdr:rowOff>
    </xdr:from>
    <xdr:to>
      <xdr:col>3</xdr:col>
      <xdr:colOff>709498</xdr:colOff>
      <xdr:row>200</xdr:row>
      <xdr:rowOff>113520</xdr:rowOff>
    </xdr:to>
    <xdr:cxnSp macro="">
      <xdr:nvCxnSpPr>
        <xdr:cNvPr id="80" name="Straight Arrow Connector 79">
          <a:extLst>
            <a:ext uri="{FF2B5EF4-FFF2-40B4-BE49-F238E27FC236}">
              <a16:creationId xmlns:a16="http://schemas.microsoft.com/office/drawing/2014/main" id="{BE1408D4-5381-28A3-9911-69F55DDBD692}"/>
            </a:ext>
          </a:extLst>
        </xdr:cNvPr>
        <xdr:cNvCxnSpPr/>
      </xdr:nvCxnSpPr>
      <xdr:spPr>
        <a:xfrm flipH="1">
          <a:off x="13481298324" y="41419738"/>
          <a:ext cx="823" cy="22774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333464</xdr:colOff>
      <xdr:row>190</xdr:row>
      <xdr:rowOff>70948</xdr:rowOff>
    </xdr:from>
    <xdr:to>
      <xdr:col>3</xdr:col>
      <xdr:colOff>319275</xdr:colOff>
      <xdr:row>195</xdr:row>
      <xdr:rowOff>198658</xdr:rowOff>
    </xdr:to>
    <xdr:sp macro="" textlink="">
      <xdr:nvSpPr>
        <xdr:cNvPr id="83" name="Rounded Rectangular Callout 82">
          <a:extLst>
            <a:ext uri="{FF2B5EF4-FFF2-40B4-BE49-F238E27FC236}">
              <a16:creationId xmlns:a16="http://schemas.microsoft.com/office/drawing/2014/main" id="{F956EF7B-3408-D28A-A699-511BD8BC12E1}"/>
            </a:ext>
          </a:extLst>
        </xdr:cNvPr>
        <xdr:cNvSpPr/>
      </xdr:nvSpPr>
      <xdr:spPr>
        <a:xfrm>
          <a:off x="13481688547" y="39547373"/>
          <a:ext cx="2454861" cy="1156481"/>
        </a:xfrm>
        <a:prstGeom prst="wedgeRoundRectCallout">
          <a:avLst>
            <a:gd name="adj1" fmla="val -64185"/>
            <a:gd name="adj2" fmla="val 5455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000"/>
            <a:t>כאשר מחיר ההון נמוך מ-8.512% יועדף פרויקט המחשב (אדום) </a:t>
          </a:r>
        </a:p>
        <a:p>
          <a:pPr algn="r" rtl="1"/>
          <a:r>
            <a:rPr lang="he-IL" sz="1000"/>
            <a:t>כאשר מחיר ההון גבוה מ-8.512% יועדף פרויקט הנקניק (ירוק)</a:t>
          </a:r>
        </a:p>
        <a:p>
          <a:pPr algn="r" rtl="1"/>
          <a:r>
            <a:rPr lang="he-IL" sz="1000"/>
            <a:t>כאשר מחיר ההון</a:t>
          </a:r>
          <a:r>
            <a:rPr lang="he-IL" sz="1000" baseline="0"/>
            <a:t> הוא 8.512% קיימת אדישות בין הפרויקטים</a:t>
          </a:r>
          <a:endParaRPr lang="en-US" sz="1000"/>
        </a:p>
      </xdr:txBody>
    </xdr:sp>
    <xdr:clientData/>
  </xdr:twoCellAnchor>
  <xdr:twoCellAnchor>
    <xdr:from>
      <xdr:col>8</xdr:col>
      <xdr:colOff>400137</xdr:colOff>
      <xdr:row>322</xdr:row>
      <xdr:rowOff>28996</xdr:rowOff>
    </xdr:from>
    <xdr:to>
      <xdr:col>8</xdr:col>
      <xdr:colOff>405936</xdr:colOff>
      <xdr:row>324</xdr:row>
      <xdr:rowOff>179772</xdr:rowOff>
    </xdr:to>
    <xdr:cxnSp macro="">
      <xdr:nvCxnSpPr>
        <xdr:cNvPr id="85" name="Straight Arrow Connector 84">
          <a:extLst>
            <a:ext uri="{FF2B5EF4-FFF2-40B4-BE49-F238E27FC236}">
              <a16:creationId xmlns:a16="http://schemas.microsoft.com/office/drawing/2014/main" id="{3F7C750A-F963-7BF3-35F9-5BCEBD601007}"/>
            </a:ext>
          </a:extLst>
        </xdr:cNvPr>
        <xdr:cNvCxnSpPr/>
      </xdr:nvCxnSpPr>
      <xdr:spPr>
        <a:xfrm>
          <a:off x="13484744018" y="65958813"/>
          <a:ext cx="5799" cy="55671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678492</xdr:colOff>
      <xdr:row>322</xdr:row>
      <xdr:rowOff>52193</xdr:rowOff>
    </xdr:from>
    <xdr:to>
      <xdr:col>7</xdr:col>
      <xdr:colOff>684291</xdr:colOff>
      <xdr:row>328</xdr:row>
      <xdr:rowOff>197169</xdr:rowOff>
    </xdr:to>
    <xdr:cxnSp macro="">
      <xdr:nvCxnSpPr>
        <xdr:cNvPr id="86" name="Straight Arrow Connector 85">
          <a:extLst>
            <a:ext uri="{FF2B5EF4-FFF2-40B4-BE49-F238E27FC236}">
              <a16:creationId xmlns:a16="http://schemas.microsoft.com/office/drawing/2014/main" id="{F832B4DA-41E2-616D-E748-01E6076FA514}"/>
            </a:ext>
          </a:extLst>
        </xdr:cNvPr>
        <xdr:cNvCxnSpPr/>
      </xdr:nvCxnSpPr>
      <xdr:spPr>
        <a:xfrm>
          <a:off x="13485289133" y="65982010"/>
          <a:ext cx="5799" cy="136278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858264</xdr:colOff>
      <xdr:row>431</xdr:row>
      <xdr:rowOff>92785</xdr:rowOff>
    </xdr:from>
    <xdr:to>
      <xdr:col>4</xdr:col>
      <xdr:colOff>266757</xdr:colOff>
      <xdr:row>442</xdr:row>
      <xdr:rowOff>121781</xdr:rowOff>
    </xdr:to>
    <xdr:sp macro="" textlink="">
      <xdr:nvSpPr>
        <xdr:cNvPr id="12" name="Left Brace 11">
          <a:extLst>
            <a:ext uri="{FF2B5EF4-FFF2-40B4-BE49-F238E27FC236}">
              <a16:creationId xmlns:a16="http://schemas.microsoft.com/office/drawing/2014/main" id="{63350B0B-0CF4-8064-770A-AEAD4C064A6D}"/>
            </a:ext>
          </a:extLst>
        </xdr:cNvPr>
        <xdr:cNvSpPr/>
      </xdr:nvSpPr>
      <xdr:spPr>
        <a:xfrm>
          <a:off x="13488240868" y="88238904"/>
          <a:ext cx="336347" cy="2261644"/>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2</xdr:col>
      <xdr:colOff>620568</xdr:colOff>
      <xdr:row>497</xdr:row>
      <xdr:rowOff>139507</xdr:rowOff>
    </xdr:from>
    <xdr:to>
      <xdr:col>3</xdr:col>
      <xdr:colOff>24052</xdr:colOff>
      <xdr:row>503</xdr:row>
      <xdr:rowOff>96213</xdr:rowOff>
    </xdr:to>
    <xdr:sp macro="" textlink="">
      <xdr:nvSpPr>
        <xdr:cNvPr id="45" name="Right Brace 44">
          <a:extLst>
            <a:ext uri="{FF2B5EF4-FFF2-40B4-BE49-F238E27FC236}">
              <a16:creationId xmlns:a16="http://schemas.microsoft.com/office/drawing/2014/main" id="{C4824B0D-117E-59D3-06CB-528334644AF5}"/>
            </a:ext>
          </a:extLst>
        </xdr:cNvPr>
        <xdr:cNvSpPr/>
      </xdr:nvSpPr>
      <xdr:spPr>
        <a:xfrm>
          <a:off x="13554176023" y="99141780"/>
          <a:ext cx="230909" cy="1168978"/>
        </a:xfrm>
        <a:prstGeom prst="righ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5</xdr:col>
      <xdr:colOff>76969</xdr:colOff>
      <xdr:row>513</xdr:row>
      <xdr:rowOff>202045</xdr:rowOff>
    </xdr:from>
    <xdr:to>
      <xdr:col>5</xdr:col>
      <xdr:colOff>279015</xdr:colOff>
      <xdr:row>515</xdr:row>
      <xdr:rowOff>57727</xdr:rowOff>
    </xdr:to>
    <xdr:sp macro="" textlink="">
      <xdr:nvSpPr>
        <xdr:cNvPr id="47" name="Down Arrow 46">
          <a:extLst>
            <a:ext uri="{FF2B5EF4-FFF2-40B4-BE49-F238E27FC236}">
              <a16:creationId xmlns:a16="http://schemas.microsoft.com/office/drawing/2014/main" id="{8212A14D-6857-BCA2-A3D7-550DDE42EEFD}"/>
            </a:ext>
          </a:extLst>
        </xdr:cNvPr>
        <xdr:cNvSpPr/>
      </xdr:nvSpPr>
      <xdr:spPr>
        <a:xfrm>
          <a:off x="13552165189" y="102437045"/>
          <a:ext cx="202046" cy="259773"/>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3</xdr:col>
      <xdr:colOff>601325</xdr:colOff>
      <xdr:row>516</xdr:row>
      <xdr:rowOff>197235</xdr:rowOff>
    </xdr:from>
    <xdr:to>
      <xdr:col>3</xdr:col>
      <xdr:colOff>861098</xdr:colOff>
      <xdr:row>517</xdr:row>
      <xdr:rowOff>197235</xdr:rowOff>
    </xdr:to>
    <xdr:sp macro="" textlink="">
      <xdr:nvSpPr>
        <xdr:cNvPr id="52" name="Down Arrow 51">
          <a:extLst>
            <a:ext uri="{FF2B5EF4-FFF2-40B4-BE49-F238E27FC236}">
              <a16:creationId xmlns:a16="http://schemas.microsoft.com/office/drawing/2014/main" id="{7392D3F5-8261-6809-9BC5-524781A8D5D7}"/>
            </a:ext>
          </a:extLst>
        </xdr:cNvPr>
        <xdr:cNvSpPr/>
      </xdr:nvSpPr>
      <xdr:spPr>
        <a:xfrm rot="16200000">
          <a:off x="13553367841" y="103009507"/>
          <a:ext cx="202046" cy="259773"/>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7</xdr:col>
      <xdr:colOff>532589</xdr:colOff>
      <xdr:row>522</xdr:row>
      <xdr:rowOff>137480</xdr:rowOff>
    </xdr:from>
    <xdr:to>
      <xdr:col>7</xdr:col>
      <xdr:colOff>734635</xdr:colOff>
      <xdr:row>530</xdr:row>
      <xdr:rowOff>49207</xdr:rowOff>
    </xdr:to>
    <xdr:sp macro="" textlink="">
      <xdr:nvSpPr>
        <xdr:cNvPr id="60" name="Down Arrow 59">
          <a:extLst>
            <a:ext uri="{FF2B5EF4-FFF2-40B4-BE49-F238E27FC236}">
              <a16:creationId xmlns:a16="http://schemas.microsoft.com/office/drawing/2014/main" id="{2E9DC222-154B-4AF7-EDB5-40E7E5467713}"/>
            </a:ext>
          </a:extLst>
        </xdr:cNvPr>
        <xdr:cNvSpPr/>
      </xdr:nvSpPr>
      <xdr:spPr>
        <a:xfrm rot="19111905">
          <a:off x="13549992183" y="104205321"/>
          <a:ext cx="202046" cy="1542522"/>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editAs="oneCell">
    <xdr:from>
      <xdr:col>7</xdr:col>
      <xdr:colOff>149629</xdr:colOff>
      <xdr:row>519</xdr:row>
      <xdr:rowOff>19242</xdr:rowOff>
    </xdr:from>
    <xdr:to>
      <xdr:col>7</xdr:col>
      <xdr:colOff>622107</xdr:colOff>
      <xdr:row>521</xdr:row>
      <xdr:rowOff>2117</xdr:rowOff>
    </xdr:to>
    <xdr:pic>
      <xdr:nvPicPr>
        <xdr:cNvPr id="63" name="Picture 62">
          <a:extLst>
            <a:ext uri="{FF2B5EF4-FFF2-40B4-BE49-F238E27FC236}">
              <a16:creationId xmlns:a16="http://schemas.microsoft.com/office/drawing/2014/main" id="{A1C98E65-53E4-2468-DED9-5042C9A5A3E7}"/>
            </a:ext>
          </a:extLst>
        </xdr:cNvPr>
        <xdr:cNvPicPr>
          <a:picLocks noChangeAspect="1"/>
        </xdr:cNvPicPr>
      </xdr:nvPicPr>
      <xdr:blipFill>
        <a:blip xmlns:r="http://schemas.openxmlformats.org/officeDocument/2006/relationships" r:embed="rId7"/>
        <a:stretch>
          <a:fillRect/>
        </a:stretch>
      </xdr:blipFill>
      <xdr:spPr>
        <a:xfrm>
          <a:off x="13550104711" y="103466515"/>
          <a:ext cx="472478" cy="401397"/>
        </a:xfrm>
        <a:prstGeom prst="rect">
          <a:avLst/>
        </a:prstGeom>
      </xdr:spPr>
    </xdr:pic>
    <xdr:clientData/>
  </xdr:twoCellAnchor>
  <xdr:twoCellAnchor>
    <xdr:from>
      <xdr:col>4</xdr:col>
      <xdr:colOff>428122</xdr:colOff>
      <xdr:row>524</xdr:row>
      <xdr:rowOff>28863</xdr:rowOff>
    </xdr:from>
    <xdr:to>
      <xdr:col>7</xdr:col>
      <xdr:colOff>471598</xdr:colOff>
      <xdr:row>536</xdr:row>
      <xdr:rowOff>110644</xdr:rowOff>
    </xdr:to>
    <xdr:sp macro="" textlink="">
      <xdr:nvSpPr>
        <xdr:cNvPr id="64" name="Freeform 63">
          <a:extLst>
            <a:ext uri="{FF2B5EF4-FFF2-40B4-BE49-F238E27FC236}">
              <a16:creationId xmlns:a16="http://schemas.microsoft.com/office/drawing/2014/main" id="{004F54BC-4BB9-CACA-A52B-EADD75C2DB0E}"/>
            </a:ext>
          </a:extLst>
        </xdr:cNvPr>
        <xdr:cNvSpPr/>
      </xdr:nvSpPr>
      <xdr:spPr>
        <a:xfrm>
          <a:off x="13550255220" y="104515227"/>
          <a:ext cx="2588286" cy="2506326"/>
        </a:xfrm>
        <a:custGeom>
          <a:avLst/>
          <a:gdLst>
            <a:gd name="connsiteX0" fmla="*/ 2121636 w 2588286"/>
            <a:gd name="connsiteY0" fmla="*/ 2506326 h 2506326"/>
            <a:gd name="connsiteX1" fmla="*/ 2468000 w 2588286"/>
            <a:gd name="connsiteY1" fmla="*/ 1125682 h 2506326"/>
            <a:gd name="connsiteX2" fmla="*/ 308038 w 2588286"/>
            <a:gd name="connsiteY2" fmla="*/ 298258 h 2506326"/>
            <a:gd name="connsiteX3" fmla="*/ 62697 w 2588286"/>
            <a:gd name="connsiteY3" fmla="*/ 0 h 2506326"/>
          </a:gdLst>
          <a:ahLst/>
          <a:cxnLst>
            <a:cxn ang="0">
              <a:pos x="connsiteX0" y="connsiteY0"/>
            </a:cxn>
            <a:cxn ang="0">
              <a:pos x="connsiteX1" y="connsiteY1"/>
            </a:cxn>
            <a:cxn ang="0">
              <a:pos x="connsiteX2" y="connsiteY2"/>
            </a:cxn>
            <a:cxn ang="0">
              <a:pos x="connsiteX3" y="connsiteY3"/>
            </a:cxn>
          </a:cxnLst>
          <a:rect l="l" t="t" r="r" b="b"/>
          <a:pathLst>
            <a:path w="2588286" h="2506326">
              <a:moveTo>
                <a:pt x="2121636" y="2506326"/>
              </a:moveTo>
              <a:cubicBezTo>
                <a:pt x="2445951" y="2000009"/>
                <a:pt x="2770266" y="1493693"/>
                <a:pt x="2468000" y="1125682"/>
              </a:cubicBezTo>
              <a:cubicBezTo>
                <a:pt x="2165734" y="757671"/>
                <a:pt x="708922" y="485872"/>
                <a:pt x="308038" y="298258"/>
              </a:cubicBezTo>
              <a:cubicBezTo>
                <a:pt x="-92846" y="110644"/>
                <a:pt x="-15075" y="55322"/>
                <a:pt x="62697" y="0"/>
              </a:cubicBezTo>
            </a:path>
          </a:pathLst>
        </a:custGeom>
        <a:noFill/>
        <a:ln>
          <a:headEnd type="none" w="med" len="med"/>
          <a:tailEnd type="triangle" w="med" len="med"/>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1</xdr:col>
      <xdr:colOff>572462</xdr:colOff>
      <xdr:row>580</xdr:row>
      <xdr:rowOff>177992</xdr:rowOff>
    </xdr:from>
    <xdr:to>
      <xdr:col>2</xdr:col>
      <xdr:colOff>19243</xdr:colOff>
      <xdr:row>583</xdr:row>
      <xdr:rowOff>33674</xdr:rowOff>
    </xdr:to>
    <xdr:sp macro="" textlink="">
      <xdr:nvSpPr>
        <xdr:cNvPr id="72" name="Left Brace 71">
          <a:extLst>
            <a:ext uri="{FF2B5EF4-FFF2-40B4-BE49-F238E27FC236}">
              <a16:creationId xmlns:a16="http://schemas.microsoft.com/office/drawing/2014/main" id="{4222491C-4664-E72F-2A1A-B1B6971DBDD8}"/>
            </a:ext>
          </a:extLst>
        </xdr:cNvPr>
        <xdr:cNvSpPr/>
      </xdr:nvSpPr>
      <xdr:spPr>
        <a:xfrm>
          <a:off x="13555287273" y="115978901"/>
          <a:ext cx="274205" cy="461818"/>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2</xdr:col>
      <xdr:colOff>423334</xdr:colOff>
      <xdr:row>581</xdr:row>
      <xdr:rowOff>187613</xdr:rowOff>
    </xdr:from>
    <xdr:to>
      <xdr:col>2</xdr:col>
      <xdr:colOff>774508</xdr:colOff>
      <xdr:row>582</xdr:row>
      <xdr:rowOff>62538</xdr:rowOff>
    </xdr:to>
    <xdr:sp macro="" textlink="">
      <xdr:nvSpPr>
        <xdr:cNvPr id="73" name="Left Arrow 72">
          <a:extLst>
            <a:ext uri="{FF2B5EF4-FFF2-40B4-BE49-F238E27FC236}">
              <a16:creationId xmlns:a16="http://schemas.microsoft.com/office/drawing/2014/main" id="{C40C9C7E-A486-4C54-9F74-12854202D0FD}"/>
            </a:ext>
          </a:extLst>
        </xdr:cNvPr>
        <xdr:cNvSpPr/>
      </xdr:nvSpPr>
      <xdr:spPr>
        <a:xfrm>
          <a:off x="13554532008" y="116190568"/>
          <a:ext cx="351174" cy="76970"/>
        </a:xfrm>
        <a:prstGeom prst="lef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6</xdr:col>
      <xdr:colOff>371572</xdr:colOff>
      <xdr:row>616</xdr:row>
      <xdr:rowOff>0</xdr:rowOff>
    </xdr:from>
    <xdr:to>
      <xdr:col>6</xdr:col>
      <xdr:colOff>576768</xdr:colOff>
      <xdr:row>616</xdr:row>
      <xdr:rowOff>205196</xdr:rowOff>
    </xdr:to>
    <xdr:sp macro="" textlink="">
      <xdr:nvSpPr>
        <xdr:cNvPr id="77" name="Down Arrow 76">
          <a:extLst>
            <a:ext uri="{FF2B5EF4-FFF2-40B4-BE49-F238E27FC236}">
              <a16:creationId xmlns:a16="http://schemas.microsoft.com/office/drawing/2014/main" id="{95AA5F82-FA71-7F58-FD50-04979ADD7D8D}"/>
            </a:ext>
          </a:extLst>
        </xdr:cNvPr>
        <xdr:cNvSpPr/>
      </xdr:nvSpPr>
      <xdr:spPr>
        <a:xfrm>
          <a:off x="13533086725" y="124837118"/>
          <a:ext cx="205196" cy="205196"/>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11</xdr:col>
      <xdr:colOff>188559</xdr:colOff>
      <xdr:row>622</xdr:row>
      <xdr:rowOff>11091</xdr:rowOff>
    </xdr:from>
    <xdr:to>
      <xdr:col>11</xdr:col>
      <xdr:colOff>393755</xdr:colOff>
      <xdr:row>623</xdr:row>
      <xdr:rowOff>11091</xdr:rowOff>
    </xdr:to>
    <xdr:sp macro="" textlink="">
      <xdr:nvSpPr>
        <xdr:cNvPr id="79" name="Down Arrow 78">
          <a:extLst>
            <a:ext uri="{FF2B5EF4-FFF2-40B4-BE49-F238E27FC236}">
              <a16:creationId xmlns:a16="http://schemas.microsoft.com/office/drawing/2014/main" id="{D5D60040-FDE6-FB16-6799-66D001C4D849}"/>
            </a:ext>
          </a:extLst>
        </xdr:cNvPr>
        <xdr:cNvSpPr/>
      </xdr:nvSpPr>
      <xdr:spPr>
        <a:xfrm rot="5400000">
          <a:off x="13529138079" y="126079388"/>
          <a:ext cx="205196" cy="205196"/>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10</xdr:col>
      <xdr:colOff>648865</xdr:colOff>
      <xdr:row>622</xdr:row>
      <xdr:rowOff>101340</xdr:rowOff>
    </xdr:from>
    <xdr:to>
      <xdr:col>17</xdr:col>
      <xdr:colOff>393756</xdr:colOff>
      <xdr:row>627</xdr:row>
      <xdr:rowOff>139103</xdr:rowOff>
    </xdr:to>
    <xdr:sp macro="" textlink="">
      <xdr:nvSpPr>
        <xdr:cNvPr id="81" name="Freeform 80">
          <a:extLst>
            <a:ext uri="{FF2B5EF4-FFF2-40B4-BE49-F238E27FC236}">
              <a16:creationId xmlns:a16="http://schemas.microsoft.com/office/drawing/2014/main" id="{AC720E05-396A-745C-C149-93B637053B97}"/>
            </a:ext>
          </a:extLst>
        </xdr:cNvPr>
        <xdr:cNvSpPr/>
      </xdr:nvSpPr>
      <xdr:spPr>
        <a:xfrm>
          <a:off x="13524180087" y="126169637"/>
          <a:ext cx="5529214" cy="1063745"/>
        </a:xfrm>
        <a:custGeom>
          <a:avLst/>
          <a:gdLst>
            <a:gd name="connsiteX0" fmla="*/ 0 w 5529214"/>
            <a:gd name="connsiteY0" fmla="*/ 652896 h 1063745"/>
            <a:gd name="connsiteX1" fmla="*/ 2911572 w 5529214"/>
            <a:gd name="connsiteY1" fmla="*/ 1063289 h 1063745"/>
            <a:gd name="connsiteX2" fmla="*/ 4824891 w 5529214"/>
            <a:gd name="connsiteY2" fmla="*/ 719446 h 1063745"/>
            <a:gd name="connsiteX3" fmla="*/ 5396114 w 5529214"/>
            <a:gd name="connsiteY3" fmla="*/ 92765 h 1063745"/>
            <a:gd name="connsiteX4" fmla="*/ 5529214 w 5529214"/>
            <a:gd name="connsiteY4" fmla="*/ 15123 h 1063745"/>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5529214" h="1063745">
              <a:moveTo>
                <a:pt x="0" y="652896"/>
              </a:moveTo>
              <a:cubicBezTo>
                <a:pt x="1053712" y="852546"/>
                <a:pt x="2107424" y="1052197"/>
                <a:pt x="2911572" y="1063289"/>
              </a:cubicBezTo>
              <a:cubicBezTo>
                <a:pt x="3715720" y="1074381"/>
                <a:pt x="4410801" y="881200"/>
                <a:pt x="4824891" y="719446"/>
              </a:cubicBezTo>
              <a:cubicBezTo>
                <a:pt x="5238981" y="557692"/>
                <a:pt x="5278727" y="210152"/>
                <a:pt x="5396114" y="92765"/>
              </a:cubicBezTo>
              <a:cubicBezTo>
                <a:pt x="5513501" y="-24622"/>
                <a:pt x="5521357" y="-4750"/>
                <a:pt x="5529214" y="15123"/>
              </a:cubicBezTo>
            </a:path>
          </a:pathLst>
        </a:custGeom>
        <a:noFill/>
        <a:ln>
          <a:headEnd type="none" w="med" len="med"/>
          <a:tailEnd type="triangle" w="med" len="med"/>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10</xdr:col>
      <xdr:colOff>698777</xdr:colOff>
      <xdr:row>632</xdr:row>
      <xdr:rowOff>133100</xdr:rowOff>
    </xdr:from>
    <xdr:to>
      <xdr:col>17</xdr:col>
      <xdr:colOff>454760</xdr:colOff>
      <xdr:row>639</xdr:row>
      <xdr:rowOff>205195</xdr:rowOff>
    </xdr:to>
    <xdr:sp macro="" textlink="">
      <xdr:nvSpPr>
        <xdr:cNvPr id="82" name="Freeform 81">
          <a:extLst>
            <a:ext uri="{FF2B5EF4-FFF2-40B4-BE49-F238E27FC236}">
              <a16:creationId xmlns:a16="http://schemas.microsoft.com/office/drawing/2014/main" id="{E5D6BF4C-CC15-3C4E-24DD-B4830C2753D4}"/>
            </a:ext>
          </a:extLst>
        </xdr:cNvPr>
        <xdr:cNvSpPr/>
      </xdr:nvSpPr>
      <xdr:spPr>
        <a:xfrm>
          <a:off x="13524119083" y="128253362"/>
          <a:ext cx="5540306" cy="1508471"/>
        </a:xfrm>
        <a:custGeom>
          <a:avLst/>
          <a:gdLst>
            <a:gd name="connsiteX0" fmla="*/ 0 w 5529214"/>
            <a:gd name="connsiteY0" fmla="*/ 652896 h 1063745"/>
            <a:gd name="connsiteX1" fmla="*/ 2911572 w 5529214"/>
            <a:gd name="connsiteY1" fmla="*/ 1063289 h 1063745"/>
            <a:gd name="connsiteX2" fmla="*/ 4824891 w 5529214"/>
            <a:gd name="connsiteY2" fmla="*/ 719446 h 1063745"/>
            <a:gd name="connsiteX3" fmla="*/ 5396114 w 5529214"/>
            <a:gd name="connsiteY3" fmla="*/ 92765 h 1063745"/>
            <a:gd name="connsiteX4" fmla="*/ 5529214 w 5529214"/>
            <a:gd name="connsiteY4" fmla="*/ 15123 h 1063745"/>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5529214" h="1063745">
              <a:moveTo>
                <a:pt x="0" y="652896"/>
              </a:moveTo>
              <a:cubicBezTo>
                <a:pt x="1053712" y="852546"/>
                <a:pt x="2107424" y="1052197"/>
                <a:pt x="2911572" y="1063289"/>
              </a:cubicBezTo>
              <a:cubicBezTo>
                <a:pt x="3715720" y="1074381"/>
                <a:pt x="4410801" y="881200"/>
                <a:pt x="4824891" y="719446"/>
              </a:cubicBezTo>
              <a:cubicBezTo>
                <a:pt x="5238981" y="557692"/>
                <a:pt x="5278727" y="210152"/>
                <a:pt x="5396114" y="92765"/>
              </a:cubicBezTo>
              <a:cubicBezTo>
                <a:pt x="5513501" y="-24622"/>
                <a:pt x="5521357" y="-4750"/>
                <a:pt x="5529214" y="15123"/>
              </a:cubicBezTo>
            </a:path>
          </a:pathLst>
        </a:custGeom>
        <a:noFill/>
        <a:ln>
          <a:headEnd type="none" w="med" len="med"/>
          <a:tailEnd type="triangle" w="med" len="med"/>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6</xdr:col>
      <xdr:colOff>671048</xdr:colOff>
      <xdr:row>631</xdr:row>
      <xdr:rowOff>91675</xdr:rowOff>
    </xdr:from>
    <xdr:to>
      <xdr:col>7</xdr:col>
      <xdr:colOff>809695</xdr:colOff>
      <xdr:row>633</xdr:row>
      <xdr:rowOff>173911</xdr:rowOff>
    </xdr:to>
    <xdr:sp macro="" textlink="">
      <xdr:nvSpPr>
        <xdr:cNvPr id="84" name="Freeform 83">
          <a:extLst>
            <a:ext uri="{FF2B5EF4-FFF2-40B4-BE49-F238E27FC236}">
              <a16:creationId xmlns:a16="http://schemas.microsoft.com/office/drawing/2014/main" id="{6DF7591E-B3F4-85F1-7DC0-4237C250FF03}"/>
            </a:ext>
          </a:extLst>
        </xdr:cNvPr>
        <xdr:cNvSpPr/>
      </xdr:nvSpPr>
      <xdr:spPr>
        <a:xfrm>
          <a:off x="13532027467" y="128006741"/>
          <a:ext cx="964978" cy="492629"/>
        </a:xfrm>
        <a:custGeom>
          <a:avLst/>
          <a:gdLst>
            <a:gd name="connsiteX0" fmla="*/ 0 w 964978"/>
            <a:gd name="connsiteY0" fmla="*/ 457364 h 492629"/>
            <a:gd name="connsiteX1" fmla="*/ 515764 w 964978"/>
            <a:gd name="connsiteY1" fmla="*/ 451818 h 492629"/>
            <a:gd name="connsiteX2" fmla="*/ 704323 w 964978"/>
            <a:gd name="connsiteY2" fmla="*/ 46971 h 492629"/>
            <a:gd name="connsiteX3" fmla="*/ 964978 w 964978"/>
            <a:gd name="connsiteY3" fmla="*/ 24787 h 492629"/>
          </a:gdLst>
          <a:ahLst/>
          <a:cxnLst>
            <a:cxn ang="0">
              <a:pos x="connsiteX0" y="connsiteY0"/>
            </a:cxn>
            <a:cxn ang="0">
              <a:pos x="connsiteX1" y="connsiteY1"/>
            </a:cxn>
            <a:cxn ang="0">
              <a:pos x="connsiteX2" y="connsiteY2"/>
            </a:cxn>
            <a:cxn ang="0">
              <a:pos x="connsiteX3" y="connsiteY3"/>
            </a:cxn>
          </a:cxnLst>
          <a:rect l="l" t="t" r="r" b="b"/>
          <a:pathLst>
            <a:path w="964978" h="492629">
              <a:moveTo>
                <a:pt x="0" y="457364"/>
              </a:moveTo>
              <a:cubicBezTo>
                <a:pt x="199188" y="488790"/>
                <a:pt x="398377" y="520217"/>
                <a:pt x="515764" y="451818"/>
              </a:cubicBezTo>
              <a:cubicBezTo>
                <a:pt x="633151" y="383419"/>
                <a:pt x="629454" y="118143"/>
                <a:pt x="704323" y="46971"/>
              </a:cubicBezTo>
              <a:cubicBezTo>
                <a:pt x="779192" y="-24201"/>
                <a:pt x="872085" y="293"/>
                <a:pt x="964978" y="24787"/>
              </a:cubicBezTo>
            </a:path>
          </a:pathLst>
        </a:cu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16</xdr:col>
      <xdr:colOff>704323</xdr:colOff>
      <xdr:row>631</xdr:row>
      <xdr:rowOff>177467</xdr:rowOff>
    </xdr:from>
    <xdr:to>
      <xdr:col>17</xdr:col>
      <xdr:colOff>127555</xdr:colOff>
      <xdr:row>633</xdr:row>
      <xdr:rowOff>5545</xdr:rowOff>
    </xdr:to>
    <xdr:sp macro="" textlink="">
      <xdr:nvSpPr>
        <xdr:cNvPr id="87" name="Rounded Rectangle 86">
          <a:extLst>
            <a:ext uri="{FF2B5EF4-FFF2-40B4-BE49-F238E27FC236}">
              <a16:creationId xmlns:a16="http://schemas.microsoft.com/office/drawing/2014/main" id="{3A4E5CB5-5C01-E37C-3E41-14EC190AD139}"/>
            </a:ext>
          </a:extLst>
        </xdr:cNvPr>
        <xdr:cNvSpPr/>
      </xdr:nvSpPr>
      <xdr:spPr>
        <a:xfrm>
          <a:off x="13524446288" y="128092533"/>
          <a:ext cx="249564" cy="23847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1</a:t>
          </a:r>
          <a:endParaRPr lang="en-US" sz="1100"/>
        </a:p>
      </xdr:txBody>
    </xdr:sp>
    <xdr:clientData/>
  </xdr:twoCellAnchor>
  <xdr:twoCellAnchor>
    <xdr:from>
      <xdr:col>16</xdr:col>
      <xdr:colOff>720960</xdr:colOff>
      <xdr:row>633</xdr:row>
      <xdr:rowOff>22183</xdr:rowOff>
    </xdr:from>
    <xdr:to>
      <xdr:col>17</xdr:col>
      <xdr:colOff>144192</xdr:colOff>
      <xdr:row>634</xdr:row>
      <xdr:rowOff>55458</xdr:rowOff>
    </xdr:to>
    <xdr:sp macro="" textlink="">
      <xdr:nvSpPr>
        <xdr:cNvPr id="88" name="Rounded Rectangle 87">
          <a:extLst>
            <a:ext uri="{FF2B5EF4-FFF2-40B4-BE49-F238E27FC236}">
              <a16:creationId xmlns:a16="http://schemas.microsoft.com/office/drawing/2014/main" id="{2FD76349-7768-93D6-1E86-2838ECF37A4B}"/>
            </a:ext>
          </a:extLst>
        </xdr:cNvPr>
        <xdr:cNvSpPr/>
      </xdr:nvSpPr>
      <xdr:spPr>
        <a:xfrm>
          <a:off x="13524429651" y="128347642"/>
          <a:ext cx="249564" cy="23847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2</a:t>
          </a:r>
          <a:endParaRPr lang="en-US" sz="1100"/>
        </a:p>
      </xdr:txBody>
    </xdr:sp>
    <xdr:clientData/>
  </xdr:twoCellAnchor>
  <xdr:twoCellAnchor>
    <xdr:from>
      <xdr:col>16</xdr:col>
      <xdr:colOff>715414</xdr:colOff>
      <xdr:row>634</xdr:row>
      <xdr:rowOff>27730</xdr:rowOff>
    </xdr:from>
    <xdr:to>
      <xdr:col>17</xdr:col>
      <xdr:colOff>138646</xdr:colOff>
      <xdr:row>635</xdr:row>
      <xdr:rowOff>61004</xdr:rowOff>
    </xdr:to>
    <xdr:sp macro="" textlink="">
      <xdr:nvSpPr>
        <xdr:cNvPr id="89" name="Rounded Rectangle 88">
          <a:extLst>
            <a:ext uri="{FF2B5EF4-FFF2-40B4-BE49-F238E27FC236}">
              <a16:creationId xmlns:a16="http://schemas.microsoft.com/office/drawing/2014/main" id="{8BF64C4D-9E46-0543-039B-EF242FF31FF5}"/>
            </a:ext>
          </a:extLst>
        </xdr:cNvPr>
        <xdr:cNvSpPr/>
      </xdr:nvSpPr>
      <xdr:spPr>
        <a:xfrm>
          <a:off x="13524435197" y="128558385"/>
          <a:ext cx="249564" cy="23847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3</a:t>
          </a:r>
          <a:endParaRPr lang="en-US" sz="1100"/>
        </a:p>
      </xdr:txBody>
    </xdr:sp>
    <xdr:clientData/>
  </xdr:twoCellAnchor>
  <xdr:twoCellAnchor>
    <xdr:from>
      <xdr:col>16</xdr:col>
      <xdr:colOff>720960</xdr:colOff>
      <xdr:row>635</xdr:row>
      <xdr:rowOff>83188</xdr:rowOff>
    </xdr:from>
    <xdr:to>
      <xdr:col>17</xdr:col>
      <xdr:colOff>144192</xdr:colOff>
      <xdr:row>636</xdr:row>
      <xdr:rowOff>116463</xdr:rowOff>
    </xdr:to>
    <xdr:sp macro="" textlink="">
      <xdr:nvSpPr>
        <xdr:cNvPr id="90" name="Rounded Rectangle 89">
          <a:extLst>
            <a:ext uri="{FF2B5EF4-FFF2-40B4-BE49-F238E27FC236}">
              <a16:creationId xmlns:a16="http://schemas.microsoft.com/office/drawing/2014/main" id="{B280E9EB-E6B1-7E5E-289E-1B2D0E8B8B82}"/>
            </a:ext>
          </a:extLst>
        </xdr:cNvPr>
        <xdr:cNvSpPr/>
      </xdr:nvSpPr>
      <xdr:spPr>
        <a:xfrm>
          <a:off x="13524429651" y="128819040"/>
          <a:ext cx="249564" cy="23847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4</a:t>
          </a:r>
          <a:endParaRPr lang="en-US" sz="1100"/>
        </a:p>
      </xdr:txBody>
    </xdr:sp>
    <xdr:clientData/>
  </xdr:twoCellAnchor>
  <xdr:twoCellAnchor>
    <xdr:from>
      <xdr:col>11</xdr:col>
      <xdr:colOff>22182</xdr:colOff>
      <xdr:row>632</xdr:row>
      <xdr:rowOff>5546</xdr:rowOff>
    </xdr:from>
    <xdr:to>
      <xdr:col>11</xdr:col>
      <xdr:colOff>271746</xdr:colOff>
      <xdr:row>633</xdr:row>
      <xdr:rowOff>38820</xdr:rowOff>
    </xdr:to>
    <xdr:sp macro="" textlink="">
      <xdr:nvSpPr>
        <xdr:cNvPr id="91" name="Rounded Rectangle 90">
          <a:extLst>
            <a:ext uri="{FF2B5EF4-FFF2-40B4-BE49-F238E27FC236}">
              <a16:creationId xmlns:a16="http://schemas.microsoft.com/office/drawing/2014/main" id="{7EE24B05-3F40-098D-EE70-ACA5A5E58362}"/>
            </a:ext>
          </a:extLst>
        </xdr:cNvPr>
        <xdr:cNvSpPr/>
      </xdr:nvSpPr>
      <xdr:spPr>
        <a:xfrm>
          <a:off x="13529260088" y="128125808"/>
          <a:ext cx="249564" cy="23847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5</a:t>
          </a:r>
          <a:endParaRPr lang="en-US" sz="1100"/>
        </a:p>
      </xdr:txBody>
    </xdr:sp>
    <xdr:clientData/>
  </xdr:twoCellAnchor>
  <xdr:twoCellAnchor>
    <xdr:from>
      <xdr:col>11</xdr:col>
      <xdr:colOff>27727</xdr:colOff>
      <xdr:row>633</xdr:row>
      <xdr:rowOff>55458</xdr:rowOff>
    </xdr:from>
    <xdr:to>
      <xdr:col>11</xdr:col>
      <xdr:colOff>277291</xdr:colOff>
      <xdr:row>634</xdr:row>
      <xdr:rowOff>88733</xdr:rowOff>
    </xdr:to>
    <xdr:sp macro="" textlink="">
      <xdr:nvSpPr>
        <xdr:cNvPr id="92" name="Rounded Rectangle 91">
          <a:extLst>
            <a:ext uri="{FF2B5EF4-FFF2-40B4-BE49-F238E27FC236}">
              <a16:creationId xmlns:a16="http://schemas.microsoft.com/office/drawing/2014/main" id="{D51ACD9D-3DBB-6EDF-AE25-9EEF39C596C5}"/>
            </a:ext>
          </a:extLst>
        </xdr:cNvPr>
        <xdr:cNvSpPr/>
      </xdr:nvSpPr>
      <xdr:spPr>
        <a:xfrm>
          <a:off x="13529254543" y="128380917"/>
          <a:ext cx="249564" cy="23847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6</a:t>
          </a:r>
          <a:endParaRPr lang="en-US" sz="1100"/>
        </a:p>
      </xdr:txBody>
    </xdr:sp>
    <xdr:clientData/>
  </xdr:twoCellAnchor>
  <xdr:twoCellAnchor>
    <xdr:from>
      <xdr:col>2</xdr:col>
      <xdr:colOff>271721</xdr:colOff>
      <xdr:row>687</xdr:row>
      <xdr:rowOff>82697</xdr:rowOff>
    </xdr:from>
    <xdr:to>
      <xdr:col>3</xdr:col>
      <xdr:colOff>454837</xdr:colOff>
      <xdr:row>693</xdr:row>
      <xdr:rowOff>52520</xdr:rowOff>
    </xdr:to>
    <xdr:sp macro="" textlink="">
      <xdr:nvSpPr>
        <xdr:cNvPr id="93" name="Freeform 92">
          <a:extLst>
            <a:ext uri="{FF2B5EF4-FFF2-40B4-BE49-F238E27FC236}">
              <a16:creationId xmlns:a16="http://schemas.microsoft.com/office/drawing/2014/main" id="{EAFBEC24-062E-A137-B7C3-7C6E73F141F4}"/>
            </a:ext>
          </a:extLst>
        </xdr:cNvPr>
        <xdr:cNvSpPr/>
      </xdr:nvSpPr>
      <xdr:spPr>
        <a:xfrm>
          <a:off x="13546694233" y="136823302"/>
          <a:ext cx="1010093" cy="1174846"/>
        </a:xfrm>
        <a:custGeom>
          <a:avLst/>
          <a:gdLst>
            <a:gd name="connsiteX0" fmla="*/ 1010093 w 1010093"/>
            <a:gd name="connsiteY0" fmla="*/ 992372 h 1174846"/>
            <a:gd name="connsiteX1" fmla="*/ 200837 w 1010093"/>
            <a:gd name="connsiteY1" fmla="*/ 1098698 h 1174846"/>
            <a:gd name="connsiteX2" fmla="*/ 0 w 1010093"/>
            <a:gd name="connsiteY2" fmla="*/ 0 h 1174846"/>
          </a:gdLst>
          <a:ahLst/>
          <a:cxnLst>
            <a:cxn ang="0">
              <a:pos x="connsiteX0" y="connsiteY0"/>
            </a:cxn>
            <a:cxn ang="0">
              <a:pos x="connsiteX1" y="connsiteY1"/>
            </a:cxn>
            <a:cxn ang="0">
              <a:pos x="connsiteX2" y="connsiteY2"/>
            </a:cxn>
          </a:cxnLst>
          <a:rect l="l" t="t" r="r" b="b"/>
          <a:pathLst>
            <a:path w="1010093" h="1174846">
              <a:moveTo>
                <a:pt x="1010093" y="992372"/>
              </a:moveTo>
              <a:cubicBezTo>
                <a:pt x="689639" y="1128232"/>
                <a:pt x="369186" y="1264093"/>
                <a:pt x="200837" y="1098698"/>
              </a:cubicBezTo>
              <a:cubicBezTo>
                <a:pt x="32488" y="933303"/>
                <a:pt x="16244" y="466651"/>
                <a:pt x="0" y="0"/>
              </a:cubicBezTo>
            </a:path>
          </a:pathLst>
        </a:cu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3825</xdr:colOff>
      <xdr:row>3</xdr:row>
      <xdr:rowOff>16228</xdr:rowOff>
    </xdr:from>
    <xdr:to>
      <xdr:col>7</xdr:col>
      <xdr:colOff>696205</xdr:colOff>
      <xdr:row>11</xdr:row>
      <xdr:rowOff>111403</xdr:rowOff>
    </xdr:to>
    <xdr:pic>
      <xdr:nvPicPr>
        <xdr:cNvPr id="2" name="Picture 1">
          <a:extLst>
            <a:ext uri="{FF2B5EF4-FFF2-40B4-BE49-F238E27FC236}">
              <a16:creationId xmlns:a16="http://schemas.microsoft.com/office/drawing/2014/main" id="{5FF1B323-CDB9-4011-09EA-A585403DDCF8}"/>
            </a:ext>
          </a:extLst>
        </xdr:cNvPr>
        <xdr:cNvPicPr>
          <a:picLocks noChangeAspect="1"/>
        </xdr:cNvPicPr>
      </xdr:nvPicPr>
      <xdr:blipFill>
        <a:blip xmlns:r="http://schemas.openxmlformats.org/officeDocument/2006/relationships" r:embed="rId1"/>
        <a:stretch>
          <a:fillRect/>
        </a:stretch>
      </xdr:blipFill>
      <xdr:spPr>
        <a:xfrm>
          <a:off x="13531046687" y="647403"/>
          <a:ext cx="6476235" cy="1717102"/>
        </a:xfrm>
        <a:prstGeom prst="rect">
          <a:avLst/>
        </a:prstGeom>
      </xdr:spPr>
    </xdr:pic>
    <xdr:clientData/>
  </xdr:twoCellAnchor>
  <xdr:twoCellAnchor editAs="oneCell">
    <xdr:from>
      <xdr:col>0</xdr:col>
      <xdr:colOff>53087</xdr:colOff>
      <xdr:row>24</xdr:row>
      <xdr:rowOff>159260</xdr:rowOff>
    </xdr:from>
    <xdr:to>
      <xdr:col>7</xdr:col>
      <xdr:colOff>477780</xdr:colOff>
      <xdr:row>34</xdr:row>
      <xdr:rowOff>86202</xdr:rowOff>
    </xdr:to>
    <xdr:pic>
      <xdr:nvPicPr>
        <xdr:cNvPr id="3" name="Picture 2">
          <a:extLst>
            <a:ext uri="{FF2B5EF4-FFF2-40B4-BE49-F238E27FC236}">
              <a16:creationId xmlns:a16="http://schemas.microsoft.com/office/drawing/2014/main" id="{45101045-32F9-ECA3-3A33-B457D2B7C63F}"/>
            </a:ext>
          </a:extLst>
        </xdr:cNvPr>
        <xdr:cNvPicPr>
          <a:picLocks noChangeAspect="1"/>
        </xdr:cNvPicPr>
      </xdr:nvPicPr>
      <xdr:blipFill>
        <a:blip xmlns:r="http://schemas.openxmlformats.org/officeDocument/2006/relationships" r:embed="rId2"/>
        <a:stretch>
          <a:fillRect/>
        </a:stretch>
      </xdr:blipFill>
      <xdr:spPr>
        <a:xfrm>
          <a:off x="13508704149" y="5084083"/>
          <a:ext cx="6198905" cy="1968743"/>
        </a:xfrm>
        <a:prstGeom prst="rect">
          <a:avLst/>
        </a:prstGeom>
      </xdr:spPr>
    </xdr:pic>
    <xdr:clientData/>
  </xdr:twoCellAnchor>
  <xdr:twoCellAnchor editAs="oneCell">
    <xdr:from>
      <xdr:col>0</xdr:col>
      <xdr:colOff>1</xdr:colOff>
      <xdr:row>71</xdr:row>
      <xdr:rowOff>54429</xdr:rowOff>
    </xdr:from>
    <xdr:to>
      <xdr:col>7</xdr:col>
      <xdr:colOff>373744</xdr:colOff>
      <xdr:row>80</xdr:row>
      <xdr:rowOff>136160</xdr:rowOff>
    </xdr:to>
    <xdr:pic>
      <xdr:nvPicPr>
        <xdr:cNvPr id="4" name="Picture 3">
          <a:extLst>
            <a:ext uri="{FF2B5EF4-FFF2-40B4-BE49-F238E27FC236}">
              <a16:creationId xmlns:a16="http://schemas.microsoft.com/office/drawing/2014/main" id="{C5435DF9-DDAD-4F31-51AB-24CE2722ADC8}"/>
            </a:ext>
          </a:extLst>
        </xdr:cNvPr>
        <xdr:cNvPicPr>
          <a:picLocks noChangeAspect="1"/>
        </xdr:cNvPicPr>
      </xdr:nvPicPr>
      <xdr:blipFill>
        <a:blip xmlns:r="http://schemas.openxmlformats.org/officeDocument/2006/relationships" r:embed="rId3"/>
        <a:stretch>
          <a:fillRect/>
        </a:stretch>
      </xdr:blipFill>
      <xdr:spPr>
        <a:xfrm>
          <a:off x="13548552313" y="14510658"/>
          <a:ext cx="6164943" cy="1910531"/>
        </a:xfrm>
        <a:prstGeom prst="rect">
          <a:avLst/>
        </a:prstGeom>
      </xdr:spPr>
    </xdr:pic>
    <xdr:clientData/>
  </xdr:twoCellAnchor>
  <xdr:twoCellAnchor editAs="oneCell">
    <xdr:from>
      <xdr:col>0</xdr:col>
      <xdr:colOff>105229</xdr:colOff>
      <xdr:row>56</xdr:row>
      <xdr:rowOff>199571</xdr:rowOff>
    </xdr:from>
    <xdr:to>
      <xdr:col>7</xdr:col>
      <xdr:colOff>696686</xdr:colOff>
      <xdr:row>62</xdr:row>
      <xdr:rowOff>114637</xdr:rowOff>
    </xdr:to>
    <xdr:pic>
      <xdr:nvPicPr>
        <xdr:cNvPr id="5" name="Picture 4">
          <a:extLst>
            <a:ext uri="{FF2B5EF4-FFF2-40B4-BE49-F238E27FC236}">
              <a16:creationId xmlns:a16="http://schemas.microsoft.com/office/drawing/2014/main" id="{8D0E2FB1-1951-C7A5-1579-B7CC337C00E3}"/>
            </a:ext>
          </a:extLst>
        </xdr:cNvPr>
        <xdr:cNvPicPr>
          <a:picLocks noChangeAspect="1"/>
        </xdr:cNvPicPr>
      </xdr:nvPicPr>
      <xdr:blipFill>
        <a:blip xmlns:r="http://schemas.openxmlformats.org/officeDocument/2006/relationships" r:embed="rId4"/>
        <a:stretch>
          <a:fillRect/>
        </a:stretch>
      </xdr:blipFill>
      <xdr:spPr>
        <a:xfrm>
          <a:off x="13548229371" y="11607800"/>
          <a:ext cx="6382657" cy="1134266"/>
        </a:xfrm>
        <a:prstGeom prst="rect">
          <a:avLst/>
        </a:prstGeom>
      </xdr:spPr>
    </xdr:pic>
    <xdr:clientData/>
  </xdr:twoCellAnchor>
  <xdr:twoCellAnchor editAs="oneCell">
    <xdr:from>
      <xdr:col>0</xdr:col>
      <xdr:colOff>100724</xdr:colOff>
      <xdr:row>105</xdr:row>
      <xdr:rowOff>0</xdr:rowOff>
    </xdr:from>
    <xdr:to>
      <xdr:col>9</xdr:col>
      <xdr:colOff>25648</xdr:colOff>
      <xdr:row>121</xdr:row>
      <xdr:rowOff>109331</xdr:rowOff>
    </xdr:to>
    <xdr:pic>
      <xdr:nvPicPr>
        <xdr:cNvPr id="6" name="Picture 5">
          <a:extLst>
            <a:ext uri="{FF2B5EF4-FFF2-40B4-BE49-F238E27FC236}">
              <a16:creationId xmlns:a16="http://schemas.microsoft.com/office/drawing/2014/main" id="{84281912-9135-645C-4851-7029FABFD149}"/>
            </a:ext>
          </a:extLst>
        </xdr:cNvPr>
        <xdr:cNvPicPr>
          <a:picLocks noChangeAspect="1"/>
        </xdr:cNvPicPr>
      </xdr:nvPicPr>
      <xdr:blipFill>
        <a:blip xmlns:r="http://schemas.openxmlformats.org/officeDocument/2006/relationships" r:embed="rId5"/>
        <a:stretch>
          <a:fillRect/>
        </a:stretch>
      </xdr:blipFill>
      <xdr:spPr>
        <a:xfrm>
          <a:off x="13553392455" y="21178345"/>
          <a:ext cx="7374131" cy="3332503"/>
        </a:xfrm>
        <a:prstGeom prst="rect">
          <a:avLst/>
        </a:prstGeom>
      </xdr:spPr>
    </xdr:pic>
    <xdr:clientData/>
  </xdr:twoCellAnchor>
  <xdr:twoCellAnchor>
    <xdr:from>
      <xdr:col>3</xdr:col>
      <xdr:colOff>511629</xdr:colOff>
      <xdr:row>83</xdr:row>
      <xdr:rowOff>123371</xdr:rowOff>
    </xdr:from>
    <xdr:to>
      <xdr:col>3</xdr:col>
      <xdr:colOff>801914</xdr:colOff>
      <xdr:row>87</xdr:row>
      <xdr:rowOff>39914</xdr:rowOff>
    </xdr:to>
    <xdr:sp macro="" textlink="">
      <xdr:nvSpPr>
        <xdr:cNvPr id="7" name="Right Brace 6">
          <a:extLst>
            <a:ext uri="{FF2B5EF4-FFF2-40B4-BE49-F238E27FC236}">
              <a16:creationId xmlns:a16="http://schemas.microsoft.com/office/drawing/2014/main" id="{B63AD0A3-1B8C-1438-5DA9-4CC5930985C7}"/>
            </a:ext>
          </a:extLst>
        </xdr:cNvPr>
        <xdr:cNvSpPr/>
      </xdr:nvSpPr>
      <xdr:spPr>
        <a:xfrm rot="10800000">
          <a:off x="13551433400" y="17018000"/>
          <a:ext cx="290285" cy="729343"/>
        </a:xfrm>
        <a:prstGeom prst="righ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oneCellAnchor>
    <xdr:from>
      <xdr:col>2</xdr:col>
      <xdr:colOff>696311</xdr:colOff>
      <xdr:row>94</xdr:row>
      <xdr:rowOff>22334</xdr:rowOff>
    </xdr:from>
    <xdr:ext cx="2794518" cy="35432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51EA531C-FF00-5221-9158-31E6806BEFC4}"/>
                </a:ext>
              </a:extLst>
            </xdr:cNvPr>
            <xdr:cNvSpPr txBox="1"/>
          </xdr:nvSpPr>
          <xdr:spPr>
            <a:xfrm>
              <a:off x="13555721102" y="18984748"/>
              <a:ext cx="2794518"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en-US"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𝑅</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20%</m:t>
                                </m:r>
                              </m:num>
                              <m:den>
                                <m:r>
                                  <a:rPr lang="en-US" sz="1100" b="0" i="1">
                                    <a:latin typeface="Cambria Math" panose="02040503050406030204" pitchFamily="18" charset="0"/>
                                  </a:rPr>
                                  <m:t>4</m:t>
                                </m:r>
                              </m:den>
                            </m:f>
                          </m:e>
                        </m:d>
                      </m:e>
                      <m:sup>
                        <m:r>
                          <a:rPr lang="en-US" sz="1100" b="0" i="1">
                            <a:latin typeface="Cambria Math" panose="02040503050406030204" pitchFamily="18" charset="0"/>
                          </a:rPr>
                          <m:t>4</m:t>
                        </m:r>
                      </m:sup>
                    </m:sSup>
                    <m:r>
                      <a:rPr lang="en-US" sz="1100" b="0" i="1">
                        <a:latin typeface="Cambria Math" panose="02040503050406030204" pitchFamily="18" charset="0"/>
                      </a:rPr>
                      <m:t>−1=</m:t>
                    </m:r>
                  </m:oMath>
                </m:oMathPara>
              </a14:m>
              <a:endParaRPr lang="en-US" sz="1100"/>
            </a:p>
          </xdr:txBody>
        </xdr:sp>
      </mc:Choice>
      <mc:Fallback xmlns="">
        <xdr:sp macro="" textlink="">
          <xdr:nvSpPr>
            <xdr:cNvPr id="8" name="TextBox 7">
              <a:extLst>
                <a:ext uri="{FF2B5EF4-FFF2-40B4-BE49-F238E27FC236}">
                  <a16:creationId xmlns:a16="http://schemas.microsoft.com/office/drawing/2014/main" id="{51EA531C-FF00-5221-9158-31E6806BEFC4}"/>
                </a:ext>
              </a:extLst>
            </xdr:cNvPr>
            <xdr:cNvSpPr txBox="1"/>
          </xdr:nvSpPr>
          <xdr:spPr>
            <a:xfrm>
              <a:off x="13555721102" y="18984748"/>
              <a:ext cx="2794518"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𝑅/𝑛)^𝑚−1=(1+(20%)/4)^4−1=</a:t>
              </a:r>
              <a:endParaRPr lang="en-US" sz="1100"/>
            </a:p>
          </xdr:txBody>
        </xdr:sp>
      </mc:Fallback>
    </mc:AlternateContent>
    <xdr:clientData/>
  </xdr:oneCellAnchor>
  <xdr:oneCellAnchor>
    <xdr:from>
      <xdr:col>2</xdr:col>
      <xdr:colOff>735724</xdr:colOff>
      <xdr:row>98</xdr:row>
      <xdr:rowOff>188746</xdr:rowOff>
    </xdr:from>
    <xdr:ext cx="2890862" cy="173702"/>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207E27A2-ECEF-8B9E-C5D1-B536D22B56FC}"/>
                </a:ext>
              </a:extLst>
            </xdr:cNvPr>
            <xdr:cNvSpPr txBox="1"/>
          </xdr:nvSpPr>
          <xdr:spPr>
            <a:xfrm>
              <a:off x="13555585345" y="19956953"/>
              <a:ext cx="2890862"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d>
                      <m:dPr>
                        <m:ctrlPr>
                          <a:rPr lang="he-IL" sz="1100" b="0" i="1">
                            <a:latin typeface="Cambria Math" panose="02040503050406030204" pitchFamily="18" charset="0"/>
                          </a:rPr>
                        </m:ctrlPr>
                      </m:dPr>
                      <m:e>
                        <m:r>
                          <a:rPr lang="he-IL"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𝑛</m:t>
                            </m:r>
                          </m:sub>
                        </m:sSub>
                      </m:e>
                    </m:d>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e>
                    </m:d>
                    <m:r>
                      <a:rPr lang="en-US" sz="1100" b="0" i="1">
                        <a:latin typeface="Cambria Math" panose="02040503050406030204" pitchFamily="18" charset="0"/>
                      </a:rPr>
                      <m:t>∗(1+</m:t>
                    </m:r>
                    <m:r>
                      <a:rPr lang="en-US" sz="1100" b="0" i="1">
                        <a:latin typeface="Cambria Math" panose="02040503050406030204" pitchFamily="18" charset="0"/>
                        <a:ea typeface="Cambria Math" panose="02040503050406030204" pitchFamily="18" charset="0"/>
                      </a:rPr>
                      <m:t>𝜋</m:t>
                    </m:r>
                    <m:r>
                      <a:rPr lang="en-US" sz="1100" b="0" i="1">
                        <a:latin typeface="Cambria Math" panose="02040503050406030204" pitchFamily="18" charset="0"/>
                        <a:ea typeface="Cambria Math" panose="02040503050406030204" pitchFamily="18" charset="0"/>
                      </a:rPr>
                      <m:t>)</m:t>
                    </m:r>
                  </m:oMath>
                </m:oMathPara>
              </a14:m>
              <a:endParaRPr lang="en-US" sz="1100"/>
            </a:p>
          </xdr:txBody>
        </xdr:sp>
      </mc:Choice>
      <mc:Fallback xmlns="">
        <xdr:sp macro="" textlink="">
          <xdr:nvSpPr>
            <xdr:cNvPr id="9" name="TextBox 8">
              <a:extLst>
                <a:ext uri="{FF2B5EF4-FFF2-40B4-BE49-F238E27FC236}">
                  <a16:creationId xmlns:a16="http://schemas.microsoft.com/office/drawing/2014/main" id="{207E27A2-ECEF-8B9E-C5D1-B536D22B56FC}"/>
                </a:ext>
              </a:extLst>
            </xdr:cNvPr>
            <xdr:cNvSpPr txBox="1"/>
          </xdr:nvSpPr>
          <xdr:spPr>
            <a:xfrm>
              <a:off x="13555585345" y="19956953"/>
              <a:ext cx="2890862"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𝑟_𝑛 )=(1+𝑟_𝑟 )∗(1+</a:t>
              </a:r>
              <a:r>
                <a:rPr lang="en-US" sz="1100" b="0" i="0">
                  <a:latin typeface="Cambria Math" panose="02040503050406030204" pitchFamily="18" charset="0"/>
                  <a:ea typeface="Cambria Math" panose="02040503050406030204" pitchFamily="18" charset="0"/>
                </a:rPr>
                <a:t>𝜋)</a:t>
              </a:r>
              <a:endParaRPr lang="en-US" sz="1100"/>
            </a:p>
          </xdr:txBody>
        </xdr:sp>
      </mc:Fallback>
    </mc:AlternateContent>
    <xdr:clientData/>
  </xdr:oneCellAnchor>
  <xdr:oneCellAnchor>
    <xdr:from>
      <xdr:col>2</xdr:col>
      <xdr:colOff>709448</xdr:colOff>
      <xdr:row>100</xdr:row>
      <xdr:rowOff>184367</xdr:rowOff>
    </xdr:from>
    <xdr:ext cx="2890862" cy="173702"/>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95210DC-3B9D-957C-409F-3F42F252494D}"/>
                </a:ext>
              </a:extLst>
            </xdr:cNvPr>
            <xdr:cNvSpPr txBox="1"/>
          </xdr:nvSpPr>
          <xdr:spPr>
            <a:xfrm>
              <a:off x="13555611621" y="20355470"/>
              <a:ext cx="2890862"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d>
                      <m:dPr>
                        <m:ctrlPr>
                          <a:rPr lang="he-IL" sz="1100" b="0" i="1">
                            <a:latin typeface="Cambria Math" panose="02040503050406030204" pitchFamily="18" charset="0"/>
                          </a:rPr>
                        </m:ctrlPr>
                      </m:dPr>
                      <m:e>
                        <m:r>
                          <a:rPr lang="he-IL" sz="1100" b="0" i="1">
                            <a:latin typeface="Cambria Math" panose="02040503050406030204" pitchFamily="18" charset="0"/>
                          </a:rPr>
                          <m:t>1+21.5506%</m:t>
                        </m:r>
                      </m:e>
                    </m:d>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e>
                    </m:d>
                    <m:r>
                      <a:rPr lang="en-US" sz="1100" b="0" i="1">
                        <a:latin typeface="Cambria Math" panose="02040503050406030204" pitchFamily="18" charset="0"/>
                      </a:rPr>
                      <m:t>∗(1+</m:t>
                    </m:r>
                    <m:r>
                      <a:rPr lang="he-IL" sz="1100" b="0" i="1">
                        <a:latin typeface="Cambria Math" panose="02040503050406030204" pitchFamily="18" charset="0"/>
                        <a:ea typeface="Cambria Math" panose="02040503050406030204" pitchFamily="18" charset="0"/>
                      </a:rPr>
                      <m:t>15%</m:t>
                    </m:r>
                    <m:r>
                      <a:rPr lang="en-US" sz="1100" b="0" i="1">
                        <a:latin typeface="Cambria Math" panose="02040503050406030204" pitchFamily="18" charset="0"/>
                        <a:ea typeface="Cambria Math" panose="02040503050406030204" pitchFamily="18" charset="0"/>
                      </a:rPr>
                      <m:t>)</m:t>
                    </m:r>
                  </m:oMath>
                </m:oMathPara>
              </a14:m>
              <a:endParaRPr lang="en-US" sz="1100"/>
            </a:p>
          </xdr:txBody>
        </xdr:sp>
      </mc:Choice>
      <mc:Fallback xmlns="">
        <xdr:sp macro="" textlink="">
          <xdr:nvSpPr>
            <xdr:cNvPr id="10" name="TextBox 9">
              <a:extLst>
                <a:ext uri="{FF2B5EF4-FFF2-40B4-BE49-F238E27FC236}">
                  <a16:creationId xmlns:a16="http://schemas.microsoft.com/office/drawing/2014/main" id="{A95210DC-3B9D-957C-409F-3F42F252494D}"/>
                </a:ext>
              </a:extLst>
            </xdr:cNvPr>
            <xdr:cNvSpPr txBox="1"/>
          </xdr:nvSpPr>
          <xdr:spPr>
            <a:xfrm>
              <a:off x="13555611621" y="20355470"/>
              <a:ext cx="2890862"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(1+21.5506%</a:t>
              </a:r>
              <a:r>
                <a:rPr lang="en-US" sz="1100" b="0" i="0">
                  <a:latin typeface="Cambria Math" panose="02040503050406030204" pitchFamily="18" charset="0"/>
                </a:rPr>
                <a:t>)=(1+𝑟_𝑟 )∗(1+</a:t>
              </a:r>
              <a:r>
                <a:rPr lang="he-IL" sz="1100" b="0" i="0">
                  <a:latin typeface="Cambria Math" panose="02040503050406030204" pitchFamily="18" charset="0"/>
                  <a:ea typeface="Cambria Math" panose="02040503050406030204" pitchFamily="18" charset="0"/>
                </a:rPr>
                <a:t>15%</a:t>
              </a:r>
              <a:r>
                <a:rPr lang="en-US" sz="1100" b="0" i="0">
                  <a:latin typeface="Cambria Math" panose="02040503050406030204" pitchFamily="18" charset="0"/>
                  <a:ea typeface="Cambria Math" panose="02040503050406030204" pitchFamily="18" charset="0"/>
                </a:rPr>
                <a:t>)</a:t>
              </a:r>
              <a:endParaRPr lang="en-US" sz="1100"/>
            </a:p>
          </xdr:txBody>
        </xdr:sp>
      </mc:Fallback>
    </mc:AlternateContent>
    <xdr:clientData/>
  </xdr:oneCellAnchor>
  <xdr:oneCellAnchor>
    <xdr:from>
      <xdr:col>2</xdr:col>
      <xdr:colOff>731345</xdr:colOff>
      <xdr:row>102</xdr:row>
      <xdr:rowOff>105539</xdr:rowOff>
    </xdr:from>
    <xdr:ext cx="2890862" cy="358560"/>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BDB03AE8-66ED-2975-1A1F-418E0E6B1BF4}"/>
                </a:ext>
              </a:extLst>
            </xdr:cNvPr>
            <xdr:cNvSpPr txBox="1"/>
          </xdr:nvSpPr>
          <xdr:spPr>
            <a:xfrm>
              <a:off x="13555589724" y="20679539"/>
              <a:ext cx="2890862" cy="358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f>
                      <m:fPr>
                        <m:ctrlPr>
                          <a:rPr lang="he-IL" sz="1100" b="0" i="1">
                            <a:latin typeface="Cambria Math" panose="02040503050406030204" pitchFamily="18" charset="0"/>
                          </a:rPr>
                        </m:ctrlPr>
                      </m:fPr>
                      <m:num>
                        <m:d>
                          <m:dPr>
                            <m:ctrlPr>
                              <a:rPr lang="he-IL" sz="1100" b="0" i="1">
                                <a:latin typeface="Cambria Math" panose="02040503050406030204" pitchFamily="18" charset="0"/>
                              </a:rPr>
                            </m:ctrlPr>
                          </m:dPr>
                          <m:e>
                            <m:r>
                              <a:rPr lang="he-IL" sz="1100" b="0" i="1">
                                <a:latin typeface="Cambria Math" panose="02040503050406030204" pitchFamily="18" charset="0"/>
                              </a:rPr>
                              <m:t>1+21.5506%</m:t>
                            </m:r>
                          </m:e>
                        </m:d>
                      </m:num>
                      <m:den>
                        <m:r>
                          <a:rPr lang="he-IL" sz="1100" b="0" i="1">
                            <a:latin typeface="Cambria Math" panose="02040503050406030204" pitchFamily="18" charset="0"/>
                          </a:rPr>
                          <m:t>(1+15%)</m:t>
                        </m:r>
                      </m:den>
                    </m:f>
                    <m:r>
                      <a:rPr lang="en-US" sz="1100" b="0" i="1">
                        <a:latin typeface="Cambria Math" panose="02040503050406030204" pitchFamily="18" charset="0"/>
                      </a:rPr>
                      <m:t>=</m:t>
                    </m:r>
                    <m:r>
                      <a:rPr lang="he-IL" sz="1100" b="0" i="1">
                        <a:latin typeface="Cambria Math" panose="02040503050406030204" pitchFamily="18" charset="0"/>
                      </a:rPr>
                      <m:t>1+</m:t>
                    </m:r>
                    <m:sSub>
                      <m:sSubPr>
                        <m:ctrlPr>
                          <a:rPr lang="en-US" sz="1100" b="0" i="1">
                            <a:latin typeface="Cambria Math" panose="02040503050406030204" pitchFamily="18" charset="0"/>
                          </a:rPr>
                        </m:ctrlPr>
                      </m:sSubPr>
                      <m:e>
                        <m:r>
                          <a:rPr lang="he-IL" sz="1100" b="0" i="1">
                            <a:latin typeface="Cambria Math" panose="02040503050406030204" pitchFamily="18" charset="0"/>
                          </a:rPr>
                          <m:t>𝑟</m:t>
                        </m:r>
                      </m:e>
                      <m:sub>
                        <m:r>
                          <a:rPr lang="en-US" sz="1100" b="0" i="1">
                            <a:latin typeface="Cambria Math" panose="02040503050406030204" pitchFamily="18" charset="0"/>
                          </a:rPr>
                          <m:t>𝑟</m:t>
                        </m:r>
                      </m:sub>
                    </m:sSub>
                    <m:r>
                      <a:rPr lang="en-US" sz="1100" b="0" i="1">
                        <a:latin typeface="Cambria Math" panose="02040503050406030204" pitchFamily="18" charset="0"/>
                      </a:rPr>
                      <m:t>→</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r>
                      <a:rPr lang="en-US" sz="1100" b="0" i="1">
                        <a:latin typeface="Cambria Math" panose="02040503050406030204" pitchFamily="18" charset="0"/>
                      </a:rPr>
                      <m:t>=</m:t>
                    </m:r>
                  </m:oMath>
                </m:oMathPara>
              </a14:m>
              <a:endParaRPr lang="en-US" sz="1100"/>
            </a:p>
          </xdr:txBody>
        </xdr:sp>
      </mc:Choice>
      <mc:Fallback xmlns="">
        <xdr:sp macro="" textlink="">
          <xdr:nvSpPr>
            <xdr:cNvPr id="11" name="TextBox 10">
              <a:extLst>
                <a:ext uri="{FF2B5EF4-FFF2-40B4-BE49-F238E27FC236}">
                  <a16:creationId xmlns:a16="http://schemas.microsoft.com/office/drawing/2014/main" id="{BDB03AE8-66ED-2975-1A1F-418E0E6B1BF4}"/>
                </a:ext>
              </a:extLst>
            </xdr:cNvPr>
            <xdr:cNvSpPr txBox="1"/>
          </xdr:nvSpPr>
          <xdr:spPr>
            <a:xfrm>
              <a:off x="13555589724" y="20679539"/>
              <a:ext cx="2890862" cy="358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((1+21.5506%</a:t>
              </a:r>
              <a:r>
                <a:rPr lang="en-US" sz="1100" b="0" i="0">
                  <a:latin typeface="Cambria Math" panose="02040503050406030204" pitchFamily="18" charset="0"/>
                </a:rPr>
                <a:t>)</a:t>
              </a:r>
              <a:r>
                <a:rPr lang="he-IL" sz="1100" b="0" i="0">
                  <a:latin typeface="Cambria Math" panose="02040503050406030204" pitchFamily="18" charset="0"/>
                </a:rPr>
                <a:t>)/((1+15%))</a:t>
              </a:r>
              <a:r>
                <a:rPr lang="en-US" sz="1100" b="0" i="0">
                  <a:latin typeface="Cambria Math" panose="02040503050406030204" pitchFamily="18" charset="0"/>
                </a:rPr>
                <a:t>=</a:t>
              </a:r>
              <a:r>
                <a:rPr lang="he-IL" sz="1100" b="0" i="0">
                  <a:latin typeface="Cambria Math" panose="02040503050406030204" pitchFamily="18" charset="0"/>
                </a:rPr>
                <a:t>1+𝑟</a:t>
              </a:r>
              <a:r>
                <a:rPr lang="en-US" sz="1100" b="0" i="0">
                  <a:latin typeface="Cambria Math" panose="02040503050406030204" pitchFamily="18" charset="0"/>
                </a:rPr>
                <a:t>_𝑟→𝑟_𝑟=</a:t>
              </a:r>
              <a:endParaRPr lang="en-US" sz="1100"/>
            </a:p>
          </xdr:txBody>
        </xdr:sp>
      </mc:Fallback>
    </mc:AlternateContent>
    <xdr:clientData/>
  </xdr:oneCellAnchor>
  <xdr:twoCellAnchor editAs="oneCell">
    <xdr:from>
      <xdr:col>0</xdr:col>
      <xdr:colOff>70069</xdr:colOff>
      <xdr:row>137</xdr:row>
      <xdr:rowOff>183930</xdr:rowOff>
    </xdr:from>
    <xdr:to>
      <xdr:col>9</xdr:col>
      <xdr:colOff>393262</xdr:colOff>
      <xdr:row>149</xdr:row>
      <xdr:rowOff>155470</xdr:rowOff>
    </xdr:to>
    <xdr:pic>
      <xdr:nvPicPr>
        <xdr:cNvPr id="12" name="Picture 11">
          <a:extLst>
            <a:ext uri="{FF2B5EF4-FFF2-40B4-BE49-F238E27FC236}">
              <a16:creationId xmlns:a16="http://schemas.microsoft.com/office/drawing/2014/main" id="{51F1DD04-3612-2F0C-17D0-D4874F2C01F0}"/>
            </a:ext>
          </a:extLst>
        </xdr:cNvPr>
        <xdr:cNvPicPr>
          <a:picLocks noChangeAspect="1"/>
        </xdr:cNvPicPr>
      </xdr:nvPicPr>
      <xdr:blipFill>
        <a:blip xmlns:r="http://schemas.openxmlformats.org/officeDocument/2006/relationships" r:embed="rId6"/>
        <a:stretch>
          <a:fillRect/>
        </a:stretch>
      </xdr:blipFill>
      <xdr:spPr>
        <a:xfrm>
          <a:off x="13553024841" y="27808620"/>
          <a:ext cx="7772400" cy="2388919"/>
        </a:xfrm>
        <a:prstGeom prst="rect">
          <a:avLst/>
        </a:prstGeom>
      </xdr:spPr>
    </xdr:pic>
    <xdr:clientData/>
  </xdr:twoCellAnchor>
  <xdr:oneCellAnchor>
    <xdr:from>
      <xdr:col>4</xdr:col>
      <xdr:colOff>407275</xdr:colOff>
      <xdr:row>156</xdr:row>
      <xdr:rowOff>193127</xdr:rowOff>
    </xdr:from>
    <xdr:ext cx="3267484" cy="354328"/>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E60CE75D-9F6B-C58F-AD1B-29691361E0FC}"/>
                </a:ext>
              </a:extLst>
            </xdr:cNvPr>
            <xdr:cNvSpPr txBox="1"/>
          </xdr:nvSpPr>
          <xdr:spPr>
            <a:xfrm>
              <a:off x="13553881792" y="31645334"/>
              <a:ext cx="3267484"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𝑅</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0">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18%</m:t>
                                </m:r>
                              </m:num>
                              <m:den>
                                <m:r>
                                  <a:rPr lang="en-US" sz="1100" b="0" i="1">
                                    <a:latin typeface="Cambria Math" panose="02040503050406030204" pitchFamily="18" charset="0"/>
                                  </a:rPr>
                                  <m:t>4</m:t>
                                </m:r>
                              </m:den>
                            </m:f>
                          </m:e>
                        </m:d>
                      </m:e>
                      <m:sup>
                        <m:r>
                          <a:rPr lang="en-US" sz="1100" b="0" i="1">
                            <a:latin typeface="Cambria Math" panose="02040503050406030204" pitchFamily="18" charset="0"/>
                          </a:rPr>
                          <m:t>4</m:t>
                        </m:r>
                      </m:sup>
                    </m:sSup>
                    <m:r>
                      <a:rPr lang="en-US" sz="1100" b="0" i="1">
                        <a:latin typeface="Cambria Math" panose="02040503050406030204" pitchFamily="18" charset="0"/>
                      </a:rPr>
                      <m:t>−1=</m:t>
                    </m:r>
                  </m:oMath>
                </m:oMathPara>
              </a14:m>
              <a:endParaRPr lang="en-US" sz="1100"/>
            </a:p>
          </xdr:txBody>
        </xdr:sp>
      </mc:Choice>
      <mc:Fallback xmlns="">
        <xdr:sp macro="" textlink="">
          <xdr:nvSpPr>
            <xdr:cNvPr id="13" name="TextBox 12">
              <a:extLst>
                <a:ext uri="{FF2B5EF4-FFF2-40B4-BE49-F238E27FC236}">
                  <a16:creationId xmlns:a16="http://schemas.microsoft.com/office/drawing/2014/main" id="{E60CE75D-9F6B-C58F-AD1B-29691361E0FC}"/>
                </a:ext>
              </a:extLst>
            </xdr:cNvPr>
            <xdr:cNvSpPr txBox="1"/>
          </xdr:nvSpPr>
          <xdr:spPr>
            <a:xfrm>
              <a:off x="13553881792" y="31645334"/>
              <a:ext cx="3267484"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(1+𝑅/𝑛)^𝑚−1=(1+(18%)/4)^4−1=</a:t>
              </a:r>
              <a:endParaRPr lang="en-US" sz="1100"/>
            </a:p>
          </xdr:txBody>
        </xdr:sp>
      </mc:Fallback>
    </mc:AlternateContent>
    <xdr:clientData/>
  </xdr:oneCellAnchor>
  <xdr:twoCellAnchor editAs="oneCell">
    <xdr:from>
      <xdr:col>0</xdr:col>
      <xdr:colOff>0</xdr:colOff>
      <xdr:row>160</xdr:row>
      <xdr:rowOff>0</xdr:rowOff>
    </xdr:from>
    <xdr:to>
      <xdr:col>9</xdr:col>
      <xdr:colOff>323193</xdr:colOff>
      <xdr:row>170</xdr:row>
      <xdr:rowOff>89019</xdr:rowOff>
    </xdr:to>
    <xdr:pic>
      <xdr:nvPicPr>
        <xdr:cNvPr id="14" name="Picture 13">
          <a:extLst>
            <a:ext uri="{FF2B5EF4-FFF2-40B4-BE49-F238E27FC236}">
              <a16:creationId xmlns:a16="http://schemas.microsoft.com/office/drawing/2014/main" id="{AFC0BEA6-8D29-F601-8675-CDBA69FC02E9}"/>
            </a:ext>
          </a:extLst>
        </xdr:cNvPr>
        <xdr:cNvPicPr>
          <a:picLocks noChangeAspect="1"/>
        </xdr:cNvPicPr>
      </xdr:nvPicPr>
      <xdr:blipFill>
        <a:blip xmlns:r="http://schemas.openxmlformats.org/officeDocument/2006/relationships" r:embed="rId7"/>
        <a:stretch>
          <a:fillRect/>
        </a:stretch>
      </xdr:blipFill>
      <xdr:spPr>
        <a:xfrm>
          <a:off x="13553094910" y="32258000"/>
          <a:ext cx="7772400" cy="2103502"/>
        </a:xfrm>
        <a:prstGeom prst="rect">
          <a:avLst/>
        </a:prstGeom>
      </xdr:spPr>
    </xdr:pic>
    <xdr:clientData/>
  </xdr:twoCellAnchor>
  <xdr:oneCellAnchor>
    <xdr:from>
      <xdr:col>4</xdr:col>
      <xdr:colOff>411655</xdr:colOff>
      <xdr:row>172</xdr:row>
      <xdr:rowOff>197070</xdr:rowOff>
    </xdr:from>
    <xdr:ext cx="2890862" cy="173702"/>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1DE7B413-B27B-6747-9878-FC8B4B8CE8E1}"/>
                </a:ext>
              </a:extLst>
            </xdr:cNvPr>
            <xdr:cNvSpPr txBox="1"/>
          </xdr:nvSpPr>
          <xdr:spPr>
            <a:xfrm>
              <a:off x="13554254034" y="34872449"/>
              <a:ext cx="2890862"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d>
                      <m:dPr>
                        <m:ctrlPr>
                          <a:rPr lang="he-IL" sz="1100" b="0" i="1">
                            <a:latin typeface="Cambria Math" panose="02040503050406030204" pitchFamily="18" charset="0"/>
                          </a:rPr>
                        </m:ctrlPr>
                      </m:dPr>
                      <m:e>
                        <m:r>
                          <a:rPr lang="he-IL"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𝑛</m:t>
                            </m:r>
                          </m:sub>
                        </m:sSub>
                      </m:e>
                    </m:d>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e>
                    </m:d>
                    <m:r>
                      <a:rPr lang="en-US" sz="1100" b="0" i="1">
                        <a:latin typeface="Cambria Math" panose="02040503050406030204" pitchFamily="18" charset="0"/>
                      </a:rPr>
                      <m:t>∗(1+</m:t>
                    </m:r>
                    <m:r>
                      <a:rPr lang="en-US" sz="1100" b="0" i="1">
                        <a:latin typeface="Cambria Math" panose="02040503050406030204" pitchFamily="18" charset="0"/>
                        <a:ea typeface="Cambria Math" panose="02040503050406030204" pitchFamily="18" charset="0"/>
                      </a:rPr>
                      <m:t>𝜋</m:t>
                    </m:r>
                    <m:r>
                      <a:rPr lang="en-US" sz="1100" b="0" i="1">
                        <a:latin typeface="Cambria Math" panose="02040503050406030204" pitchFamily="18" charset="0"/>
                        <a:ea typeface="Cambria Math" panose="02040503050406030204" pitchFamily="18" charset="0"/>
                      </a:rPr>
                      <m:t>)</m:t>
                    </m:r>
                  </m:oMath>
                </m:oMathPara>
              </a14:m>
              <a:endParaRPr lang="en-US" sz="1100"/>
            </a:p>
          </xdr:txBody>
        </xdr:sp>
      </mc:Choice>
      <mc:Fallback xmlns="">
        <xdr:sp macro="" textlink="">
          <xdr:nvSpPr>
            <xdr:cNvPr id="15" name="TextBox 14">
              <a:extLst>
                <a:ext uri="{FF2B5EF4-FFF2-40B4-BE49-F238E27FC236}">
                  <a16:creationId xmlns:a16="http://schemas.microsoft.com/office/drawing/2014/main" id="{1DE7B413-B27B-6747-9878-FC8B4B8CE8E1}"/>
                </a:ext>
              </a:extLst>
            </xdr:cNvPr>
            <xdr:cNvSpPr txBox="1"/>
          </xdr:nvSpPr>
          <xdr:spPr>
            <a:xfrm>
              <a:off x="13554254034" y="34872449"/>
              <a:ext cx="2890862"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𝑟_𝑛 )=(1+𝑟_𝑟 )∗(1+</a:t>
              </a:r>
              <a:r>
                <a:rPr lang="en-US" sz="1100" b="0" i="0">
                  <a:latin typeface="Cambria Math" panose="02040503050406030204" pitchFamily="18" charset="0"/>
                  <a:ea typeface="Cambria Math" panose="02040503050406030204" pitchFamily="18" charset="0"/>
                </a:rPr>
                <a:t>𝜋)</a:t>
              </a:r>
              <a:endParaRPr lang="en-US" sz="1100"/>
            </a:p>
          </xdr:txBody>
        </xdr:sp>
      </mc:Fallback>
    </mc:AlternateContent>
    <xdr:clientData/>
  </xdr:oneCellAnchor>
  <xdr:oneCellAnchor>
    <xdr:from>
      <xdr:col>2</xdr:col>
      <xdr:colOff>437931</xdr:colOff>
      <xdr:row>174</xdr:row>
      <xdr:rowOff>192691</xdr:rowOff>
    </xdr:from>
    <xdr:ext cx="4454276" cy="17716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AB4BA9CF-E4BF-B9D8-2DC2-18D63EF31583}"/>
                </a:ext>
              </a:extLst>
            </xdr:cNvPr>
            <xdr:cNvSpPr txBox="1"/>
          </xdr:nvSpPr>
          <xdr:spPr>
            <a:xfrm>
              <a:off x="13554319724" y="35270967"/>
              <a:ext cx="4454276" cy="1771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he-IL"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1+7%</m:t>
                            </m:r>
                          </m:e>
                        </m:d>
                      </m:e>
                      <m:sup>
                        <m:r>
                          <a:rPr lang="he-IL" sz="1100" b="0" i="1">
                            <a:latin typeface="Cambria Math" panose="02040503050406030204" pitchFamily="18" charset="0"/>
                          </a:rPr>
                          <m:t>3</m:t>
                        </m:r>
                      </m:sup>
                    </m:sSup>
                    <m:r>
                      <a:rPr lang="en-US" sz="1100" b="0" i="1">
                        <a:latin typeface="Cambria Math" panose="02040503050406030204" pitchFamily="18" charset="0"/>
                      </a:rPr>
                      <m:t>=</m:t>
                    </m:r>
                    <m:sSup>
                      <m:sSupPr>
                        <m:ctrlPr>
                          <a:rPr lang="he-IL"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e>
                        </m:d>
                      </m:e>
                      <m:sup>
                        <m:r>
                          <a:rPr lang="he-IL" sz="1100" b="0" i="1">
                            <a:latin typeface="Cambria Math" panose="02040503050406030204" pitchFamily="18" charset="0"/>
                          </a:rPr>
                          <m:t>3</m:t>
                        </m:r>
                      </m:sup>
                    </m:sSup>
                    <m:r>
                      <a:rPr lang="en-US" sz="1100" b="0" i="1">
                        <a:latin typeface="Cambria Math" panose="02040503050406030204" pitchFamily="18" charset="0"/>
                      </a:rPr>
                      <m:t>∗</m:t>
                    </m:r>
                    <m:d>
                      <m:dPr>
                        <m:ctrlPr>
                          <a:rPr lang="he-IL" sz="1100" b="0" i="1">
                            <a:latin typeface="Cambria Math" panose="02040503050406030204" pitchFamily="18" charset="0"/>
                          </a:rPr>
                        </m:ctrlPr>
                      </m:dPr>
                      <m:e>
                        <m:r>
                          <a:rPr lang="he-IL" sz="1100" b="0" i="1">
                            <a:latin typeface="Cambria Math" panose="02040503050406030204" pitchFamily="18" charset="0"/>
                          </a:rPr>
                          <m:t>1+5%</m:t>
                        </m:r>
                      </m:e>
                    </m:d>
                    <m:r>
                      <a:rPr lang="he-IL" sz="1100" b="0" i="1">
                        <a:latin typeface="Cambria Math" panose="02040503050406030204" pitchFamily="18" charset="0"/>
                      </a:rPr>
                      <m:t>∗</m:t>
                    </m:r>
                    <m:d>
                      <m:dPr>
                        <m:ctrlPr>
                          <a:rPr lang="he-IL" sz="1100" b="0" i="1">
                            <a:latin typeface="Cambria Math" panose="02040503050406030204" pitchFamily="18" charset="0"/>
                          </a:rPr>
                        </m:ctrlPr>
                      </m:dPr>
                      <m:e>
                        <m:r>
                          <a:rPr lang="he-IL" sz="1100" b="0" i="1">
                            <a:latin typeface="Cambria Math" panose="02040503050406030204" pitchFamily="18" charset="0"/>
                          </a:rPr>
                          <m:t>1+3%</m:t>
                        </m:r>
                      </m:e>
                    </m:d>
                    <m:r>
                      <a:rPr lang="he-IL" sz="1100" b="0" i="1">
                        <a:latin typeface="Cambria Math" panose="02040503050406030204" pitchFamily="18" charset="0"/>
                      </a:rPr>
                      <m:t>∗(1+0%)</m:t>
                    </m:r>
                  </m:oMath>
                </m:oMathPara>
              </a14:m>
              <a:endParaRPr lang="en-US" sz="1100"/>
            </a:p>
          </xdr:txBody>
        </xdr:sp>
      </mc:Choice>
      <mc:Fallback xmlns="">
        <xdr:sp macro="" textlink="">
          <xdr:nvSpPr>
            <xdr:cNvPr id="16" name="TextBox 15">
              <a:extLst>
                <a:ext uri="{FF2B5EF4-FFF2-40B4-BE49-F238E27FC236}">
                  <a16:creationId xmlns:a16="http://schemas.microsoft.com/office/drawing/2014/main" id="{AB4BA9CF-E4BF-B9D8-2DC2-18D63EF31583}"/>
                </a:ext>
              </a:extLst>
            </xdr:cNvPr>
            <xdr:cNvSpPr txBox="1"/>
          </xdr:nvSpPr>
          <xdr:spPr>
            <a:xfrm>
              <a:off x="13554319724" y="35270967"/>
              <a:ext cx="4454276" cy="1771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(1+7%</a:t>
              </a:r>
              <a:r>
                <a:rPr lang="en-US" sz="1100" b="0" i="0">
                  <a:latin typeface="Cambria Math" panose="02040503050406030204" pitchFamily="18" charset="0"/>
                </a:rPr>
                <a:t>)</a:t>
              </a:r>
              <a:r>
                <a:rPr lang="he-IL" sz="1100" b="0" i="0">
                  <a:latin typeface="Cambria Math" panose="02040503050406030204" pitchFamily="18" charset="0"/>
                </a:rPr>
                <a:t>^3</a:t>
              </a:r>
              <a:r>
                <a:rPr lang="en-US" sz="1100" b="0" i="0">
                  <a:latin typeface="Cambria Math" panose="02040503050406030204" pitchFamily="18" charset="0"/>
                </a:rPr>
                <a:t>=(1+𝑟_𝑟 )</a:t>
              </a:r>
              <a:r>
                <a:rPr lang="he-IL" sz="1100" b="0" i="0">
                  <a:latin typeface="Cambria Math" panose="02040503050406030204" pitchFamily="18" charset="0"/>
                </a:rPr>
                <a:t>^3</a:t>
              </a:r>
              <a:r>
                <a:rPr lang="en-US" sz="1100" b="0" i="0">
                  <a:latin typeface="Cambria Math" panose="02040503050406030204" pitchFamily="18" charset="0"/>
                </a:rPr>
                <a:t>∗</a:t>
              </a:r>
              <a:r>
                <a:rPr lang="he-IL" sz="1100" b="0" i="0">
                  <a:latin typeface="Cambria Math" panose="02040503050406030204" pitchFamily="18" charset="0"/>
                </a:rPr>
                <a:t>(1+5%)∗(1+3%)∗(1+0%)</a:t>
              </a:r>
              <a:endParaRPr lang="en-US"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twoCellAnchor>
    <xdr:from>
      <xdr:col>3</xdr:col>
      <xdr:colOff>697458</xdr:colOff>
      <xdr:row>812</xdr:row>
      <xdr:rowOff>10410</xdr:rowOff>
    </xdr:from>
    <xdr:to>
      <xdr:col>4</xdr:col>
      <xdr:colOff>640204</xdr:colOff>
      <xdr:row>813</xdr:row>
      <xdr:rowOff>83279</xdr:rowOff>
    </xdr:to>
    <xdr:cxnSp macro="">
      <xdr:nvCxnSpPr>
        <xdr:cNvPr id="2" name="Straight Arrow Connector 1">
          <a:extLst>
            <a:ext uri="{FF2B5EF4-FFF2-40B4-BE49-F238E27FC236}">
              <a16:creationId xmlns:a16="http://schemas.microsoft.com/office/drawing/2014/main" id="{4FA7AC1D-D611-EC42-8638-E1C0D2D195D2}"/>
            </a:ext>
          </a:extLst>
        </xdr:cNvPr>
        <xdr:cNvCxnSpPr/>
      </xdr:nvCxnSpPr>
      <xdr:spPr>
        <a:xfrm flipH="1" flipV="1">
          <a:off x="13521049796" y="17307810"/>
          <a:ext cx="768246" cy="27606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728688</xdr:colOff>
      <xdr:row>813</xdr:row>
      <xdr:rowOff>98894</xdr:rowOff>
    </xdr:from>
    <xdr:to>
      <xdr:col>4</xdr:col>
      <xdr:colOff>504876</xdr:colOff>
      <xdr:row>814</xdr:row>
      <xdr:rowOff>150943</xdr:rowOff>
    </xdr:to>
    <xdr:cxnSp macro="">
      <xdr:nvCxnSpPr>
        <xdr:cNvPr id="3" name="Straight Arrow Connector 2">
          <a:extLst>
            <a:ext uri="{FF2B5EF4-FFF2-40B4-BE49-F238E27FC236}">
              <a16:creationId xmlns:a16="http://schemas.microsoft.com/office/drawing/2014/main" id="{17E20411-6CA4-9541-B0E2-3DC7FBB18FB2}"/>
            </a:ext>
          </a:extLst>
        </xdr:cNvPr>
        <xdr:cNvCxnSpPr/>
      </xdr:nvCxnSpPr>
      <xdr:spPr>
        <a:xfrm flipH="1">
          <a:off x="13521185124" y="17599494"/>
          <a:ext cx="601688" cy="25524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301884</xdr:colOff>
      <xdr:row>797</xdr:row>
      <xdr:rowOff>197786</xdr:rowOff>
    </xdr:from>
    <xdr:to>
      <xdr:col>1</xdr:col>
      <xdr:colOff>530900</xdr:colOff>
      <xdr:row>800</xdr:row>
      <xdr:rowOff>156148</xdr:rowOff>
    </xdr:to>
    <xdr:sp macro="" textlink="">
      <xdr:nvSpPr>
        <xdr:cNvPr id="4" name="Down Arrow 3">
          <a:extLst>
            <a:ext uri="{FF2B5EF4-FFF2-40B4-BE49-F238E27FC236}">
              <a16:creationId xmlns:a16="http://schemas.microsoft.com/office/drawing/2014/main" id="{2AC58300-B6F3-694C-9D55-6F93F3BD0CC7}"/>
            </a:ext>
          </a:extLst>
        </xdr:cNvPr>
        <xdr:cNvSpPr/>
      </xdr:nvSpPr>
      <xdr:spPr>
        <a:xfrm>
          <a:off x="13523902300" y="14421786"/>
          <a:ext cx="229016" cy="580662"/>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3</xdr:col>
      <xdr:colOff>239426</xdr:colOff>
      <xdr:row>797</xdr:row>
      <xdr:rowOff>192580</xdr:rowOff>
    </xdr:from>
    <xdr:to>
      <xdr:col>3</xdr:col>
      <xdr:colOff>468442</xdr:colOff>
      <xdr:row>800</xdr:row>
      <xdr:rowOff>150942</xdr:rowOff>
    </xdr:to>
    <xdr:sp macro="" textlink="">
      <xdr:nvSpPr>
        <xdr:cNvPr id="5" name="Down Arrow 4">
          <a:extLst>
            <a:ext uri="{FF2B5EF4-FFF2-40B4-BE49-F238E27FC236}">
              <a16:creationId xmlns:a16="http://schemas.microsoft.com/office/drawing/2014/main" id="{94C45295-A883-D246-BF14-871621E5EF23}"/>
            </a:ext>
          </a:extLst>
        </xdr:cNvPr>
        <xdr:cNvSpPr/>
      </xdr:nvSpPr>
      <xdr:spPr>
        <a:xfrm>
          <a:off x="13522047058" y="14416580"/>
          <a:ext cx="229016" cy="580662"/>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2</xdr:col>
      <xdr:colOff>223477</xdr:colOff>
      <xdr:row>392</xdr:row>
      <xdr:rowOff>52435</xdr:rowOff>
    </xdr:from>
    <xdr:ext cx="1397908" cy="31579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F16D868-8276-0744-96FC-266DA2257AAA}"/>
                </a:ext>
              </a:extLst>
            </xdr:cNvPr>
            <xdr:cNvSpPr txBox="1"/>
          </xdr:nvSpPr>
          <xdr:spPr>
            <a:xfrm>
              <a:off x="13521719615" y="24868235"/>
              <a:ext cx="1397908"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he-IL" sz="1100" b="0" i="1">
                            <a:latin typeface="Cambria Math" panose="02040503050406030204" pitchFamily="18" charset="0"/>
                          </a:rPr>
                          <m:t>תקבולים</m:t>
                        </m:r>
                      </m:sub>
                    </m:sSub>
                    <m:r>
                      <a:rPr lang="he-IL" sz="1100" b="0" i="1">
                        <a:latin typeface="Cambria Math" panose="02040503050406030204" pitchFamily="18" charset="0"/>
                      </a:rPr>
                      <m:t>=</m:t>
                    </m:r>
                    <m:f>
                      <m:fPr>
                        <m:ctrlPr>
                          <a:rPr lang="he-IL" sz="1100" b="0" i="1">
                            <a:latin typeface="Cambria Math" panose="02040503050406030204" pitchFamily="18" charset="0"/>
                          </a:rPr>
                        </m:ctrlPr>
                      </m:fPr>
                      <m:num>
                        <m:r>
                          <a:rPr lang="en-US" sz="1100" b="0" i="1">
                            <a:latin typeface="Cambria Math" panose="02040503050406030204" pitchFamily="18" charset="0"/>
                          </a:rPr>
                          <m:t>𝑃𝑀𝑇</m:t>
                        </m:r>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6" name="TextBox 5">
              <a:extLst>
                <a:ext uri="{FF2B5EF4-FFF2-40B4-BE49-F238E27FC236}">
                  <a16:creationId xmlns:a16="http://schemas.microsoft.com/office/drawing/2014/main" id="{5F16D868-8276-0744-96FC-266DA2257AAA}"/>
                </a:ext>
              </a:extLst>
            </xdr:cNvPr>
            <xdr:cNvSpPr txBox="1"/>
          </xdr:nvSpPr>
          <xdr:spPr>
            <a:xfrm>
              <a:off x="13521719615" y="24868235"/>
              <a:ext cx="1397908"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𝑃𝑉_</a:t>
              </a:r>
              <a:r>
                <a:rPr lang="he-IL" sz="1100" b="0" i="0">
                  <a:latin typeface="Cambria Math" panose="02040503050406030204" pitchFamily="18" charset="0"/>
                </a:rPr>
                <a:t>תקבולים=</a:t>
              </a:r>
              <a:r>
                <a:rPr lang="en-US" sz="1100" b="0" i="0">
                  <a:latin typeface="Cambria Math" panose="02040503050406030204" pitchFamily="18" charset="0"/>
                </a:rPr>
                <a:t>𝑃𝑀𝑇</a:t>
              </a:r>
              <a:r>
                <a:rPr lang="he-IL" sz="1100" b="0" i="0">
                  <a:latin typeface="Cambria Math" panose="02040503050406030204" pitchFamily="18" charset="0"/>
                </a:rPr>
                <a:t>/</a:t>
              </a:r>
              <a:r>
                <a:rPr lang="en-US" sz="1100" b="0" i="0">
                  <a:latin typeface="Cambria Math" panose="02040503050406030204" pitchFamily="18" charset="0"/>
                </a:rPr>
                <a:t>𝑟</a:t>
              </a:r>
              <a:endParaRPr lang="en-US" sz="1100"/>
            </a:p>
          </xdr:txBody>
        </xdr:sp>
      </mc:Fallback>
    </mc:AlternateContent>
    <xdr:clientData/>
  </xdr:oneCellAnchor>
  <xdr:oneCellAnchor>
    <xdr:from>
      <xdr:col>1</xdr:col>
      <xdr:colOff>392448</xdr:colOff>
      <xdr:row>398</xdr:row>
      <xdr:rowOff>199602</xdr:rowOff>
    </xdr:from>
    <xdr:ext cx="2624303" cy="20031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8D091D45-5A54-E340-BF4F-6DD5396C0BE0}"/>
                </a:ext>
              </a:extLst>
            </xdr:cNvPr>
            <xdr:cNvSpPr txBox="1"/>
          </xdr:nvSpPr>
          <xdr:spPr>
            <a:xfrm>
              <a:off x="13521416449" y="26234602"/>
              <a:ext cx="2624303" cy="20031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𝑁𝑃𝑉</m:t>
                    </m:r>
                    <m:r>
                      <a:rPr lang="en-US" sz="1100" b="0" i="1">
                        <a:latin typeface="Cambria Math" panose="02040503050406030204" pitchFamily="18" charset="0"/>
                      </a:rPr>
                      <m:t>=−</m:t>
                    </m:r>
                    <m:sSub>
                      <m:sSubPr>
                        <m:ctrlPr>
                          <a:rPr lang="en-US" sz="1100" b="0" i="1">
                            <a:latin typeface="Cambria Math" panose="02040503050406030204" pitchFamily="18" charset="0"/>
                          </a:rPr>
                        </m:ctrlPr>
                      </m:sSubPr>
                      <m:e>
                        <m:r>
                          <a:rPr lang="en-US" sz="1100" b="0" i="1">
                            <a:latin typeface="Cambria Math" panose="02040503050406030204" pitchFamily="18" charset="0"/>
                          </a:rPr>
                          <m:t>𝐼</m:t>
                        </m:r>
                      </m:e>
                      <m:sub>
                        <m:r>
                          <a:rPr lang="en-US" sz="1100" b="0" i="1">
                            <a:latin typeface="Cambria Math" panose="02040503050406030204" pitchFamily="18" charset="0"/>
                          </a:rPr>
                          <m:t>0</m:t>
                        </m:r>
                      </m:sub>
                    </m:sSub>
                    <m:r>
                      <a:rPr lang="en-US" sz="1100" b="0" i="1">
                        <a:latin typeface="Cambria Math" panose="02040503050406030204" pitchFamily="18" charset="0"/>
                      </a:rPr>
                      <m:t>+</m:t>
                    </m:r>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he-IL" sz="1100" b="0" i="1">
                            <a:latin typeface="Cambria Math" panose="02040503050406030204" pitchFamily="18" charset="0"/>
                          </a:rPr>
                          <m:t>תקבולים</m:t>
                        </m:r>
                      </m:sub>
                    </m:sSub>
                  </m:oMath>
                </m:oMathPara>
              </a14:m>
              <a:endParaRPr lang="en-US" sz="1100"/>
            </a:p>
          </xdr:txBody>
        </xdr:sp>
      </mc:Choice>
      <mc:Fallback xmlns="">
        <xdr:sp macro="" textlink="">
          <xdr:nvSpPr>
            <xdr:cNvPr id="7" name="TextBox 6">
              <a:extLst>
                <a:ext uri="{FF2B5EF4-FFF2-40B4-BE49-F238E27FC236}">
                  <a16:creationId xmlns:a16="http://schemas.microsoft.com/office/drawing/2014/main" id="{8D091D45-5A54-E340-BF4F-6DD5396C0BE0}"/>
                </a:ext>
              </a:extLst>
            </xdr:cNvPr>
            <xdr:cNvSpPr txBox="1"/>
          </xdr:nvSpPr>
          <xdr:spPr>
            <a:xfrm>
              <a:off x="13521416449" y="26234602"/>
              <a:ext cx="2624303" cy="20031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𝑁𝑃𝑉=−𝐼_0+𝑃𝑉_</a:t>
              </a:r>
              <a:r>
                <a:rPr lang="he-IL" sz="1100" b="0" i="0">
                  <a:latin typeface="Cambria Math" panose="02040503050406030204" pitchFamily="18" charset="0"/>
                </a:rPr>
                <a:t>תקבולים</a:t>
              </a:r>
              <a:endParaRPr lang="en-US" sz="1100"/>
            </a:p>
          </xdr:txBody>
        </xdr:sp>
      </mc:Fallback>
    </mc:AlternateContent>
    <xdr:clientData/>
  </xdr:oneCellAnchor>
  <xdr:twoCellAnchor>
    <xdr:from>
      <xdr:col>3</xdr:col>
      <xdr:colOff>147167</xdr:colOff>
      <xdr:row>400</xdr:row>
      <xdr:rowOff>27254</xdr:rowOff>
    </xdr:from>
    <xdr:to>
      <xdr:col>3</xdr:col>
      <xdr:colOff>261631</xdr:colOff>
      <xdr:row>401</xdr:row>
      <xdr:rowOff>185322</xdr:rowOff>
    </xdr:to>
    <xdr:sp macro="" textlink="">
      <xdr:nvSpPr>
        <xdr:cNvPr id="8" name="Down Arrow 7">
          <a:extLst>
            <a:ext uri="{FF2B5EF4-FFF2-40B4-BE49-F238E27FC236}">
              <a16:creationId xmlns:a16="http://schemas.microsoft.com/office/drawing/2014/main" id="{32D2C420-CFFA-244C-85B3-B09D2BECD3CC}"/>
            </a:ext>
          </a:extLst>
        </xdr:cNvPr>
        <xdr:cNvSpPr/>
      </xdr:nvSpPr>
      <xdr:spPr>
        <a:xfrm>
          <a:off x="13522253869" y="26468654"/>
          <a:ext cx="114464" cy="361268"/>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2</xdr:col>
      <xdr:colOff>343390</xdr:colOff>
      <xdr:row>400</xdr:row>
      <xdr:rowOff>16352</xdr:rowOff>
    </xdr:from>
    <xdr:to>
      <xdr:col>2</xdr:col>
      <xdr:colOff>457854</xdr:colOff>
      <xdr:row>401</xdr:row>
      <xdr:rowOff>174420</xdr:rowOff>
    </xdr:to>
    <xdr:sp macro="" textlink="">
      <xdr:nvSpPr>
        <xdr:cNvPr id="9" name="Down Arrow 8">
          <a:extLst>
            <a:ext uri="{FF2B5EF4-FFF2-40B4-BE49-F238E27FC236}">
              <a16:creationId xmlns:a16="http://schemas.microsoft.com/office/drawing/2014/main" id="{7020CAF3-8CF0-374D-B669-AB03A09A29D5}"/>
            </a:ext>
          </a:extLst>
        </xdr:cNvPr>
        <xdr:cNvSpPr/>
      </xdr:nvSpPr>
      <xdr:spPr>
        <a:xfrm>
          <a:off x="13522883146" y="26457752"/>
          <a:ext cx="114464" cy="361268"/>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1</xdr:col>
      <xdr:colOff>801245</xdr:colOff>
      <xdr:row>405</xdr:row>
      <xdr:rowOff>36081</xdr:rowOff>
    </xdr:from>
    <xdr:ext cx="629368" cy="318209"/>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463A9009-33F1-6541-8FBE-1E8B3CFF8737}"/>
                </a:ext>
              </a:extLst>
            </xdr:cNvPr>
            <xdr:cNvSpPr txBox="1"/>
          </xdr:nvSpPr>
          <xdr:spPr>
            <a:xfrm>
              <a:off x="13523002587" y="27493481"/>
              <a:ext cx="629368" cy="318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f>
                      <m:fPr>
                        <m:ctrlPr>
                          <a:rPr lang="he-IL" sz="1100" b="0" i="1">
                            <a:latin typeface="Cambria Math" panose="02040503050406030204" pitchFamily="18" charset="0"/>
                          </a:rPr>
                        </m:ctrlPr>
                      </m:fPr>
                      <m:num>
                        <m:r>
                          <a:rPr lang="en-US" sz="1100" b="0" i="1">
                            <a:latin typeface="Cambria Math" panose="02040503050406030204" pitchFamily="18" charset="0"/>
                          </a:rPr>
                          <m:t>𝑃𝑀𝑇</m:t>
                        </m:r>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10" name="TextBox 9">
              <a:extLst>
                <a:ext uri="{FF2B5EF4-FFF2-40B4-BE49-F238E27FC236}">
                  <a16:creationId xmlns:a16="http://schemas.microsoft.com/office/drawing/2014/main" id="{463A9009-33F1-6541-8FBE-1E8B3CFF8737}"/>
                </a:ext>
              </a:extLst>
            </xdr:cNvPr>
            <xdr:cNvSpPr txBox="1"/>
          </xdr:nvSpPr>
          <xdr:spPr>
            <a:xfrm>
              <a:off x="13523002587" y="27493481"/>
              <a:ext cx="629368" cy="318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𝑃𝑀𝑇</a:t>
              </a:r>
              <a:r>
                <a:rPr lang="he-IL" sz="1100" b="0" i="0">
                  <a:latin typeface="Cambria Math" panose="02040503050406030204" pitchFamily="18" charset="0"/>
                </a:rPr>
                <a:t>/</a:t>
              </a:r>
              <a:r>
                <a:rPr lang="en-US" sz="1100" b="0" i="0">
                  <a:latin typeface="Cambria Math" panose="02040503050406030204" pitchFamily="18" charset="0"/>
                </a:rPr>
                <a:t>𝑟</a:t>
              </a:r>
              <a:endParaRPr lang="en-US" sz="1100"/>
            </a:p>
          </xdr:txBody>
        </xdr:sp>
      </mc:Fallback>
    </mc:AlternateContent>
    <xdr:clientData/>
  </xdr:oneCellAnchor>
  <xdr:oneCellAnchor>
    <xdr:from>
      <xdr:col>1</xdr:col>
      <xdr:colOff>474208</xdr:colOff>
      <xdr:row>407</xdr:row>
      <xdr:rowOff>112392</xdr:rowOff>
    </xdr:from>
    <xdr:ext cx="2624303" cy="320344"/>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9DB7B833-B1DE-AD40-9A8B-734291D41502}"/>
                </a:ext>
              </a:extLst>
            </xdr:cNvPr>
            <xdr:cNvSpPr txBox="1"/>
          </xdr:nvSpPr>
          <xdr:spPr>
            <a:xfrm>
              <a:off x="13521334689" y="27976192"/>
              <a:ext cx="2624303" cy="3203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𝑁𝑃𝑉</m:t>
                    </m:r>
                    <m:r>
                      <a:rPr lang="en-US" sz="1100" b="0" i="1">
                        <a:latin typeface="Cambria Math" panose="02040503050406030204" pitchFamily="18" charset="0"/>
                      </a:rPr>
                      <m:t>=−500+</m:t>
                    </m:r>
                    <m:f>
                      <m:fPr>
                        <m:ctrlPr>
                          <a:rPr lang="he-IL" sz="1100" b="0" i="1">
                            <a:solidFill>
                              <a:srgbClr val="FF0000"/>
                            </a:solidFill>
                            <a:latin typeface="Cambria Math" panose="02040503050406030204" pitchFamily="18" charset="0"/>
                          </a:rPr>
                        </m:ctrlPr>
                      </m:fPr>
                      <m:num>
                        <m:r>
                          <a:rPr lang="he-IL" sz="1100" b="0" i="1">
                            <a:solidFill>
                              <a:srgbClr val="FF0000"/>
                            </a:solidFill>
                            <a:latin typeface="Cambria Math" panose="02040503050406030204" pitchFamily="18" charset="0"/>
                          </a:rPr>
                          <m:t>75</m:t>
                        </m:r>
                      </m:num>
                      <m:den>
                        <m:r>
                          <a:rPr lang="en-US" sz="1100" b="0" i="1">
                            <a:solidFill>
                              <a:srgbClr val="FF0000"/>
                            </a:solidFill>
                            <a:latin typeface="Cambria Math" panose="02040503050406030204" pitchFamily="18" charset="0"/>
                          </a:rPr>
                          <m:t>𝑟</m:t>
                        </m:r>
                      </m:den>
                    </m:f>
                    <m:r>
                      <a:rPr lang="en-US" sz="1100" b="0" i="1">
                        <a:solidFill>
                          <a:srgbClr val="FF0000"/>
                        </a:solidFill>
                        <a:latin typeface="Cambria Math" panose="02040503050406030204" pitchFamily="18" charset="0"/>
                      </a:rPr>
                      <m:t>=20</m:t>
                    </m:r>
                  </m:oMath>
                </m:oMathPara>
              </a14:m>
              <a:endParaRPr lang="en-US" sz="1100"/>
            </a:p>
          </xdr:txBody>
        </xdr:sp>
      </mc:Choice>
      <mc:Fallback xmlns="">
        <xdr:sp macro="" textlink="">
          <xdr:nvSpPr>
            <xdr:cNvPr id="11" name="TextBox 10">
              <a:extLst>
                <a:ext uri="{FF2B5EF4-FFF2-40B4-BE49-F238E27FC236}">
                  <a16:creationId xmlns:a16="http://schemas.microsoft.com/office/drawing/2014/main" id="{9DB7B833-B1DE-AD40-9A8B-734291D41502}"/>
                </a:ext>
              </a:extLst>
            </xdr:cNvPr>
            <xdr:cNvSpPr txBox="1"/>
          </xdr:nvSpPr>
          <xdr:spPr>
            <a:xfrm>
              <a:off x="13521334689" y="27976192"/>
              <a:ext cx="2624303" cy="3203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𝑁𝑃𝑉=−500+</a:t>
              </a:r>
              <a:r>
                <a:rPr lang="he-IL" sz="1100" b="0" i="0">
                  <a:solidFill>
                    <a:srgbClr val="FF0000"/>
                  </a:solidFill>
                  <a:latin typeface="Cambria Math" panose="02040503050406030204" pitchFamily="18" charset="0"/>
                </a:rPr>
                <a:t>75/</a:t>
              </a:r>
              <a:r>
                <a:rPr lang="en-US" sz="1100" b="0" i="0">
                  <a:solidFill>
                    <a:srgbClr val="FF0000"/>
                  </a:solidFill>
                  <a:latin typeface="Cambria Math" panose="02040503050406030204" pitchFamily="18" charset="0"/>
                </a:rPr>
                <a:t>𝑟=20</a:t>
              </a:r>
              <a:endParaRPr lang="en-US" sz="1100"/>
            </a:p>
          </xdr:txBody>
        </xdr:sp>
      </mc:Fallback>
    </mc:AlternateContent>
    <xdr:clientData/>
  </xdr:oneCellAnchor>
  <xdr:oneCellAnchor>
    <xdr:from>
      <xdr:col>0</xdr:col>
      <xdr:colOff>1695150</xdr:colOff>
      <xdr:row>410</xdr:row>
      <xdr:rowOff>14281</xdr:rowOff>
    </xdr:from>
    <xdr:ext cx="3425548" cy="321498"/>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064788E6-E27E-A74C-A787-F33621C594AE}"/>
                </a:ext>
              </a:extLst>
            </xdr:cNvPr>
            <xdr:cNvSpPr txBox="1"/>
          </xdr:nvSpPr>
          <xdr:spPr>
            <a:xfrm>
              <a:off x="13521052402" y="28487681"/>
              <a:ext cx="3425548" cy="3214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f>
                      <m:fPr>
                        <m:ctrlPr>
                          <a:rPr lang="he-IL" sz="1100" b="0" i="1">
                            <a:latin typeface="Cambria Math" panose="02040503050406030204" pitchFamily="18" charset="0"/>
                          </a:rPr>
                        </m:ctrlPr>
                      </m:fPr>
                      <m:num>
                        <m:r>
                          <a:rPr lang="he-IL" sz="1100" b="0" i="1">
                            <a:latin typeface="Cambria Math" panose="02040503050406030204" pitchFamily="18" charset="0"/>
                          </a:rPr>
                          <m:t>75</m:t>
                        </m:r>
                      </m:num>
                      <m:den>
                        <m:r>
                          <a:rPr lang="en-US" sz="1100" b="0" i="1">
                            <a:latin typeface="Cambria Math" panose="02040503050406030204" pitchFamily="18" charset="0"/>
                          </a:rPr>
                          <m:t>𝑟</m:t>
                        </m:r>
                      </m:den>
                    </m:f>
                    <m:r>
                      <a:rPr lang="en-US" sz="1100" b="0" i="1">
                        <a:latin typeface="Cambria Math" panose="02040503050406030204" pitchFamily="18" charset="0"/>
                      </a:rPr>
                      <m:t>=520→520</m:t>
                    </m:r>
                    <m:r>
                      <a:rPr lang="en-US" sz="1100" b="0" i="1">
                        <a:latin typeface="Cambria Math" panose="02040503050406030204" pitchFamily="18" charset="0"/>
                      </a:rPr>
                      <m:t>𝑟</m:t>
                    </m:r>
                    <m:r>
                      <a:rPr lang="en-US" sz="1100" b="0" i="1">
                        <a:latin typeface="Cambria Math" panose="02040503050406030204" pitchFamily="18" charset="0"/>
                      </a:rPr>
                      <m:t>=75→</m:t>
                    </m:r>
                    <m:r>
                      <a:rPr lang="en-US" sz="1100" b="0" i="1">
                        <a:latin typeface="Cambria Math" panose="02040503050406030204" pitchFamily="18" charset="0"/>
                      </a:rPr>
                      <m:t>𝑟</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75</m:t>
                        </m:r>
                      </m:num>
                      <m:den>
                        <m:r>
                          <a:rPr lang="en-US" sz="1100" b="0" i="1">
                            <a:latin typeface="Cambria Math" panose="02040503050406030204" pitchFamily="18" charset="0"/>
                          </a:rPr>
                          <m:t>520</m:t>
                        </m:r>
                      </m:den>
                    </m:f>
                    <m:r>
                      <a:rPr lang="en-US" sz="1100" b="0" i="1">
                        <a:latin typeface="Cambria Math" panose="02040503050406030204" pitchFamily="18" charset="0"/>
                      </a:rPr>
                      <m:t>=</m:t>
                    </m:r>
                    <m:r>
                      <a:rPr lang="en-US" sz="1100" b="1" i="1">
                        <a:solidFill>
                          <a:srgbClr val="00B050"/>
                        </a:solidFill>
                        <a:latin typeface="Cambria Math" panose="02040503050406030204" pitchFamily="18" charset="0"/>
                      </a:rPr>
                      <m:t>𝟏𝟒</m:t>
                    </m:r>
                    <m:r>
                      <a:rPr lang="en-US" sz="1100" b="1" i="1">
                        <a:solidFill>
                          <a:srgbClr val="00B050"/>
                        </a:solidFill>
                        <a:latin typeface="Cambria Math" panose="02040503050406030204" pitchFamily="18" charset="0"/>
                      </a:rPr>
                      <m:t>.</m:t>
                    </m:r>
                    <m:r>
                      <a:rPr lang="en-US" sz="1100" b="1" i="1">
                        <a:solidFill>
                          <a:srgbClr val="00B050"/>
                        </a:solidFill>
                        <a:latin typeface="Cambria Math" panose="02040503050406030204" pitchFamily="18" charset="0"/>
                      </a:rPr>
                      <m:t>𝟒</m:t>
                    </m:r>
                    <m:r>
                      <a:rPr lang="en-US" sz="1100" b="1" i="1">
                        <a:solidFill>
                          <a:srgbClr val="00B050"/>
                        </a:solidFill>
                        <a:latin typeface="Cambria Math" panose="02040503050406030204" pitchFamily="18" charset="0"/>
                      </a:rPr>
                      <m:t>%</m:t>
                    </m:r>
                  </m:oMath>
                </m:oMathPara>
              </a14:m>
              <a:endParaRPr lang="en-US" sz="1100" b="1"/>
            </a:p>
          </xdr:txBody>
        </xdr:sp>
      </mc:Choice>
      <mc:Fallback xmlns="">
        <xdr:sp macro="" textlink="">
          <xdr:nvSpPr>
            <xdr:cNvPr id="12" name="TextBox 11">
              <a:extLst>
                <a:ext uri="{FF2B5EF4-FFF2-40B4-BE49-F238E27FC236}">
                  <a16:creationId xmlns:a16="http://schemas.microsoft.com/office/drawing/2014/main" id="{064788E6-E27E-A74C-A787-F33621C594AE}"/>
                </a:ext>
              </a:extLst>
            </xdr:cNvPr>
            <xdr:cNvSpPr txBox="1"/>
          </xdr:nvSpPr>
          <xdr:spPr>
            <a:xfrm>
              <a:off x="13521052402" y="28487681"/>
              <a:ext cx="3425548" cy="3214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75/</a:t>
              </a:r>
              <a:r>
                <a:rPr lang="en-US" sz="1100" b="0" i="0">
                  <a:latin typeface="Cambria Math" panose="02040503050406030204" pitchFamily="18" charset="0"/>
                </a:rPr>
                <a:t>𝑟=520→520𝑟=75→𝑟=75/520=</a:t>
              </a:r>
              <a:r>
                <a:rPr lang="en-US" sz="1100" b="1" i="0">
                  <a:solidFill>
                    <a:srgbClr val="00B050"/>
                  </a:solidFill>
                  <a:latin typeface="Cambria Math" panose="02040503050406030204" pitchFamily="18" charset="0"/>
                </a:rPr>
                <a:t>𝟏𝟒.𝟒%</a:t>
              </a:r>
              <a:endParaRPr lang="en-US" sz="1100" b="1"/>
            </a:p>
          </xdr:txBody>
        </xdr:sp>
      </mc:Fallback>
    </mc:AlternateContent>
    <xdr:clientData/>
  </xdr:oneCellAnchor>
  <xdr:oneCellAnchor>
    <xdr:from>
      <xdr:col>1</xdr:col>
      <xdr:colOff>332491</xdr:colOff>
      <xdr:row>415</xdr:row>
      <xdr:rowOff>30632</xdr:rowOff>
    </xdr:from>
    <xdr:ext cx="2624303" cy="315792"/>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3B218930-A74B-B243-9B3A-7DFFC0AD83E9}"/>
                </a:ext>
              </a:extLst>
            </xdr:cNvPr>
            <xdr:cNvSpPr txBox="1"/>
          </xdr:nvSpPr>
          <xdr:spPr>
            <a:xfrm>
              <a:off x="13521476406" y="29532732"/>
              <a:ext cx="2624303" cy="315792"/>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𝑁𝑃𝑉</m:t>
                    </m:r>
                    <m:r>
                      <a:rPr lang="en-US" sz="1100" b="0" i="1">
                        <a:latin typeface="Cambria Math" panose="02040503050406030204" pitchFamily="18" charset="0"/>
                      </a:rPr>
                      <m:t>=−</m:t>
                    </m:r>
                    <m:sSub>
                      <m:sSubPr>
                        <m:ctrlPr>
                          <a:rPr lang="en-US" sz="1100" b="0" i="1">
                            <a:latin typeface="Cambria Math" panose="02040503050406030204" pitchFamily="18" charset="0"/>
                          </a:rPr>
                        </m:ctrlPr>
                      </m:sSubPr>
                      <m:e>
                        <m:r>
                          <a:rPr lang="en-US" sz="1100" b="0" i="1">
                            <a:latin typeface="Cambria Math" panose="02040503050406030204" pitchFamily="18" charset="0"/>
                          </a:rPr>
                          <m:t>𝐼</m:t>
                        </m:r>
                      </m:e>
                      <m:sub>
                        <m:r>
                          <a:rPr lang="en-US" sz="1100" b="0" i="1">
                            <a:latin typeface="Cambria Math" panose="02040503050406030204" pitchFamily="18" charset="0"/>
                          </a:rPr>
                          <m:t>0</m:t>
                        </m:r>
                      </m:sub>
                    </m:sSub>
                    <m:r>
                      <a:rPr lang="en-US" sz="1100" b="0" i="1">
                        <a:latin typeface="Cambria Math" panose="02040503050406030204" pitchFamily="18" charset="0"/>
                      </a:rPr>
                      <m:t>+</m:t>
                    </m:r>
                    <m:f>
                      <m:fPr>
                        <m:ctrlPr>
                          <a:rPr lang="he-IL" sz="1100" b="0" i="1">
                            <a:latin typeface="Cambria Math" panose="02040503050406030204" pitchFamily="18" charset="0"/>
                          </a:rPr>
                        </m:ctrlPr>
                      </m:fPr>
                      <m:num>
                        <m:r>
                          <a:rPr lang="en-US" sz="1100" b="0" i="1">
                            <a:latin typeface="Cambria Math" panose="02040503050406030204" pitchFamily="18" charset="0"/>
                          </a:rPr>
                          <m:t>𝑃𝑀𝑇</m:t>
                        </m:r>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13" name="TextBox 12">
              <a:extLst>
                <a:ext uri="{FF2B5EF4-FFF2-40B4-BE49-F238E27FC236}">
                  <a16:creationId xmlns:a16="http://schemas.microsoft.com/office/drawing/2014/main" id="{3B218930-A74B-B243-9B3A-7DFFC0AD83E9}"/>
                </a:ext>
              </a:extLst>
            </xdr:cNvPr>
            <xdr:cNvSpPr txBox="1"/>
          </xdr:nvSpPr>
          <xdr:spPr>
            <a:xfrm>
              <a:off x="13521476406" y="29532732"/>
              <a:ext cx="2624303" cy="315792"/>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𝑁𝑃𝑉=−𝐼_0+𝑃𝑀𝑇</a:t>
              </a:r>
              <a:r>
                <a:rPr lang="he-IL" sz="1100" b="0" i="0">
                  <a:latin typeface="Cambria Math" panose="02040503050406030204" pitchFamily="18" charset="0"/>
                </a:rPr>
                <a:t>/</a:t>
              </a:r>
              <a:r>
                <a:rPr lang="en-US" sz="1100" b="0" i="0">
                  <a:latin typeface="Cambria Math" panose="02040503050406030204" pitchFamily="18" charset="0"/>
                </a:rPr>
                <a:t>𝑟</a:t>
              </a:r>
              <a:endParaRPr lang="en-US" sz="1100"/>
            </a:p>
          </xdr:txBody>
        </xdr:sp>
      </mc:Fallback>
    </mc:AlternateContent>
    <xdr:clientData/>
  </xdr:oneCellAnchor>
  <xdr:oneCellAnchor>
    <xdr:from>
      <xdr:col>1</xdr:col>
      <xdr:colOff>190774</xdr:colOff>
      <xdr:row>462</xdr:row>
      <xdr:rowOff>139644</xdr:rowOff>
    </xdr:from>
    <xdr:ext cx="2624303" cy="315792"/>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7D428BA0-A35D-3149-8919-787752718B44}"/>
                </a:ext>
              </a:extLst>
            </xdr:cNvPr>
            <xdr:cNvSpPr txBox="1"/>
          </xdr:nvSpPr>
          <xdr:spPr>
            <a:xfrm>
              <a:off x="13521618123" y="31889644"/>
              <a:ext cx="2624303"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𝑁𝑃𝑉</m:t>
                    </m:r>
                    <m:r>
                      <a:rPr lang="en-US" sz="1100" b="0" i="1">
                        <a:latin typeface="Cambria Math" panose="02040503050406030204" pitchFamily="18" charset="0"/>
                      </a:rPr>
                      <m:t>=−</m:t>
                    </m:r>
                    <m:sSub>
                      <m:sSubPr>
                        <m:ctrlPr>
                          <a:rPr lang="en-US" sz="1100" b="0" i="1">
                            <a:latin typeface="Cambria Math" panose="02040503050406030204" pitchFamily="18" charset="0"/>
                          </a:rPr>
                        </m:ctrlPr>
                      </m:sSubPr>
                      <m:e>
                        <m:r>
                          <a:rPr lang="en-US" sz="1100" b="0" i="1">
                            <a:latin typeface="Cambria Math" panose="02040503050406030204" pitchFamily="18" charset="0"/>
                          </a:rPr>
                          <m:t>𝐼</m:t>
                        </m:r>
                      </m:e>
                      <m:sub>
                        <m:r>
                          <a:rPr lang="en-US" sz="1100" b="0" i="1">
                            <a:latin typeface="Cambria Math" panose="02040503050406030204" pitchFamily="18" charset="0"/>
                          </a:rPr>
                          <m:t>0</m:t>
                        </m:r>
                      </m:sub>
                    </m:sSub>
                    <m:r>
                      <a:rPr lang="en-US" sz="1100" b="0" i="1">
                        <a:latin typeface="Cambria Math" panose="02040503050406030204" pitchFamily="18" charset="0"/>
                      </a:rPr>
                      <m:t>+</m:t>
                    </m:r>
                    <m:f>
                      <m:fPr>
                        <m:ctrlPr>
                          <a:rPr lang="he-IL" sz="1100" b="0" i="1">
                            <a:latin typeface="Cambria Math" panose="02040503050406030204" pitchFamily="18" charset="0"/>
                          </a:rPr>
                        </m:ctrlPr>
                      </m:fPr>
                      <m:num>
                        <m:r>
                          <a:rPr lang="en-US" sz="1100" b="0" i="1">
                            <a:latin typeface="Cambria Math" panose="02040503050406030204" pitchFamily="18" charset="0"/>
                          </a:rPr>
                          <m:t>𝑃𝑀𝑇</m:t>
                        </m:r>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14" name="TextBox 13">
              <a:extLst>
                <a:ext uri="{FF2B5EF4-FFF2-40B4-BE49-F238E27FC236}">
                  <a16:creationId xmlns:a16="http://schemas.microsoft.com/office/drawing/2014/main" id="{7D428BA0-A35D-3149-8919-787752718B44}"/>
                </a:ext>
              </a:extLst>
            </xdr:cNvPr>
            <xdr:cNvSpPr txBox="1"/>
          </xdr:nvSpPr>
          <xdr:spPr>
            <a:xfrm>
              <a:off x="13521618123" y="31889644"/>
              <a:ext cx="2624303"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𝑁𝑃𝑉=−𝐼_0+𝑃𝑀𝑇</a:t>
              </a:r>
              <a:r>
                <a:rPr lang="he-IL" sz="1100" b="0" i="0">
                  <a:latin typeface="Cambria Math" panose="02040503050406030204" pitchFamily="18" charset="0"/>
                </a:rPr>
                <a:t>/</a:t>
              </a:r>
              <a:r>
                <a:rPr lang="en-US" sz="1100" b="0" i="0">
                  <a:latin typeface="Cambria Math" panose="02040503050406030204" pitchFamily="18" charset="0"/>
                </a:rPr>
                <a:t>𝑟</a:t>
              </a:r>
              <a:endParaRPr lang="en-US" sz="1100"/>
            </a:p>
          </xdr:txBody>
        </xdr:sp>
      </mc:Fallback>
    </mc:AlternateContent>
    <xdr:clientData/>
  </xdr:oneCellAnchor>
  <xdr:oneCellAnchor>
    <xdr:from>
      <xdr:col>1</xdr:col>
      <xdr:colOff>201675</xdr:colOff>
      <xdr:row>469</xdr:row>
      <xdr:rowOff>3379</xdr:rowOff>
    </xdr:from>
    <xdr:ext cx="2624303" cy="320344"/>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29285C69-E862-344C-91CC-DE1F47CD4C39}"/>
                </a:ext>
              </a:extLst>
            </xdr:cNvPr>
            <xdr:cNvSpPr txBox="1"/>
          </xdr:nvSpPr>
          <xdr:spPr>
            <a:xfrm>
              <a:off x="13521607222" y="33175779"/>
              <a:ext cx="2624303" cy="3203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latin typeface="Cambria Math" panose="02040503050406030204" pitchFamily="18" charset="0"/>
                      </a:rPr>
                      <m:t>0</m:t>
                    </m:r>
                    <m:r>
                      <a:rPr lang="en-US" sz="1100" b="0" i="1">
                        <a:latin typeface="Cambria Math" panose="02040503050406030204" pitchFamily="18" charset="0"/>
                      </a:rPr>
                      <m:t>=−</m:t>
                    </m:r>
                    <m:r>
                      <a:rPr lang="he-IL" sz="1100" b="0" i="1">
                        <a:latin typeface="Cambria Math" panose="02040503050406030204" pitchFamily="18" charset="0"/>
                      </a:rPr>
                      <m:t>200</m:t>
                    </m:r>
                    <m:r>
                      <a:rPr lang="en-US" sz="1100" b="0" i="1">
                        <a:latin typeface="Cambria Math" panose="02040503050406030204" pitchFamily="18" charset="0"/>
                      </a:rPr>
                      <m:t>+</m:t>
                    </m:r>
                    <m:f>
                      <m:fPr>
                        <m:ctrlPr>
                          <a:rPr lang="he-IL" sz="1100" b="0" i="1">
                            <a:latin typeface="Cambria Math" panose="02040503050406030204" pitchFamily="18" charset="0"/>
                          </a:rPr>
                        </m:ctrlPr>
                      </m:fPr>
                      <m:num>
                        <m:r>
                          <a:rPr lang="he-IL" sz="1100" b="0" i="1">
                            <a:latin typeface="Cambria Math" panose="02040503050406030204" pitchFamily="18" charset="0"/>
                          </a:rPr>
                          <m:t>15</m:t>
                        </m:r>
                      </m:num>
                      <m:den>
                        <m:r>
                          <a:rPr lang="en-US" sz="1100" b="0" i="1">
                            <a:latin typeface="Cambria Math" panose="02040503050406030204" pitchFamily="18" charset="0"/>
                          </a:rPr>
                          <m:t>𝐼𝑅𝑅</m:t>
                        </m:r>
                      </m:den>
                    </m:f>
                    <m:r>
                      <a:rPr lang="en-US" sz="1100" b="0" i="1">
                        <a:latin typeface="Cambria Math" panose="02040503050406030204" pitchFamily="18" charset="0"/>
                      </a:rPr>
                      <m:t>→</m:t>
                    </m:r>
                    <m:r>
                      <a:rPr lang="en-US" sz="1100" b="0" i="1">
                        <a:latin typeface="Cambria Math" panose="02040503050406030204" pitchFamily="18" charset="0"/>
                      </a:rPr>
                      <m:t>𝐼𝑅𝑅</m:t>
                    </m:r>
                    <m:r>
                      <a:rPr lang="en-US" sz="1100" b="0" i="1">
                        <a:latin typeface="Cambria Math" panose="02040503050406030204" pitchFamily="18" charset="0"/>
                      </a:rPr>
                      <m:t>=7.5%</m:t>
                    </m:r>
                  </m:oMath>
                </m:oMathPara>
              </a14:m>
              <a:endParaRPr lang="en-US" sz="1100"/>
            </a:p>
          </xdr:txBody>
        </xdr:sp>
      </mc:Choice>
      <mc:Fallback xmlns="">
        <xdr:sp macro="" textlink="">
          <xdr:nvSpPr>
            <xdr:cNvPr id="15" name="TextBox 14">
              <a:extLst>
                <a:ext uri="{FF2B5EF4-FFF2-40B4-BE49-F238E27FC236}">
                  <a16:creationId xmlns:a16="http://schemas.microsoft.com/office/drawing/2014/main" id="{29285C69-E862-344C-91CC-DE1F47CD4C39}"/>
                </a:ext>
              </a:extLst>
            </xdr:cNvPr>
            <xdr:cNvSpPr txBox="1"/>
          </xdr:nvSpPr>
          <xdr:spPr>
            <a:xfrm>
              <a:off x="13521607222" y="33175779"/>
              <a:ext cx="2624303" cy="3203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0</a:t>
              </a:r>
              <a:r>
                <a:rPr lang="en-US" sz="1100" b="0" i="0">
                  <a:latin typeface="Cambria Math" panose="02040503050406030204" pitchFamily="18" charset="0"/>
                </a:rPr>
                <a:t>=−</a:t>
              </a:r>
              <a:r>
                <a:rPr lang="he-IL" sz="1100" b="0" i="0">
                  <a:latin typeface="Cambria Math" panose="02040503050406030204" pitchFamily="18" charset="0"/>
                </a:rPr>
                <a:t>200</a:t>
              </a:r>
              <a:r>
                <a:rPr lang="en-US" sz="1100" b="0" i="0">
                  <a:latin typeface="Cambria Math" panose="02040503050406030204" pitchFamily="18" charset="0"/>
                </a:rPr>
                <a:t>+</a:t>
              </a:r>
              <a:r>
                <a:rPr lang="he-IL" sz="1100" b="0" i="0">
                  <a:latin typeface="Cambria Math" panose="02040503050406030204" pitchFamily="18" charset="0"/>
                </a:rPr>
                <a:t>15/</a:t>
              </a:r>
              <a:r>
                <a:rPr lang="en-US" sz="1100" b="0" i="0">
                  <a:latin typeface="Cambria Math" panose="02040503050406030204" pitchFamily="18" charset="0"/>
                </a:rPr>
                <a:t>𝐼𝑅𝑅→𝐼𝑅𝑅=7.5%</a:t>
              </a:r>
              <a:endParaRPr lang="en-US" sz="1100"/>
            </a:p>
          </xdr:txBody>
        </xdr:sp>
      </mc:Fallback>
    </mc:AlternateContent>
    <xdr:clientData/>
  </xdr:oneCellAnchor>
  <xdr:oneCellAnchor>
    <xdr:from>
      <xdr:col>0</xdr:col>
      <xdr:colOff>1095580</xdr:colOff>
      <xdr:row>479</xdr:row>
      <xdr:rowOff>101490</xdr:rowOff>
    </xdr:from>
    <xdr:ext cx="3561814" cy="25180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78881575-09C9-4F4E-8856-69B7E8AAAAAE}"/>
                </a:ext>
              </a:extLst>
            </xdr:cNvPr>
            <xdr:cNvSpPr txBox="1"/>
          </xdr:nvSpPr>
          <xdr:spPr>
            <a:xfrm>
              <a:off x="13521515706" y="35305890"/>
              <a:ext cx="3561814" cy="251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𝐼𝑅</m:t>
                    </m:r>
                    <m:sSub>
                      <m:sSubPr>
                        <m:ctrlPr>
                          <a:rPr lang="en-US" sz="1100" b="0" i="1">
                            <a:latin typeface="Cambria Math" panose="02040503050406030204" pitchFamily="18" charset="0"/>
                          </a:rPr>
                        </m:ctrlPr>
                      </m:sSubPr>
                      <m:e>
                        <m:r>
                          <a:rPr lang="en-US" sz="1100" b="0" i="1">
                            <a:latin typeface="Cambria Math" panose="02040503050406030204" pitchFamily="18" charset="0"/>
                          </a:rPr>
                          <m:t>𝑅</m:t>
                        </m:r>
                      </m:e>
                      <m:sub>
                        <m:r>
                          <a:rPr lang="en-US" sz="1100" b="0" i="1">
                            <a:latin typeface="Cambria Math" panose="02040503050406030204" pitchFamily="18" charset="0"/>
                          </a:rPr>
                          <m:t>𝐴𝑁𝑁𝑈𝐴𝐿</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𝐼𝑅</m:t>
                            </m:r>
                            <m:sSub>
                              <m:sSubPr>
                                <m:ctrlPr>
                                  <a:rPr lang="en-US" sz="1100" b="0" i="1">
                                    <a:latin typeface="Cambria Math" panose="02040503050406030204" pitchFamily="18" charset="0"/>
                                  </a:rPr>
                                </m:ctrlPr>
                              </m:sSubPr>
                              <m:e>
                                <m:r>
                                  <a:rPr lang="en-US" sz="1100" b="0" i="1">
                                    <a:latin typeface="Cambria Math" panose="02040503050406030204" pitchFamily="18" charset="0"/>
                                  </a:rPr>
                                  <m:t>𝑅</m:t>
                                </m:r>
                              </m:e>
                              <m:sub>
                                <m:r>
                                  <a:rPr lang="en-US" sz="1100" b="0" i="1">
                                    <a:latin typeface="Cambria Math" panose="02040503050406030204" pitchFamily="18" charset="0"/>
                                  </a:rPr>
                                  <m:t>7 </m:t>
                                </m:r>
                                <m:r>
                                  <a:rPr lang="en-US" sz="1100" b="0" i="1">
                                    <a:latin typeface="Cambria Math" panose="02040503050406030204" pitchFamily="18" charset="0"/>
                                  </a:rPr>
                                  <m:t>𝑀𝑜𝑛𝑡h𝑠</m:t>
                                </m:r>
                              </m:sub>
                            </m:sSub>
                          </m:e>
                        </m:d>
                      </m:e>
                      <m:sup>
                        <m:f>
                          <m:fPr>
                            <m:ctrlPr>
                              <a:rPr lang="en-US" sz="1100" b="0" i="1">
                                <a:latin typeface="Cambria Math" panose="02040503050406030204" pitchFamily="18" charset="0"/>
                              </a:rPr>
                            </m:ctrlPr>
                          </m:fPr>
                          <m:num>
                            <m:r>
                              <a:rPr lang="en-US" sz="1100" b="0" i="1">
                                <a:latin typeface="Cambria Math" panose="02040503050406030204" pitchFamily="18" charset="0"/>
                              </a:rPr>
                              <m:t>12</m:t>
                            </m:r>
                          </m:num>
                          <m:den>
                            <m:r>
                              <a:rPr lang="en-US" sz="1100" b="0" i="1">
                                <a:latin typeface="Cambria Math" panose="02040503050406030204" pitchFamily="18" charset="0"/>
                              </a:rPr>
                              <m:t>7</m:t>
                            </m:r>
                          </m:den>
                        </m:f>
                      </m:sup>
                    </m:sSup>
                    <m:r>
                      <a:rPr lang="en-US" sz="1100" b="0" i="1">
                        <a:latin typeface="Cambria Math" panose="02040503050406030204" pitchFamily="18" charset="0"/>
                      </a:rPr>
                      <m:t>−1</m:t>
                    </m:r>
                  </m:oMath>
                </m:oMathPara>
              </a14:m>
              <a:endParaRPr lang="en-US" sz="1100"/>
            </a:p>
          </xdr:txBody>
        </xdr:sp>
      </mc:Choice>
      <mc:Fallback xmlns="">
        <xdr:sp macro="" textlink="">
          <xdr:nvSpPr>
            <xdr:cNvPr id="16" name="TextBox 15">
              <a:extLst>
                <a:ext uri="{FF2B5EF4-FFF2-40B4-BE49-F238E27FC236}">
                  <a16:creationId xmlns:a16="http://schemas.microsoft.com/office/drawing/2014/main" id="{78881575-09C9-4F4E-8856-69B7E8AAAAAE}"/>
                </a:ext>
              </a:extLst>
            </xdr:cNvPr>
            <xdr:cNvSpPr txBox="1"/>
          </xdr:nvSpPr>
          <xdr:spPr>
            <a:xfrm>
              <a:off x="13521515706" y="35305890"/>
              <a:ext cx="3561814" cy="251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𝐼𝑅𝑅_𝐴𝑁𝑁𝑈𝐴𝐿=(1+𝐼𝑅𝑅_(7 𝑀𝑜𝑛𝑡ℎ𝑠) )^(12/7)−1</a:t>
              </a:r>
              <a:endParaRPr lang="en-US" sz="1100"/>
            </a:p>
          </xdr:txBody>
        </xdr:sp>
      </mc:Fallback>
    </mc:AlternateContent>
    <xdr:clientData/>
  </xdr:oneCellAnchor>
  <xdr:oneCellAnchor>
    <xdr:from>
      <xdr:col>0</xdr:col>
      <xdr:colOff>1280902</xdr:colOff>
      <xdr:row>484</xdr:row>
      <xdr:rowOff>8829</xdr:rowOff>
    </xdr:from>
    <xdr:ext cx="3561814" cy="251800"/>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027FD64C-C4A5-2A45-A830-A7E6B966FD9E}"/>
                </a:ext>
              </a:extLst>
            </xdr:cNvPr>
            <xdr:cNvSpPr txBox="1"/>
          </xdr:nvSpPr>
          <xdr:spPr>
            <a:xfrm>
              <a:off x="13521330384" y="36229229"/>
              <a:ext cx="3561814" cy="251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𝐼𝑅</m:t>
                    </m:r>
                    <m:sSub>
                      <m:sSubPr>
                        <m:ctrlPr>
                          <a:rPr lang="en-US" sz="1100" b="0" i="1">
                            <a:latin typeface="Cambria Math" panose="02040503050406030204" pitchFamily="18" charset="0"/>
                          </a:rPr>
                        </m:ctrlPr>
                      </m:sSubPr>
                      <m:e>
                        <m:r>
                          <a:rPr lang="en-US" sz="1100" b="0" i="1">
                            <a:latin typeface="Cambria Math" panose="02040503050406030204" pitchFamily="18" charset="0"/>
                          </a:rPr>
                          <m:t>𝑅</m:t>
                        </m:r>
                      </m:e>
                      <m:sub>
                        <m:r>
                          <a:rPr lang="en-US" sz="1100" b="0" i="1">
                            <a:latin typeface="Cambria Math" panose="02040503050406030204" pitchFamily="18" charset="0"/>
                          </a:rPr>
                          <m:t>𝐴𝑁𝑁𝑈𝐴𝐿</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7.5%</m:t>
                            </m:r>
                          </m:e>
                        </m:d>
                      </m:e>
                      <m:sup>
                        <m:f>
                          <m:fPr>
                            <m:ctrlPr>
                              <a:rPr lang="en-US" sz="1100" b="0" i="1">
                                <a:latin typeface="Cambria Math" panose="02040503050406030204" pitchFamily="18" charset="0"/>
                              </a:rPr>
                            </m:ctrlPr>
                          </m:fPr>
                          <m:num>
                            <m:r>
                              <a:rPr lang="en-US" sz="1100" b="0" i="1">
                                <a:latin typeface="Cambria Math" panose="02040503050406030204" pitchFamily="18" charset="0"/>
                              </a:rPr>
                              <m:t>12</m:t>
                            </m:r>
                          </m:num>
                          <m:den>
                            <m:r>
                              <a:rPr lang="en-US" sz="1100" b="0" i="1">
                                <a:latin typeface="Cambria Math" panose="02040503050406030204" pitchFamily="18" charset="0"/>
                              </a:rPr>
                              <m:t>7</m:t>
                            </m:r>
                          </m:den>
                        </m:f>
                      </m:sup>
                    </m:sSup>
                    <m:r>
                      <a:rPr lang="en-US" sz="1100" b="0" i="1">
                        <a:latin typeface="Cambria Math" panose="02040503050406030204" pitchFamily="18" charset="0"/>
                      </a:rPr>
                      <m:t>−1</m:t>
                    </m:r>
                    <m:r>
                      <a:rPr lang="he-IL" sz="1100" b="0" i="1">
                        <a:latin typeface="Cambria Math" panose="02040503050406030204" pitchFamily="18" charset="0"/>
                      </a:rPr>
                      <m:t>=</m:t>
                    </m:r>
                    <m:r>
                      <a:rPr lang="he-IL" sz="1100" b="1" i="1">
                        <a:solidFill>
                          <a:srgbClr val="FF0000"/>
                        </a:solidFill>
                        <a:latin typeface="Cambria Math" panose="02040503050406030204" pitchFamily="18" charset="0"/>
                      </a:rPr>
                      <m:t>𝟏𝟑</m:t>
                    </m:r>
                    <m:r>
                      <a:rPr lang="he-IL" sz="1100" b="1" i="1">
                        <a:solidFill>
                          <a:srgbClr val="FF0000"/>
                        </a:solidFill>
                        <a:latin typeface="Cambria Math" panose="02040503050406030204" pitchFamily="18" charset="0"/>
                      </a:rPr>
                      <m:t>.</m:t>
                    </m:r>
                    <m:r>
                      <a:rPr lang="he-IL" sz="1100" b="1" i="1">
                        <a:solidFill>
                          <a:srgbClr val="FF0000"/>
                        </a:solidFill>
                        <a:latin typeface="Cambria Math" panose="02040503050406030204" pitchFamily="18" charset="0"/>
                      </a:rPr>
                      <m:t>𝟐</m:t>
                    </m:r>
                    <m:r>
                      <a:rPr lang="he-IL" sz="1100" b="1" i="1">
                        <a:solidFill>
                          <a:srgbClr val="FF0000"/>
                        </a:solidFill>
                        <a:latin typeface="Cambria Math" panose="02040503050406030204" pitchFamily="18" charset="0"/>
                      </a:rPr>
                      <m:t>%</m:t>
                    </m:r>
                  </m:oMath>
                </m:oMathPara>
              </a14:m>
              <a:endParaRPr lang="en-US" sz="1100" b="1"/>
            </a:p>
          </xdr:txBody>
        </xdr:sp>
      </mc:Choice>
      <mc:Fallback xmlns="">
        <xdr:sp macro="" textlink="">
          <xdr:nvSpPr>
            <xdr:cNvPr id="17" name="TextBox 16">
              <a:extLst>
                <a:ext uri="{FF2B5EF4-FFF2-40B4-BE49-F238E27FC236}">
                  <a16:creationId xmlns:a16="http://schemas.microsoft.com/office/drawing/2014/main" id="{027FD64C-C4A5-2A45-A830-A7E6B966FD9E}"/>
                </a:ext>
              </a:extLst>
            </xdr:cNvPr>
            <xdr:cNvSpPr txBox="1"/>
          </xdr:nvSpPr>
          <xdr:spPr>
            <a:xfrm>
              <a:off x="13521330384" y="36229229"/>
              <a:ext cx="3561814" cy="251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𝐼𝑅𝑅_𝐴𝑁𝑁𝑈𝐴𝐿=(1+</a:t>
              </a:r>
              <a:r>
                <a:rPr lang="he-IL" sz="1100" b="0" i="0">
                  <a:latin typeface="Cambria Math" panose="02040503050406030204" pitchFamily="18" charset="0"/>
                </a:rPr>
                <a:t>7.5%)</a:t>
              </a:r>
              <a:r>
                <a:rPr lang="en-US" sz="1100" b="0" i="0">
                  <a:latin typeface="Cambria Math" panose="02040503050406030204" pitchFamily="18" charset="0"/>
                </a:rPr>
                <a:t>^(12/7)−1</a:t>
              </a:r>
              <a:r>
                <a:rPr lang="he-IL" sz="1100" b="0" i="0">
                  <a:latin typeface="Cambria Math" panose="02040503050406030204" pitchFamily="18" charset="0"/>
                </a:rPr>
                <a:t>=</a:t>
              </a:r>
              <a:r>
                <a:rPr lang="he-IL" sz="1100" b="1" i="0">
                  <a:solidFill>
                    <a:srgbClr val="FF0000"/>
                  </a:solidFill>
                  <a:latin typeface="Cambria Math" panose="02040503050406030204" pitchFamily="18" charset="0"/>
                </a:rPr>
                <a:t>𝟏𝟑.𝟐%</a:t>
              </a:r>
              <a:endParaRPr lang="en-US" sz="1100" b="1"/>
            </a:p>
          </xdr:txBody>
        </xdr:sp>
      </mc:Fallback>
    </mc:AlternateContent>
    <xdr:clientData/>
  </xdr:oneCellAnchor>
  <xdr:oneCellAnchor>
    <xdr:from>
      <xdr:col>2</xdr:col>
      <xdr:colOff>436051</xdr:colOff>
      <xdr:row>941</xdr:row>
      <xdr:rowOff>155997</xdr:rowOff>
    </xdr:from>
    <xdr:ext cx="2177350" cy="34015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C18E08E-63B9-C244-832F-5C899FD438BD}"/>
                </a:ext>
              </a:extLst>
            </xdr:cNvPr>
            <xdr:cNvSpPr txBox="1"/>
          </xdr:nvSpPr>
          <xdr:spPr>
            <a:xfrm>
              <a:off x="13520727599" y="39424397"/>
              <a:ext cx="2177350" cy="340158"/>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1" i="1">
                            <a:latin typeface="Cambria Math" panose="02040503050406030204" pitchFamily="18" charset="0"/>
                          </a:rPr>
                        </m:ctrlPr>
                      </m:sSubPr>
                      <m:e>
                        <m:r>
                          <a:rPr lang="en-US" sz="1100" b="1" i="1">
                            <a:latin typeface="Cambria Math" panose="02040503050406030204" pitchFamily="18" charset="0"/>
                          </a:rPr>
                          <m:t>𝒓</m:t>
                        </m:r>
                      </m:e>
                      <m:sub>
                        <m:r>
                          <a:rPr lang="en-US" sz="1100" b="1" i="1">
                            <a:latin typeface="Cambria Math" panose="02040503050406030204" pitchFamily="18" charset="0"/>
                          </a:rPr>
                          <m:t>𝒆</m:t>
                        </m:r>
                      </m:sub>
                    </m:sSub>
                    <m:r>
                      <a:rPr lang="en-US" sz="1100" b="1" i="1">
                        <a:latin typeface="Cambria Math" panose="02040503050406030204" pitchFamily="18" charset="0"/>
                      </a:rPr>
                      <m:t>=</m:t>
                    </m:r>
                    <m:sSup>
                      <m:sSupPr>
                        <m:ctrlPr>
                          <a:rPr lang="en-US" sz="1100" b="1" i="1">
                            <a:latin typeface="Cambria Math" panose="02040503050406030204" pitchFamily="18" charset="0"/>
                          </a:rPr>
                        </m:ctrlPr>
                      </m:sSupPr>
                      <m:e>
                        <m:d>
                          <m:dPr>
                            <m:ctrlPr>
                              <a:rPr lang="en-US" sz="1100" b="1" i="1">
                                <a:latin typeface="Cambria Math" panose="02040503050406030204" pitchFamily="18" charset="0"/>
                              </a:rPr>
                            </m:ctrlPr>
                          </m:dPr>
                          <m:e>
                            <m:r>
                              <a:rPr lang="en-US" sz="1100" b="1" i="1">
                                <a:latin typeface="Cambria Math" panose="02040503050406030204" pitchFamily="18" charset="0"/>
                              </a:rPr>
                              <m:t>𝟏</m:t>
                            </m:r>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rPr>
                                  <m:t>𝑹</m:t>
                                </m:r>
                              </m:num>
                              <m:den>
                                <m:r>
                                  <a:rPr lang="en-US" sz="1100" b="1" i="1">
                                    <a:latin typeface="Cambria Math" panose="02040503050406030204" pitchFamily="18" charset="0"/>
                                  </a:rPr>
                                  <m:t>𝒏</m:t>
                                </m:r>
                              </m:den>
                            </m:f>
                          </m:e>
                        </m:d>
                      </m:e>
                      <m:sup>
                        <m:r>
                          <a:rPr lang="en-US" sz="1100" b="1" i="1">
                            <a:latin typeface="Cambria Math" panose="02040503050406030204" pitchFamily="18" charset="0"/>
                          </a:rPr>
                          <m:t>𝒎</m:t>
                        </m:r>
                      </m:sup>
                    </m:sSup>
                    <m:r>
                      <a:rPr lang="en-US" sz="1100" b="1" i="1">
                        <a:latin typeface="Cambria Math" panose="02040503050406030204" pitchFamily="18" charset="0"/>
                      </a:rPr>
                      <m:t>−</m:t>
                    </m:r>
                    <m:r>
                      <a:rPr lang="en-US" sz="1100" b="1" i="1">
                        <a:latin typeface="Cambria Math" panose="02040503050406030204" pitchFamily="18" charset="0"/>
                      </a:rPr>
                      <m:t>𝟏</m:t>
                    </m:r>
                  </m:oMath>
                </m:oMathPara>
              </a14:m>
              <a:endParaRPr lang="en-US" sz="1100" b="1"/>
            </a:p>
          </xdr:txBody>
        </xdr:sp>
      </mc:Choice>
      <mc:Fallback xmlns="">
        <xdr:sp macro="" textlink="">
          <xdr:nvSpPr>
            <xdr:cNvPr id="18" name="TextBox 17">
              <a:extLst>
                <a:ext uri="{FF2B5EF4-FFF2-40B4-BE49-F238E27FC236}">
                  <a16:creationId xmlns:a16="http://schemas.microsoft.com/office/drawing/2014/main" id="{4C18E08E-63B9-C244-832F-5C899FD438BD}"/>
                </a:ext>
              </a:extLst>
            </xdr:cNvPr>
            <xdr:cNvSpPr txBox="1"/>
          </xdr:nvSpPr>
          <xdr:spPr>
            <a:xfrm>
              <a:off x="13520727599" y="39424397"/>
              <a:ext cx="2177350" cy="340158"/>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1" i="0">
                  <a:latin typeface="Cambria Math" panose="02040503050406030204" pitchFamily="18" charset="0"/>
                </a:rPr>
                <a:t>𝒓_𝒆=(𝟏+𝑹/𝒏)^𝒎−𝟏</a:t>
              </a:r>
              <a:endParaRPr lang="en-US" sz="1100" b="1"/>
            </a:p>
          </xdr:txBody>
        </xdr:sp>
      </mc:Fallback>
    </mc:AlternateContent>
    <xdr:clientData/>
  </xdr:oneCellAnchor>
  <xdr:oneCellAnchor>
    <xdr:from>
      <xdr:col>2</xdr:col>
      <xdr:colOff>610471</xdr:colOff>
      <xdr:row>949</xdr:row>
      <xdr:rowOff>8830</xdr:rowOff>
    </xdr:from>
    <xdr:ext cx="2177350" cy="481670"/>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ACAD9152-6692-2F4C-8BC3-717038FBE609}"/>
                </a:ext>
              </a:extLst>
            </xdr:cNvPr>
            <xdr:cNvSpPr txBox="1"/>
          </xdr:nvSpPr>
          <xdr:spPr>
            <a:xfrm>
              <a:off x="13520553179" y="40902830"/>
              <a:ext cx="2177350" cy="4816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he-IL" sz="1100" b="0" i="1">
                            <a:latin typeface="Cambria Math" panose="02040503050406030204" pitchFamily="18" charset="0"/>
                          </a:rPr>
                        </m:ctrlPr>
                      </m:fPr>
                      <m:num>
                        <m:r>
                          <a:rPr lang="he-IL"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𝑑</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den>
                    </m:f>
                    <m:r>
                      <a:rPr lang="en-US" sz="1100" b="0" i="1">
                        <a:latin typeface="Cambria Math" panose="02040503050406030204" pitchFamily="18" charset="0"/>
                      </a:rPr>
                      <m:t>−1</m:t>
                    </m:r>
                  </m:oMath>
                </m:oMathPara>
              </a14:m>
              <a:endParaRPr lang="en-US" sz="1100"/>
            </a:p>
          </xdr:txBody>
        </xdr:sp>
      </mc:Choice>
      <mc:Fallback xmlns="">
        <xdr:sp macro="" textlink="">
          <xdr:nvSpPr>
            <xdr:cNvPr id="19" name="TextBox 18">
              <a:extLst>
                <a:ext uri="{FF2B5EF4-FFF2-40B4-BE49-F238E27FC236}">
                  <a16:creationId xmlns:a16="http://schemas.microsoft.com/office/drawing/2014/main" id="{ACAD9152-6692-2F4C-8BC3-717038FBE609}"/>
                </a:ext>
              </a:extLst>
            </xdr:cNvPr>
            <xdr:cNvSpPr txBox="1"/>
          </xdr:nvSpPr>
          <xdr:spPr>
            <a:xfrm>
              <a:off x="13520553179" y="40902830"/>
              <a:ext cx="2177350" cy="4816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a:t>
              </a:r>
              <a:r>
                <a:rPr lang="he-IL" sz="1100" b="0" i="0">
                  <a:latin typeface="Cambria Math" panose="02040503050406030204" pitchFamily="18" charset="0"/>
                </a:rPr>
                <a:t>1/(1−</a:t>
              </a:r>
              <a:r>
                <a:rPr lang="en-US" sz="1100" b="0" i="0">
                  <a:latin typeface="Cambria Math" panose="02040503050406030204" pitchFamily="18" charset="0"/>
                </a:rPr>
                <a:t>𝑑/𝑛)^𝑚 −1</a:t>
              </a:r>
              <a:endParaRPr lang="en-US" sz="1100"/>
            </a:p>
          </xdr:txBody>
        </xdr:sp>
      </mc:Fallback>
    </mc:AlternateContent>
    <xdr:clientData/>
  </xdr:oneCellAnchor>
  <xdr:oneCellAnchor>
    <xdr:from>
      <xdr:col>2</xdr:col>
      <xdr:colOff>474206</xdr:colOff>
      <xdr:row>957</xdr:row>
      <xdr:rowOff>19731</xdr:rowOff>
    </xdr:from>
    <xdr:ext cx="2177350" cy="614977"/>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9EB5C90B-154B-A243-B604-97AA95DC1DD2}"/>
                </a:ext>
              </a:extLst>
            </xdr:cNvPr>
            <xdr:cNvSpPr txBox="1"/>
          </xdr:nvSpPr>
          <xdr:spPr>
            <a:xfrm>
              <a:off x="13520689444" y="42539331"/>
              <a:ext cx="2177350" cy="6149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he-IL"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𝑅</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num>
                      <m:den>
                        <m:sSup>
                          <m:sSupPr>
                            <m:ctrlPr>
                              <a:rPr lang="en-US"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𝑑</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den>
                    </m:f>
                    <m:r>
                      <a:rPr lang="he-IL" sz="1100" b="0" i="1">
                        <a:latin typeface="Cambria Math" panose="02040503050406030204" pitchFamily="18" charset="0"/>
                      </a:rPr>
                      <m:t>−1</m:t>
                    </m:r>
                  </m:oMath>
                </m:oMathPara>
              </a14:m>
              <a:endParaRPr lang="en-US" sz="1100"/>
            </a:p>
          </xdr:txBody>
        </xdr:sp>
      </mc:Choice>
      <mc:Fallback xmlns="">
        <xdr:sp macro="" textlink="">
          <xdr:nvSpPr>
            <xdr:cNvPr id="20" name="TextBox 19">
              <a:extLst>
                <a:ext uri="{FF2B5EF4-FFF2-40B4-BE49-F238E27FC236}">
                  <a16:creationId xmlns:a16="http://schemas.microsoft.com/office/drawing/2014/main" id="{9EB5C90B-154B-A243-B604-97AA95DC1DD2}"/>
                </a:ext>
              </a:extLst>
            </xdr:cNvPr>
            <xdr:cNvSpPr txBox="1"/>
          </xdr:nvSpPr>
          <xdr:spPr>
            <a:xfrm>
              <a:off x="13520689444" y="42539331"/>
              <a:ext cx="2177350" cy="6149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𝑟_𝑒=(1+𝑅/𝑛)^𝑚</a:t>
              </a:r>
              <a:r>
                <a:rPr lang="he-IL" sz="1100" b="0" i="0">
                  <a:latin typeface="Cambria Math" panose="02040503050406030204" pitchFamily="18" charset="0"/>
                </a:rPr>
                <a:t>/(1−</a:t>
              </a:r>
              <a:r>
                <a:rPr lang="en-US" sz="1100" b="0" i="0">
                  <a:latin typeface="Cambria Math" panose="02040503050406030204" pitchFamily="18" charset="0"/>
                </a:rPr>
                <a:t>𝑑/𝑛)^𝑚 </a:t>
              </a:r>
              <a:r>
                <a:rPr lang="he-IL" sz="1100" b="0" i="0">
                  <a:latin typeface="Cambria Math" panose="02040503050406030204" pitchFamily="18" charset="0"/>
                </a:rPr>
                <a:t>−1</a:t>
              </a:r>
              <a:endParaRPr lang="en-US" sz="1100"/>
            </a:p>
          </xdr:txBody>
        </xdr:sp>
      </mc:Fallback>
    </mc:AlternateContent>
    <xdr:clientData/>
  </xdr:oneCellAnchor>
  <xdr:oneCellAnchor>
    <xdr:from>
      <xdr:col>2</xdr:col>
      <xdr:colOff>347870</xdr:colOff>
      <xdr:row>962</xdr:row>
      <xdr:rowOff>130865</xdr:rowOff>
    </xdr:from>
    <xdr:ext cx="2172647" cy="172227"/>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797ECA82-7D9C-CD4C-8450-34BB94198643}"/>
                </a:ext>
              </a:extLst>
            </xdr:cNvPr>
            <xdr:cNvSpPr txBox="1"/>
          </xdr:nvSpPr>
          <xdr:spPr>
            <a:xfrm>
              <a:off x="13520820483" y="43666465"/>
              <a:ext cx="2172647" cy="172227"/>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21" name="TextBox 20">
              <a:extLst>
                <a:ext uri="{FF2B5EF4-FFF2-40B4-BE49-F238E27FC236}">
                  <a16:creationId xmlns:a16="http://schemas.microsoft.com/office/drawing/2014/main" id="{797ECA82-7D9C-CD4C-8450-34BB94198643}"/>
                </a:ext>
              </a:extLst>
            </xdr:cNvPr>
            <xdr:cNvSpPr txBox="1"/>
          </xdr:nvSpPr>
          <xdr:spPr>
            <a:xfrm>
              <a:off x="13520820483" y="43666465"/>
              <a:ext cx="2172647" cy="172227"/>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𝑟_𝑒=(1+𝑟)^𝑚−1</a:t>
              </a:r>
              <a:endParaRPr lang="en-US" sz="1100"/>
            </a:p>
          </xdr:txBody>
        </xdr:sp>
      </mc:Fallback>
    </mc:AlternateContent>
    <xdr:clientData/>
  </xdr:oneCellAnchor>
  <xdr:oneCellAnchor>
    <xdr:from>
      <xdr:col>1</xdr:col>
      <xdr:colOff>646044</xdr:colOff>
      <xdr:row>970</xdr:row>
      <xdr:rowOff>180561</xdr:rowOff>
    </xdr:from>
    <xdr:ext cx="2310690" cy="172227"/>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BEF4ECE0-7B55-074A-AD58-0BC940B47B89}"/>
                </a:ext>
              </a:extLst>
            </xdr:cNvPr>
            <xdr:cNvSpPr txBox="1"/>
          </xdr:nvSpPr>
          <xdr:spPr>
            <a:xfrm>
              <a:off x="13521476466" y="45341761"/>
              <a:ext cx="2310690"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1</m:t>
                            </m:r>
                          </m:sub>
                        </m:sSub>
                      </m:e>
                    </m:d>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2</m:t>
                            </m:r>
                          </m:sub>
                        </m:sSub>
                      </m:e>
                    </m:d>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3</m:t>
                            </m:r>
                          </m:sub>
                        </m:sSub>
                      </m:e>
                    </m:d>
                    <m:r>
                      <a:rPr lang="en-US" sz="1100" b="0" i="1">
                        <a:latin typeface="Cambria Math" panose="02040503050406030204" pitchFamily="18" charset="0"/>
                      </a:rPr>
                      <m:t>−1</m:t>
                    </m:r>
                  </m:oMath>
                </m:oMathPara>
              </a14:m>
              <a:endParaRPr lang="en-US" sz="1100"/>
            </a:p>
          </xdr:txBody>
        </xdr:sp>
      </mc:Choice>
      <mc:Fallback xmlns="">
        <xdr:sp macro="" textlink="">
          <xdr:nvSpPr>
            <xdr:cNvPr id="22" name="TextBox 21">
              <a:extLst>
                <a:ext uri="{FF2B5EF4-FFF2-40B4-BE49-F238E27FC236}">
                  <a16:creationId xmlns:a16="http://schemas.microsoft.com/office/drawing/2014/main" id="{BEF4ECE0-7B55-074A-AD58-0BC940B47B89}"/>
                </a:ext>
              </a:extLst>
            </xdr:cNvPr>
            <xdr:cNvSpPr txBox="1"/>
          </xdr:nvSpPr>
          <xdr:spPr>
            <a:xfrm>
              <a:off x="13521476466" y="45341761"/>
              <a:ext cx="2310690"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𝑟_𝑒=(1+𝑟_1 )∗(1+𝑟_2 )∗(1+𝑟_3 )−1</a:t>
              </a:r>
              <a:endParaRPr lang="en-US" sz="1100"/>
            </a:p>
          </xdr:txBody>
        </xdr:sp>
      </mc:Fallback>
    </mc:AlternateContent>
    <xdr:clientData/>
  </xdr:oneCellAnchor>
  <xdr:oneCellAnchor>
    <xdr:from>
      <xdr:col>2</xdr:col>
      <xdr:colOff>501650</xdr:colOff>
      <xdr:row>983</xdr:row>
      <xdr:rowOff>12700</xdr:rowOff>
    </xdr:from>
    <xdr:ext cx="2177350" cy="359329"/>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D78F85F3-400C-4142-A8F7-AF333913AA83}"/>
                </a:ext>
              </a:extLst>
            </xdr:cNvPr>
            <xdr:cNvSpPr txBox="1"/>
          </xdr:nvSpPr>
          <xdr:spPr>
            <a:xfrm>
              <a:off x="13520662000" y="47815500"/>
              <a:ext cx="2177350" cy="3593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1" i="1">
                            <a:latin typeface="Cambria Math" panose="02040503050406030204" pitchFamily="18" charset="0"/>
                          </a:rPr>
                        </m:ctrlPr>
                      </m:sSubPr>
                      <m:e>
                        <m:r>
                          <a:rPr lang="en-US" sz="1100" b="1" i="1">
                            <a:latin typeface="Cambria Math" panose="02040503050406030204" pitchFamily="18" charset="0"/>
                          </a:rPr>
                          <m:t>𝒓</m:t>
                        </m:r>
                      </m:e>
                      <m:sub>
                        <m:r>
                          <a:rPr lang="en-US" sz="1100" b="1" i="1">
                            <a:latin typeface="Cambria Math" panose="02040503050406030204" pitchFamily="18" charset="0"/>
                          </a:rPr>
                          <m:t>𝒆</m:t>
                        </m:r>
                      </m:sub>
                    </m:sSub>
                    <m:r>
                      <a:rPr lang="en-US" sz="1100" b="1" i="1">
                        <a:latin typeface="Cambria Math" panose="02040503050406030204" pitchFamily="18" charset="0"/>
                      </a:rPr>
                      <m:t>=</m:t>
                    </m:r>
                    <m:sSup>
                      <m:sSupPr>
                        <m:ctrlPr>
                          <a:rPr lang="en-US" sz="1100" b="1" i="1">
                            <a:latin typeface="Cambria Math" panose="02040503050406030204" pitchFamily="18" charset="0"/>
                          </a:rPr>
                        </m:ctrlPr>
                      </m:sSupPr>
                      <m:e>
                        <m:d>
                          <m:dPr>
                            <m:ctrlPr>
                              <a:rPr lang="en-US" sz="1100" b="1" i="1">
                                <a:latin typeface="Cambria Math" panose="02040503050406030204" pitchFamily="18" charset="0"/>
                              </a:rPr>
                            </m:ctrlPr>
                          </m:dPr>
                          <m:e>
                            <m:r>
                              <a:rPr lang="en-US" sz="1100" b="1" i="1">
                                <a:latin typeface="Cambria Math" panose="02040503050406030204" pitchFamily="18" charset="0"/>
                              </a:rPr>
                              <m:t>𝟏</m:t>
                            </m:r>
                            <m:r>
                              <a:rPr lang="en-US" sz="1100" b="1" i="1">
                                <a:latin typeface="Cambria Math" panose="02040503050406030204" pitchFamily="18" charset="0"/>
                              </a:rPr>
                              <m:t>+</m:t>
                            </m:r>
                            <m:f>
                              <m:fPr>
                                <m:ctrlPr>
                                  <a:rPr lang="en-US" sz="1100" b="1" i="1">
                                    <a:latin typeface="Cambria Math" panose="02040503050406030204" pitchFamily="18" charset="0"/>
                                  </a:rPr>
                                </m:ctrlPr>
                              </m:fPr>
                              <m:num>
                                <m:r>
                                  <a:rPr lang="he-IL" sz="1100" b="1" i="1">
                                    <a:latin typeface="Cambria Math" panose="02040503050406030204" pitchFamily="18" charset="0"/>
                                  </a:rPr>
                                  <m:t>𝟏𝟐</m:t>
                                </m:r>
                                <m:r>
                                  <a:rPr lang="he-IL" sz="1100" b="1" i="1">
                                    <a:latin typeface="Cambria Math" panose="02040503050406030204" pitchFamily="18" charset="0"/>
                                  </a:rPr>
                                  <m:t>%</m:t>
                                </m:r>
                              </m:num>
                              <m:den>
                                <m:r>
                                  <a:rPr lang="he-IL" sz="1100" b="1" i="1">
                                    <a:latin typeface="Cambria Math" panose="02040503050406030204" pitchFamily="18" charset="0"/>
                                  </a:rPr>
                                  <m:t>𝟏𝟐</m:t>
                                </m:r>
                              </m:den>
                            </m:f>
                          </m:e>
                        </m:d>
                      </m:e>
                      <m:sup>
                        <m:r>
                          <a:rPr lang="he-IL" sz="1100" b="1" i="1">
                            <a:latin typeface="Cambria Math" panose="02040503050406030204" pitchFamily="18" charset="0"/>
                          </a:rPr>
                          <m:t>𝟏</m:t>
                        </m:r>
                      </m:sup>
                    </m:sSup>
                    <m:r>
                      <a:rPr lang="en-US" sz="1100" b="1" i="1">
                        <a:latin typeface="Cambria Math" panose="02040503050406030204" pitchFamily="18" charset="0"/>
                      </a:rPr>
                      <m:t>−</m:t>
                    </m:r>
                    <m:r>
                      <a:rPr lang="en-US" sz="1100" b="1" i="1">
                        <a:latin typeface="Cambria Math" panose="02040503050406030204" pitchFamily="18" charset="0"/>
                      </a:rPr>
                      <m:t>𝟏</m:t>
                    </m:r>
                    <m:r>
                      <a:rPr lang="he-IL" sz="1100" b="1" i="1">
                        <a:latin typeface="Cambria Math" panose="02040503050406030204" pitchFamily="18" charset="0"/>
                      </a:rPr>
                      <m:t>=</m:t>
                    </m:r>
                    <m:r>
                      <a:rPr lang="he-IL" sz="1100" b="1" i="1">
                        <a:latin typeface="Cambria Math" panose="02040503050406030204" pitchFamily="18" charset="0"/>
                      </a:rPr>
                      <m:t>𝟏</m:t>
                    </m:r>
                    <m:r>
                      <a:rPr lang="he-IL" sz="1100" b="1" i="1">
                        <a:latin typeface="Cambria Math" panose="02040503050406030204" pitchFamily="18" charset="0"/>
                      </a:rPr>
                      <m:t>%</m:t>
                    </m:r>
                  </m:oMath>
                </m:oMathPara>
              </a14:m>
              <a:endParaRPr lang="en-US" sz="1100" b="1"/>
            </a:p>
          </xdr:txBody>
        </xdr:sp>
      </mc:Choice>
      <mc:Fallback xmlns="">
        <xdr:sp macro="" textlink="">
          <xdr:nvSpPr>
            <xdr:cNvPr id="23" name="TextBox 22">
              <a:extLst>
                <a:ext uri="{FF2B5EF4-FFF2-40B4-BE49-F238E27FC236}">
                  <a16:creationId xmlns:a16="http://schemas.microsoft.com/office/drawing/2014/main" id="{D78F85F3-400C-4142-A8F7-AF333913AA83}"/>
                </a:ext>
              </a:extLst>
            </xdr:cNvPr>
            <xdr:cNvSpPr txBox="1"/>
          </xdr:nvSpPr>
          <xdr:spPr>
            <a:xfrm>
              <a:off x="13520662000" y="47815500"/>
              <a:ext cx="2177350" cy="3593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1" i="0">
                  <a:latin typeface="Cambria Math" panose="02040503050406030204" pitchFamily="18" charset="0"/>
                </a:rPr>
                <a:t>𝒓_𝒆=(𝟏+(</a:t>
              </a:r>
              <a:r>
                <a:rPr lang="he-IL" sz="1100" b="1" i="0">
                  <a:latin typeface="Cambria Math" panose="02040503050406030204" pitchFamily="18" charset="0"/>
                </a:rPr>
                <a:t>𝟏𝟐%</a:t>
              </a:r>
              <a:r>
                <a:rPr lang="en-US" sz="1100" b="1" i="0">
                  <a:latin typeface="Cambria Math" panose="02040503050406030204" pitchFamily="18" charset="0"/>
                </a:rPr>
                <a:t>)/</a:t>
              </a:r>
              <a:r>
                <a:rPr lang="he-IL" sz="1100" b="1" i="0">
                  <a:latin typeface="Cambria Math" panose="02040503050406030204" pitchFamily="18" charset="0"/>
                </a:rPr>
                <a:t>𝟏𝟐)</a:t>
              </a:r>
              <a:r>
                <a:rPr lang="en-US" sz="1100" b="1" i="0">
                  <a:latin typeface="Cambria Math" panose="02040503050406030204" pitchFamily="18" charset="0"/>
                </a:rPr>
                <a:t>^</a:t>
              </a:r>
              <a:r>
                <a:rPr lang="he-IL" sz="1100" b="1" i="0">
                  <a:latin typeface="Cambria Math" panose="02040503050406030204" pitchFamily="18" charset="0"/>
                </a:rPr>
                <a:t>𝟏</a:t>
              </a:r>
              <a:r>
                <a:rPr lang="en-US" sz="1100" b="1" i="0">
                  <a:latin typeface="Cambria Math" panose="02040503050406030204" pitchFamily="18" charset="0"/>
                </a:rPr>
                <a:t>−𝟏</a:t>
              </a:r>
              <a:r>
                <a:rPr lang="he-IL" sz="1100" b="1" i="0">
                  <a:latin typeface="Cambria Math" panose="02040503050406030204" pitchFamily="18" charset="0"/>
                </a:rPr>
                <a:t>=𝟏%</a:t>
              </a:r>
              <a:endParaRPr lang="en-US" sz="1100" b="1"/>
            </a:p>
          </xdr:txBody>
        </xdr:sp>
      </mc:Fallback>
    </mc:AlternateContent>
    <xdr:clientData/>
  </xdr:oneCellAnchor>
  <xdr:twoCellAnchor>
    <xdr:from>
      <xdr:col>5</xdr:col>
      <xdr:colOff>67679</xdr:colOff>
      <xdr:row>515</xdr:row>
      <xdr:rowOff>35830</xdr:rowOff>
    </xdr:from>
    <xdr:to>
      <xdr:col>7</xdr:col>
      <xdr:colOff>226927</xdr:colOff>
      <xdr:row>520</xdr:row>
      <xdr:rowOff>167209</xdr:rowOff>
    </xdr:to>
    <xdr:sp macro="" textlink="">
      <xdr:nvSpPr>
        <xdr:cNvPr id="24" name="Rectangular Callout 23">
          <a:extLst>
            <a:ext uri="{FF2B5EF4-FFF2-40B4-BE49-F238E27FC236}">
              <a16:creationId xmlns:a16="http://schemas.microsoft.com/office/drawing/2014/main" id="{67D2720F-971E-2E77-38C6-1B25474BB994}"/>
            </a:ext>
          </a:extLst>
        </xdr:cNvPr>
        <xdr:cNvSpPr/>
      </xdr:nvSpPr>
      <xdr:spPr>
        <a:xfrm>
          <a:off x="13496166584" y="23815485"/>
          <a:ext cx="1807461" cy="1146583"/>
        </a:xfrm>
        <a:prstGeom prst="wedgeRectCallout">
          <a:avLst>
            <a:gd name="adj1" fmla="val 26959"/>
            <a:gd name="adj2" fmla="val -72571"/>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ערך</a:t>
          </a:r>
          <a:r>
            <a:rPr lang="he-IL" sz="1100" baseline="0"/>
            <a:t> עתידי של סכום יחיד (הפקדה בודדת) לזמן 20 ״ערב תחילת המשיכות״</a:t>
          </a:r>
        </a:p>
        <a:p>
          <a:pPr algn="r" rtl="1"/>
          <a:r>
            <a:rPr lang="he-IL" sz="1100" baseline="0"/>
            <a:t>ה-</a:t>
          </a:r>
          <a:r>
            <a:rPr lang="en-US" sz="1100" baseline="0"/>
            <a:t>n</a:t>
          </a:r>
          <a:r>
            <a:rPr lang="he-IL" sz="1100" baseline="0"/>
            <a:t> בהפקדה בודדת הוא מספר תקופות הריבית, וההפקדה הבודדת תוזן ב-</a:t>
          </a:r>
          <a:r>
            <a:rPr lang="en-US" sz="1100" baseline="0"/>
            <a:t>PV</a:t>
          </a:r>
          <a:endParaRPr lang="en-US" sz="1100"/>
        </a:p>
      </xdr:txBody>
    </xdr:sp>
    <xdr:clientData/>
  </xdr:twoCellAnchor>
  <xdr:twoCellAnchor>
    <xdr:from>
      <xdr:col>3</xdr:col>
      <xdr:colOff>67680</xdr:colOff>
      <xdr:row>513</xdr:row>
      <xdr:rowOff>145314</xdr:rowOff>
    </xdr:from>
    <xdr:to>
      <xdr:col>4</xdr:col>
      <xdr:colOff>631018</xdr:colOff>
      <xdr:row>514</xdr:row>
      <xdr:rowOff>151286</xdr:rowOff>
    </xdr:to>
    <xdr:sp macro="" textlink="">
      <xdr:nvSpPr>
        <xdr:cNvPr id="25" name="Left Brace 24">
          <a:extLst>
            <a:ext uri="{FF2B5EF4-FFF2-40B4-BE49-F238E27FC236}">
              <a16:creationId xmlns:a16="http://schemas.microsoft.com/office/drawing/2014/main" id="{4EEF1A6E-235C-EA6F-B572-E0893E7FBF8A}"/>
            </a:ext>
          </a:extLst>
        </xdr:cNvPr>
        <xdr:cNvSpPr/>
      </xdr:nvSpPr>
      <xdr:spPr>
        <a:xfrm rot="16200000">
          <a:off x="13498824029" y="22929671"/>
          <a:ext cx="209012" cy="1387445"/>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4</xdr:col>
      <xdr:colOff>11942</xdr:colOff>
      <xdr:row>515</xdr:row>
      <xdr:rowOff>75643</xdr:rowOff>
    </xdr:from>
    <xdr:to>
      <xdr:col>5</xdr:col>
      <xdr:colOff>67680</xdr:colOff>
      <xdr:row>520</xdr:row>
      <xdr:rowOff>159249</xdr:rowOff>
    </xdr:to>
    <xdr:sp macro="" textlink="">
      <xdr:nvSpPr>
        <xdr:cNvPr id="26" name="Rectangular Callout 25">
          <a:extLst>
            <a:ext uri="{FF2B5EF4-FFF2-40B4-BE49-F238E27FC236}">
              <a16:creationId xmlns:a16="http://schemas.microsoft.com/office/drawing/2014/main" id="{CF9B9755-F5A2-CBA5-8C58-EA49AAEAF05B}"/>
            </a:ext>
          </a:extLst>
        </xdr:cNvPr>
        <xdr:cNvSpPr/>
      </xdr:nvSpPr>
      <xdr:spPr>
        <a:xfrm>
          <a:off x="13497974044" y="23855298"/>
          <a:ext cx="879844" cy="1098810"/>
        </a:xfrm>
        <a:prstGeom prst="wedgeRectCallout">
          <a:avLst>
            <a:gd name="adj1" fmla="val 26959"/>
            <a:gd name="adj2" fmla="val -72571"/>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ערך נוכחי לתזרימי 26 ו-27</a:t>
          </a:r>
        </a:p>
        <a:p>
          <a:pPr algn="r" rtl="1"/>
          <a:r>
            <a:rPr lang="he-IL" sz="1100"/>
            <a:t>מוביל</a:t>
          </a:r>
          <a:r>
            <a:rPr lang="he-IL" sz="1100" baseline="0"/>
            <a:t> לזמן 25 (״אחת אחורה״)</a:t>
          </a:r>
          <a:endParaRPr lang="en-US" sz="1100"/>
        </a:p>
      </xdr:txBody>
    </xdr:sp>
    <xdr:clientData/>
  </xdr:twoCellAnchor>
  <xdr:twoCellAnchor>
    <xdr:from>
      <xdr:col>3</xdr:col>
      <xdr:colOff>636990</xdr:colOff>
      <xdr:row>511</xdr:row>
      <xdr:rowOff>163229</xdr:rowOff>
    </xdr:from>
    <xdr:to>
      <xdr:col>4</xdr:col>
      <xdr:colOff>131379</xdr:colOff>
      <xdr:row>513</xdr:row>
      <xdr:rowOff>103511</xdr:rowOff>
    </xdr:to>
    <xdr:cxnSp macro="">
      <xdr:nvCxnSpPr>
        <xdr:cNvPr id="28" name="Straight Arrow Connector 27">
          <a:extLst>
            <a:ext uri="{FF2B5EF4-FFF2-40B4-BE49-F238E27FC236}">
              <a16:creationId xmlns:a16="http://schemas.microsoft.com/office/drawing/2014/main" id="{07105089-EDAB-7139-9499-31C85D72884B}"/>
            </a:ext>
          </a:extLst>
        </xdr:cNvPr>
        <xdr:cNvCxnSpPr/>
      </xdr:nvCxnSpPr>
      <xdr:spPr>
        <a:xfrm>
          <a:off x="13498734451" y="23130721"/>
          <a:ext cx="318496" cy="346364"/>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724577</xdr:colOff>
      <xdr:row>515</xdr:row>
      <xdr:rowOff>163228</xdr:rowOff>
    </xdr:from>
    <xdr:to>
      <xdr:col>3</xdr:col>
      <xdr:colOff>784295</xdr:colOff>
      <xdr:row>523</xdr:row>
      <xdr:rowOff>139341</xdr:rowOff>
    </xdr:to>
    <xdr:sp macro="" textlink="">
      <xdr:nvSpPr>
        <xdr:cNvPr id="29" name="Rectangular Callout 28">
          <a:extLst>
            <a:ext uri="{FF2B5EF4-FFF2-40B4-BE49-F238E27FC236}">
              <a16:creationId xmlns:a16="http://schemas.microsoft.com/office/drawing/2014/main" id="{C28BD1F7-7307-403F-2972-EF3243E0221A}"/>
            </a:ext>
          </a:extLst>
        </xdr:cNvPr>
        <xdr:cNvSpPr/>
      </xdr:nvSpPr>
      <xdr:spPr>
        <a:xfrm>
          <a:off x="13498905642" y="23942883"/>
          <a:ext cx="911693" cy="1600439"/>
        </a:xfrm>
        <a:prstGeom prst="wedgeRectCallout">
          <a:avLst>
            <a:gd name="adj1" fmla="val 4787"/>
            <a:gd name="adj2" fmla="val -67861"/>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ערך נוכחי לתזרימי 21-25 מוביל לזמן 20 (אחת אחורה) כולל השפעת הסדרה הקודמת</a:t>
          </a:r>
          <a:endParaRPr lang="en-US" sz="1100"/>
        </a:p>
      </xdr:txBody>
    </xdr:sp>
    <xdr:clientData/>
  </xdr:twoCellAnchor>
  <xdr:twoCellAnchor>
    <xdr:from>
      <xdr:col>3</xdr:col>
      <xdr:colOff>636990</xdr:colOff>
      <xdr:row>511</xdr:row>
      <xdr:rowOff>151285</xdr:rowOff>
    </xdr:from>
    <xdr:to>
      <xdr:col>3</xdr:col>
      <xdr:colOff>640972</xdr:colOff>
      <xdr:row>513</xdr:row>
      <xdr:rowOff>67680</xdr:rowOff>
    </xdr:to>
    <xdr:cxnSp macro="">
      <xdr:nvCxnSpPr>
        <xdr:cNvPr id="30" name="Straight Arrow Connector 29">
          <a:extLst>
            <a:ext uri="{FF2B5EF4-FFF2-40B4-BE49-F238E27FC236}">
              <a16:creationId xmlns:a16="http://schemas.microsoft.com/office/drawing/2014/main" id="{E392D854-BACD-AD40-5687-10E94BAB614A}"/>
            </a:ext>
          </a:extLst>
        </xdr:cNvPr>
        <xdr:cNvCxnSpPr/>
      </xdr:nvCxnSpPr>
      <xdr:spPr>
        <a:xfrm flipV="1">
          <a:off x="13499048965" y="23118777"/>
          <a:ext cx="3982" cy="32247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7963</xdr:colOff>
      <xdr:row>532</xdr:row>
      <xdr:rowOff>119435</xdr:rowOff>
    </xdr:from>
    <xdr:to>
      <xdr:col>5</xdr:col>
      <xdr:colOff>479841</xdr:colOff>
      <xdr:row>543</xdr:row>
      <xdr:rowOff>156367</xdr:rowOff>
    </xdr:to>
    <xdr:pic>
      <xdr:nvPicPr>
        <xdr:cNvPr id="32" name="Picture 31">
          <a:extLst>
            <a:ext uri="{FF2B5EF4-FFF2-40B4-BE49-F238E27FC236}">
              <a16:creationId xmlns:a16="http://schemas.microsoft.com/office/drawing/2014/main" id="{670A2F5D-2A30-39F2-D764-4DD41F6C2A54}"/>
            </a:ext>
          </a:extLst>
        </xdr:cNvPr>
        <xdr:cNvPicPr>
          <a:picLocks noChangeAspect="1"/>
        </xdr:cNvPicPr>
      </xdr:nvPicPr>
      <xdr:blipFill>
        <a:blip xmlns:r="http://schemas.openxmlformats.org/officeDocument/2006/relationships" r:embed="rId1"/>
        <a:stretch>
          <a:fillRect/>
        </a:stretch>
      </xdr:blipFill>
      <xdr:spPr>
        <a:xfrm>
          <a:off x="13497551922" y="27422444"/>
          <a:ext cx="4630240" cy="2270383"/>
        </a:xfrm>
        <a:prstGeom prst="rect">
          <a:avLst/>
        </a:prstGeom>
      </xdr:spPr>
    </xdr:pic>
    <xdr:clientData/>
  </xdr:twoCellAnchor>
  <xdr:twoCellAnchor>
    <xdr:from>
      <xdr:col>5</xdr:col>
      <xdr:colOff>47774</xdr:colOff>
      <xdr:row>675</xdr:row>
      <xdr:rowOff>79624</xdr:rowOff>
    </xdr:from>
    <xdr:to>
      <xdr:col>5</xdr:col>
      <xdr:colOff>565329</xdr:colOff>
      <xdr:row>675</xdr:row>
      <xdr:rowOff>175173</xdr:rowOff>
    </xdr:to>
    <xdr:cxnSp macro="">
      <xdr:nvCxnSpPr>
        <xdr:cNvPr id="34" name="Straight Arrow Connector 33">
          <a:extLst>
            <a:ext uri="{FF2B5EF4-FFF2-40B4-BE49-F238E27FC236}">
              <a16:creationId xmlns:a16="http://schemas.microsoft.com/office/drawing/2014/main" id="{B6B02C81-9175-0136-4CB0-9D75CCFC21AA}"/>
            </a:ext>
          </a:extLst>
        </xdr:cNvPr>
        <xdr:cNvCxnSpPr/>
      </xdr:nvCxnSpPr>
      <xdr:spPr>
        <a:xfrm flipV="1">
          <a:off x="13497476395" y="36519467"/>
          <a:ext cx="517555" cy="95549"/>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15924</xdr:colOff>
      <xdr:row>675</xdr:row>
      <xdr:rowOff>183135</xdr:rowOff>
    </xdr:from>
    <xdr:to>
      <xdr:col>5</xdr:col>
      <xdr:colOff>589216</xdr:colOff>
      <xdr:row>676</xdr:row>
      <xdr:rowOff>87586</xdr:rowOff>
    </xdr:to>
    <xdr:cxnSp macro="">
      <xdr:nvCxnSpPr>
        <xdr:cNvPr id="35" name="Straight Arrow Connector 34">
          <a:extLst>
            <a:ext uri="{FF2B5EF4-FFF2-40B4-BE49-F238E27FC236}">
              <a16:creationId xmlns:a16="http://schemas.microsoft.com/office/drawing/2014/main" id="{10FD2D39-D913-4208-8F05-B69DB34F25E4}"/>
            </a:ext>
          </a:extLst>
        </xdr:cNvPr>
        <xdr:cNvCxnSpPr/>
      </xdr:nvCxnSpPr>
      <xdr:spPr>
        <a:xfrm>
          <a:off x="13497452508" y="36622978"/>
          <a:ext cx="573292" cy="10749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605142</xdr:colOff>
      <xdr:row>680</xdr:row>
      <xdr:rowOff>134007</xdr:rowOff>
    </xdr:from>
    <xdr:ext cx="2109154" cy="173766"/>
    <mc:AlternateContent xmlns:mc="http://schemas.openxmlformats.org/markup-compatibility/2006" xmlns:a14="http://schemas.microsoft.com/office/drawing/2010/main">
      <mc:Choice Requires="a14">
        <xdr:sp macro="" textlink="">
          <xdr:nvSpPr>
            <xdr:cNvPr id="37" name="TextBox 36">
              <a:extLst>
                <a:ext uri="{FF2B5EF4-FFF2-40B4-BE49-F238E27FC236}">
                  <a16:creationId xmlns:a16="http://schemas.microsoft.com/office/drawing/2014/main" id="{FD26A2D7-BCBD-CC95-C027-E95171D81E0A}"/>
                </a:ext>
              </a:extLst>
            </xdr:cNvPr>
            <xdr:cNvSpPr txBox="1"/>
          </xdr:nvSpPr>
          <xdr:spPr>
            <a:xfrm>
              <a:off x="13496975641" y="37589054"/>
              <a:ext cx="210915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d>
                      <m:dPr>
                        <m:ctrlPr>
                          <a:rPr lang="he-IL" sz="1100" b="0" i="1">
                            <a:latin typeface="Cambria Math" panose="02040503050406030204" pitchFamily="18" charset="0"/>
                          </a:rPr>
                        </m:ctrlPr>
                      </m:dPr>
                      <m:e>
                        <m:r>
                          <a:rPr lang="he-IL"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e>
                    </m:d>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ea typeface="Cambria Math" panose="02040503050406030204" pitchFamily="18" charset="0"/>
                          </a:rPr>
                          <m:t>𝜋</m:t>
                        </m:r>
                      </m:e>
                    </m:d>
                    <m:r>
                      <a:rPr lang="en-US" sz="1100" b="0" i="0">
                        <a:latin typeface="Cambria Math" panose="02040503050406030204" pitchFamily="18" charset="0"/>
                        <a:ea typeface="Cambria Math" panose="02040503050406030204" pitchFamily="18" charset="0"/>
                      </a:rPr>
                      <m:t>=</m:t>
                    </m:r>
                    <m:d>
                      <m:dPr>
                        <m:ctrlPr>
                          <a:rPr lang="en-US" sz="1100" b="0" i="1">
                            <a:latin typeface="Cambria Math" panose="02040503050406030204" pitchFamily="18" charset="0"/>
                            <a:ea typeface="Cambria Math" panose="02040503050406030204" pitchFamily="18" charset="0"/>
                          </a:rPr>
                        </m:ctrlPr>
                      </m:dPr>
                      <m:e>
                        <m:r>
                          <a:rPr lang="en-US" sz="1100" b="0" i="0">
                            <a:latin typeface="Cambria Math" panose="02040503050406030204" pitchFamily="18" charset="0"/>
                            <a:ea typeface="Cambria Math" panose="02040503050406030204" pitchFamily="18" charset="0"/>
                          </a:rPr>
                          <m:t>1+</m:t>
                        </m:r>
                        <m:sSub>
                          <m:sSubPr>
                            <m:ctrlPr>
                              <a:rPr lang="en-US" sz="1100" b="0" i="1">
                                <a:latin typeface="Cambria Math" panose="02040503050406030204" pitchFamily="18" charset="0"/>
                                <a:ea typeface="Cambria Math" panose="02040503050406030204" pitchFamily="18" charset="0"/>
                              </a:rPr>
                            </m:ctrlPr>
                          </m:sSubPr>
                          <m:e>
                            <m:r>
                              <m:rPr>
                                <m:sty m:val="p"/>
                              </m:rPr>
                              <a:rPr lang="en-US" sz="1100" b="0" i="0">
                                <a:latin typeface="Cambria Math" panose="02040503050406030204" pitchFamily="18" charset="0"/>
                                <a:ea typeface="Cambria Math" panose="02040503050406030204" pitchFamily="18" charset="0"/>
                              </a:rPr>
                              <m:t>r</m:t>
                            </m:r>
                          </m:e>
                          <m:sub>
                            <m:r>
                              <m:rPr>
                                <m:sty m:val="p"/>
                              </m:rPr>
                              <a:rPr lang="en-US" sz="1100" b="0" i="0">
                                <a:latin typeface="Cambria Math" panose="02040503050406030204" pitchFamily="18" charset="0"/>
                                <a:ea typeface="Cambria Math" panose="02040503050406030204" pitchFamily="18" charset="0"/>
                              </a:rPr>
                              <m:t>n</m:t>
                            </m:r>
                          </m:sub>
                        </m:sSub>
                      </m:e>
                    </m:d>
                  </m:oMath>
                </m:oMathPara>
              </a14:m>
              <a:endParaRPr lang="en-US" sz="1100"/>
            </a:p>
          </xdr:txBody>
        </xdr:sp>
      </mc:Choice>
      <mc:Fallback xmlns="">
        <xdr:sp macro="" textlink="">
          <xdr:nvSpPr>
            <xdr:cNvPr id="37" name="TextBox 36">
              <a:extLst>
                <a:ext uri="{FF2B5EF4-FFF2-40B4-BE49-F238E27FC236}">
                  <a16:creationId xmlns:a16="http://schemas.microsoft.com/office/drawing/2014/main" id="{FD26A2D7-BCBD-CC95-C027-E95171D81E0A}"/>
                </a:ext>
              </a:extLst>
            </xdr:cNvPr>
            <xdr:cNvSpPr txBox="1"/>
          </xdr:nvSpPr>
          <xdr:spPr>
            <a:xfrm>
              <a:off x="13496975641" y="37589054"/>
              <a:ext cx="210915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𝑟_𝑟 )∗(1+</a:t>
              </a:r>
              <a:r>
                <a:rPr lang="en-US" sz="1100" b="0" i="0">
                  <a:latin typeface="Cambria Math" panose="02040503050406030204" pitchFamily="18" charset="0"/>
                  <a:ea typeface="Cambria Math" panose="02040503050406030204" pitchFamily="18" charset="0"/>
                </a:rPr>
                <a:t>𝜋)=(1+r_n )</a:t>
              </a:r>
              <a:endParaRPr lang="en-US" sz="1100"/>
            </a:p>
          </xdr:txBody>
        </xdr:sp>
      </mc:Fallback>
    </mc:AlternateContent>
    <xdr:clientData/>
  </xdr:oneCellAnchor>
  <xdr:twoCellAnchor>
    <xdr:from>
      <xdr:col>3</xdr:col>
      <xdr:colOff>672821</xdr:colOff>
      <xdr:row>701</xdr:row>
      <xdr:rowOff>19906</xdr:rowOff>
    </xdr:from>
    <xdr:to>
      <xdr:col>3</xdr:col>
      <xdr:colOff>672821</xdr:colOff>
      <xdr:row>703</xdr:row>
      <xdr:rowOff>3982</xdr:rowOff>
    </xdr:to>
    <xdr:cxnSp macro="">
      <xdr:nvCxnSpPr>
        <xdr:cNvPr id="39" name="Straight Arrow Connector 38">
          <a:extLst>
            <a:ext uri="{FF2B5EF4-FFF2-40B4-BE49-F238E27FC236}">
              <a16:creationId xmlns:a16="http://schemas.microsoft.com/office/drawing/2014/main" id="{9468A49D-E3D5-9532-3C7B-5186F3DD4B6E}"/>
            </a:ext>
          </a:extLst>
        </xdr:cNvPr>
        <xdr:cNvCxnSpPr/>
      </xdr:nvCxnSpPr>
      <xdr:spPr>
        <a:xfrm>
          <a:off x="13499017116" y="41738809"/>
          <a:ext cx="0" cy="39015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465799</xdr:colOff>
      <xdr:row>700</xdr:row>
      <xdr:rowOff>195079</xdr:rowOff>
    </xdr:from>
    <xdr:to>
      <xdr:col>3</xdr:col>
      <xdr:colOff>51755</xdr:colOff>
      <xdr:row>705</xdr:row>
      <xdr:rowOff>147304</xdr:rowOff>
    </xdr:to>
    <xdr:cxnSp macro="">
      <xdr:nvCxnSpPr>
        <xdr:cNvPr id="40" name="Straight Arrow Connector 39">
          <a:extLst>
            <a:ext uri="{FF2B5EF4-FFF2-40B4-BE49-F238E27FC236}">
              <a16:creationId xmlns:a16="http://schemas.microsoft.com/office/drawing/2014/main" id="{DACBE28E-9DDC-0D58-40F3-6D6D82D6D3B2}"/>
            </a:ext>
          </a:extLst>
        </xdr:cNvPr>
        <xdr:cNvCxnSpPr/>
      </xdr:nvCxnSpPr>
      <xdr:spPr>
        <a:xfrm>
          <a:off x="13499638182" y="41710941"/>
          <a:ext cx="437931" cy="967429"/>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461817</xdr:colOff>
      <xdr:row>700</xdr:row>
      <xdr:rowOff>195079</xdr:rowOff>
    </xdr:from>
    <xdr:to>
      <xdr:col>2</xdr:col>
      <xdr:colOff>402100</xdr:colOff>
      <xdr:row>703</xdr:row>
      <xdr:rowOff>59718</xdr:rowOff>
    </xdr:to>
    <xdr:cxnSp macro="">
      <xdr:nvCxnSpPr>
        <xdr:cNvPr id="42" name="Straight Arrow Connector 41">
          <a:extLst>
            <a:ext uri="{FF2B5EF4-FFF2-40B4-BE49-F238E27FC236}">
              <a16:creationId xmlns:a16="http://schemas.microsoft.com/office/drawing/2014/main" id="{DEAA12BB-B130-F45E-CA11-47925CEE842F}"/>
            </a:ext>
          </a:extLst>
        </xdr:cNvPr>
        <xdr:cNvCxnSpPr/>
      </xdr:nvCxnSpPr>
      <xdr:spPr>
        <a:xfrm>
          <a:off x="13500139812" y="41710941"/>
          <a:ext cx="764389" cy="473761"/>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573291</xdr:colOff>
      <xdr:row>910</xdr:row>
      <xdr:rowOff>27869</xdr:rowOff>
    </xdr:from>
    <xdr:to>
      <xdr:col>4</xdr:col>
      <xdr:colOff>83604</xdr:colOff>
      <xdr:row>912</xdr:row>
      <xdr:rowOff>0</xdr:rowOff>
    </xdr:to>
    <xdr:cxnSp macro="">
      <xdr:nvCxnSpPr>
        <xdr:cNvPr id="45" name="Straight Arrow Connector 44">
          <a:extLst>
            <a:ext uri="{FF2B5EF4-FFF2-40B4-BE49-F238E27FC236}">
              <a16:creationId xmlns:a16="http://schemas.microsoft.com/office/drawing/2014/main" id="{18561AC7-ED40-0245-0E43-2FC5DAE62D57}"/>
            </a:ext>
          </a:extLst>
        </xdr:cNvPr>
        <xdr:cNvCxnSpPr/>
      </xdr:nvCxnSpPr>
      <xdr:spPr>
        <a:xfrm flipH="1">
          <a:off x="13498782226" y="79942320"/>
          <a:ext cx="334420" cy="37821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824106</xdr:colOff>
      <xdr:row>910</xdr:row>
      <xdr:rowOff>19907</xdr:rowOff>
    </xdr:from>
    <xdr:to>
      <xdr:col>3</xdr:col>
      <xdr:colOff>270721</xdr:colOff>
      <xdr:row>915</xdr:row>
      <xdr:rowOff>27869</xdr:rowOff>
    </xdr:to>
    <xdr:cxnSp macro="">
      <xdr:nvCxnSpPr>
        <xdr:cNvPr id="46" name="Straight Arrow Connector 45">
          <a:extLst>
            <a:ext uri="{FF2B5EF4-FFF2-40B4-BE49-F238E27FC236}">
              <a16:creationId xmlns:a16="http://schemas.microsoft.com/office/drawing/2014/main" id="{5221420D-9A70-4009-6FA7-6600898118A8}"/>
            </a:ext>
          </a:extLst>
        </xdr:cNvPr>
        <xdr:cNvCxnSpPr/>
      </xdr:nvCxnSpPr>
      <xdr:spPr>
        <a:xfrm flipH="1">
          <a:off x="13499419216" y="79934358"/>
          <a:ext cx="298590" cy="102316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406798</xdr:colOff>
      <xdr:row>615</xdr:row>
      <xdr:rowOff>26490</xdr:rowOff>
    </xdr:from>
    <xdr:ext cx="1417103" cy="340158"/>
    <mc:AlternateContent xmlns:mc="http://schemas.openxmlformats.org/markup-compatibility/2006" xmlns:a14="http://schemas.microsoft.com/office/drawing/2010/main">
      <mc:Choice Requires="a14">
        <xdr:sp macro="" textlink="">
          <xdr:nvSpPr>
            <xdr:cNvPr id="48" name="TextBox 47">
              <a:extLst>
                <a:ext uri="{FF2B5EF4-FFF2-40B4-BE49-F238E27FC236}">
                  <a16:creationId xmlns:a16="http://schemas.microsoft.com/office/drawing/2014/main" id="{E3AED614-0CFE-DBF6-8D5C-C4A916FD1F86}"/>
                </a:ext>
              </a:extLst>
            </xdr:cNvPr>
            <xdr:cNvSpPr txBox="1"/>
          </xdr:nvSpPr>
          <xdr:spPr>
            <a:xfrm>
              <a:off x="13488185552" y="35130084"/>
              <a:ext cx="1417103"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𝑅</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48" name="TextBox 47">
              <a:extLst>
                <a:ext uri="{FF2B5EF4-FFF2-40B4-BE49-F238E27FC236}">
                  <a16:creationId xmlns:a16="http://schemas.microsoft.com/office/drawing/2014/main" id="{E3AED614-0CFE-DBF6-8D5C-C4A916FD1F86}"/>
                </a:ext>
              </a:extLst>
            </xdr:cNvPr>
            <xdr:cNvSpPr txBox="1"/>
          </xdr:nvSpPr>
          <xdr:spPr>
            <a:xfrm>
              <a:off x="13488185552" y="35130084"/>
              <a:ext cx="1417103"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𝑟_𝑒=(1+𝑅/𝑛)^𝑚−1</a:t>
              </a:r>
              <a:endParaRPr lang="en-US" sz="1100"/>
            </a:p>
          </xdr:txBody>
        </xdr:sp>
      </mc:Fallback>
    </mc:AlternateContent>
    <xdr:clientData/>
  </xdr:oneCellAnchor>
  <xdr:oneCellAnchor>
    <xdr:from>
      <xdr:col>2</xdr:col>
      <xdr:colOff>49610</xdr:colOff>
      <xdr:row>618</xdr:row>
      <xdr:rowOff>100905</xdr:rowOff>
    </xdr:from>
    <xdr:ext cx="3153433" cy="354649"/>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24483054-42FD-F609-6921-6FCDFF7E81E0}"/>
                </a:ext>
              </a:extLst>
            </xdr:cNvPr>
            <xdr:cNvSpPr txBox="1"/>
          </xdr:nvSpPr>
          <xdr:spPr>
            <a:xfrm>
              <a:off x="13487659692" y="35814694"/>
              <a:ext cx="3153433" cy="3546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he-IL" sz="1100" b="0" i="1">
                            <a:latin typeface="Cambria Math" panose="02040503050406030204" pitchFamily="18" charset="0"/>
                          </a:rPr>
                        </m:ctrlPr>
                      </m:dPr>
                      <m:e>
                        <m:r>
                          <a:rPr lang="en-US" sz="1100" b="0" i="1">
                            <a:latin typeface="Cambria Math" panose="02040503050406030204" pitchFamily="18" charset="0"/>
                          </a:rPr>
                          <m:t>𝑀𝑜𝑛𝑡h</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24%</m:t>
                                </m:r>
                              </m:num>
                              <m:den>
                                <m:r>
                                  <a:rPr lang="en-US" sz="1100" b="0" i="1">
                                    <a:latin typeface="Cambria Math" panose="02040503050406030204" pitchFamily="18" charset="0"/>
                                  </a:rPr>
                                  <m:t>12</m:t>
                                </m:r>
                              </m:den>
                            </m:f>
                          </m:e>
                        </m:d>
                      </m:e>
                      <m:sup>
                        <m:r>
                          <a:rPr lang="en-US" sz="1100" b="0" i="1">
                            <a:latin typeface="Cambria Math" panose="02040503050406030204" pitchFamily="18" charset="0"/>
                          </a:rPr>
                          <m:t>1</m:t>
                        </m:r>
                      </m:sup>
                    </m:sSup>
                    <m:r>
                      <a:rPr lang="en-US" sz="1100" b="0" i="1">
                        <a:latin typeface="Cambria Math" panose="02040503050406030204" pitchFamily="18" charset="0"/>
                      </a:rPr>
                      <m:t>−1=2%</m:t>
                    </m:r>
                  </m:oMath>
                </m:oMathPara>
              </a14:m>
              <a:endParaRPr lang="en-US" sz="1100"/>
            </a:p>
          </xdr:txBody>
        </xdr:sp>
      </mc:Choice>
      <mc:Fallback xmlns="">
        <xdr:sp macro="" textlink="">
          <xdr:nvSpPr>
            <xdr:cNvPr id="49" name="TextBox 48">
              <a:extLst>
                <a:ext uri="{FF2B5EF4-FFF2-40B4-BE49-F238E27FC236}">
                  <a16:creationId xmlns:a16="http://schemas.microsoft.com/office/drawing/2014/main" id="{24483054-42FD-F609-6921-6FCDFF7E81E0}"/>
                </a:ext>
              </a:extLst>
            </xdr:cNvPr>
            <xdr:cNvSpPr txBox="1"/>
          </xdr:nvSpPr>
          <xdr:spPr>
            <a:xfrm>
              <a:off x="13487659692" y="35814694"/>
              <a:ext cx="3153433" cy="3546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a:t>
              </a:r>
              <a:r>
                <a:rPr lang="he-IL" sz="1100" b="0" i="0">
                  <a:latin typeface="Cambria Math" panose="02040503050406030204" pitchFamily="18" charset="0"/>
                </a:rPr>
                <a:t> (</a:t>
              </a:r>
              <a:r>
                <a:rPr lang="en-US" sz="1100" b="0" i="0">
                  <a:latin typeface="Cambria Math" panose="02040503050406030204" pitchFamily="18" charset="0"/>
                </a:rPr>
                <a:t>𝑀𝑜𝑛𝑡ℎ)=(1+(24%)/12)^1−1=2%</a:t>
              </a:r>
              <a:endParaRPr lang="en-US" sz="1100"/>
            </a:p>
          </xdr:txBody>
        </xdr:sp>
      </mc:Fallback>
    </mc:AlternateContent>
    <xdr:clientData/>
  </xdr:oneCellAnchor>
  <xdr:twoCellAnchor editAs="oneCell">
    <xdr:from>
      <xdr:col>0</xdr:col>
      <xdr:colOff>127000</xdr:colOff>
      <xdr:row>19</xdr:row>
      <xdr:rowOff>82550</xdr:rowOff>
    </xdr:from>
    <xdr:to>
      <xdr:col>3</xdr:col>
      <xdr:colOff>561539</xdr:colOff>
      <xdr:row>34</xdr:row>
      <xdr:rowOff>133349</xdr:rowOff>
    </xdr:to>
    <xdr:pic>
      <xdr:nvPicPr>
        <xdr:cNvPr id="27" name="Picture 26">
          <a:extLst>
            <a:ext uri="{FF2B5EF4-FFF2-40B4-BE49-F238E27FC236}">
              <a16:creationId xmlns:a16="http://schemas.microsoft.com/office/drawing/2014/main" id="{82E824D1-AEF5-7D0B-4A9A-3B4C114CC597}"/>
            </a:ext>
          </a:extLst>
        </xdr:cNvPr>
        <xdr:cNvPicPr>
          <a:picLocks noChangeAspect="1"/>
        </xdr:cNvPicPr>
      </xdr:nvPicPr>
      <xdr:blipFill>
        <a:blip xmlns:r="http://schemas.openxmlformats.org/officeDocument/2006/relationships" r:embed="rId2"/>
        <a:stretch>
          <a:fillRect/>
        </a:stretch>
      </xdr:blipFill>
      <xdr:spPr>
        <a:xfrm>
          <a:off x="13522007500" y="285750"/>
          <a:ext cx="2946400" cy="3098800"/>
        </a:xfrm>
        <a:prstGeom prst="rect">
          <a:avLst/>
        </a:prstGeom>
      </xdr:spPr>
    </xdr:pic>
    <xdr:clientData/>
  </xdr:twoCellAnchor>
  <xdr:oneCellAnchor>
    <xdr:from>
      <xdr:col>2</xdr:col>
      <xdr:colOff>413373</xdr:colOff>
      <xdr:row>77</xdr:row>
      <xdr:rowOff>23406</xdr:rowOff>
    </xdr:from>
    <xdr:ext cx="512979" cy="173766"/>
    <mc:AlternateContent xmlns:mc="http://schemas.openxmlformats.org/markup-compatibility/2006" xmlns:a14="http://schemas.microsoft.com/office/drawing/2010/main">
      <mc:Choice Requires="a14">
        <xdr:sp macro="" textlink="">
          <xdr:nvSpPr>
            <xdr:cNvPr id="31" name="TextBox 30">
              <a:extLst>
                <a:ext uri="{FF2B5EF4-FFF2-40B4-BE49-F238E27FC236}">
                  <a16:creationId xmlns:a16="http://schemas.microsoft.com/office/drawing/2014/main" id="{17243588-2E56-A490-BE81-10FF4F0647D9}"/>
                </a:ext>
              </a:extLst>
            </xdr:cNvPr>
            <xdr:cNvSpPr txBox="1"/>
          </xdr:nvSpPr>
          <xdr:spPr>
            <a:xfrm>
              <a:off x="13542901491" y="9620622"/>
              <a:ext cx="51297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i="1">
                        <a:latin typeface="Cambria Math" panose="02040503050406030204" pitchFamily="18" charset="0"/>
                        <a:ea typeface="Cambria Math" panose="02040503050406030204" pitchFamily="18" charset="0"/>
                      </a:rPr>
                      <m:t>∆</m:t>
                    </m:r>
                    <m:r>
                      <a:rPr lang="en-US" sz="1100" b="0" i="1">
                        <a:latin typeface="Cambria Math" panose="02040503050406030204" pitchFamily="18" charset="0"/>
                        <a:ea typeface="Cambria Math" panose="02040503050406030204" pitchFamily="18" charset="0"/>
                      </a:rPr>
                      <m:t>𝐷</m:t>
                    </m:r>
                  </m:oMath>
                </m:oMathPara>
              </a14:m>
              <a:endParaRPr lang="en-US" sz="1100"/>
            </a:p>
          </xdr:txBody>
        </xdr:sp>
      </mc:Choice>
      <mc:Fallback xmlns="">
        <xdr:sp macro="" textlink="">
          <xdr:nvSpPr>
            <xdr:cNvPr id="31" name="TextBox 30">
              <a:extLst>
                <a:ext uri="{FF2B5EF4-FFF2-40B4-BE49-F238E27FC236}">
                  <a16:creationId xmlns:a16="http://schemas.microsoft.com/office/drawing/2014/main" id="{17243588-2E56-A490-BE81-10FF4F0647D9}"/>
                </a:ext>
              </a:extLst>
            </xdr:cNvPr>
            <xdr:cNvSpPr txBox="1"/>
          </xdr:nvSpPr>
          <xdr:spPr>
            <a:xfrm>
              <a:off x="13542901491" y="9620622"/>
              <a:ext cx="51297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i="0">
                  <a:latin typeface="Cambria Math" panose="02040503050406030204" pitchFamily="18" charset="0"/>
                  <a:ea typeface="Cambria Math" panose="02040503050406030204" pitchFamily="18" charset="0"/>
                </a:rPr>
                <a:t>∆</a:t>
              </a:r>
              <a:r>
                <a:rPr lang="en-US" sz="1100" b="0" i="0">
                  <a:latin typeface="Cambria Math" panose="02040503050406030204" pitchFamily="18" charset="0"/>
                  <a:ea typeface="Cambria Math" panose="02040503050406030204" pitchFamily="18" charset="0"/>
                </a:rPr>
                <a:t>𝐷</a:t>
              </a:r>
              <a:endParaRPr lang="en-US" sz="1100"/>
            </a:p>
          </xdr:txBody>
        </xdr:sp>
      </mc:Fallback>
    </mc:AlternateContent>
    <xdr:clientData/>
  </xdr:oneCellAnchor>
  <xdr:oneCellAnchor>
    <xdr:from>
      <xdr:col>2</xdr:col>
      <xdr:colOff>393451</xdr:colOff>
      <xdr:row>78</xdr:row>
      <xdr:rowOff>18426</xdr:rowOff>
    </xdr:from>
    <xdr:ext cx="512979" cy="173766"/>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31152D12-51EA-B707-D389-64AC32A2E847}"/>
                </a:ext>
              </a:extLst>
            </xdr:cNvPr>
            <xdr:cNvSpPr txBox="1"/>
          </xdr:nvSpPr>
          <xdr:spPr>
            <a:xfrm>
              <a:off x="13542921413" y="9819838"/>
              <a:ext cx="51297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i="1">
                        <a:latin typeface="Cambria Math" panose="02040503050406030204" pitchFamily="18" charset="0"/>
                        <a:ea typeface="Cambria Math" panose="02040503050406030204" pitchFamily="18" charset="0"/>
                      </a:rPr>
                      <m:t>𝑡</m:t>
                    </m:r>
                  </m:oMath>
                </m:oMathPara>
              </a14:m>
              <a:endParaRPr lang="en-US" sz="1100"/>
            </a:p>
          </xdr:txBody>
        </xdr:sp>
      </mc:Choice>
      <mc:Fallback xmlns="">
        <xdr:sp macro="" textlink="">
          <xdr:nvSpPr>
            <xdr:cNvPr id="33" name="TextBox 32">
              <a:extLst>
                <a:ext uri="{FF2B5EF4-FFF2-40B4-BE49-F238E27FC236}">
                  <a16:creationId xmlns:a16="http://schemas.microsoft.com/office/drawing/2014/main" id="{31152D12-51EA-B707-D389-64AC32A2E847}"/>
                </a:ext>
              </a:extLst>
            </xdr:cNvPr>
            <xdr:cNvSpPr txBox="1"/>
          </xdr:nvSpPr>
          <xdr:spPr>
            <a:xfrm>
              <a:off x="13542921413" y="9819838"/>
              <a:ext cx="51297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i="0">
                  <a:latin typeface="Cambria Math" panose="02040503050406030204" pitchFamily="18" charset="0"/>
                  <a:ea typeface="Cambria Math" panose="02040503050406030204" pitchFamily="18" charset="0"/>
                </a:rPr>
                <a:t>𝑡</a:t>
              </a:r>
              <a:endParaRPr lang="en-US" sz="1100"/>
            </a:p>
          </xdr:txBody>
        </xdr:sp>
      </mc:Fallback>
    </mc:AlternateContent>
    <xdr:clientData/>
  </xdr:oneCellAnchor>
  <xdr:oneCellAnchor>
    <xdr:from>
      <xdr:col>2</xdr:col>
      <xdr:colOff>229098</xdr:colOff>
      <xdr:row>79</xdr:row>
      <xdr:rowOff>28388</xdr:rowOff>
    </xdr:from>
    <xdr:ext cx="697254" cy="220632"/>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6D8DA259-682B-C6BA-FBC3-3E92BDAD2855}"/>
                </a:ext>
              </a:extLst>
            </xdr:cNvPr>
            <xdr:cNvSpPr txBox="1"/>
          </xdr:nvSpPr>
          <xdr:spPr>
            <a:xfrm>
              <a:off x="13542901491" y="10033996"/>
              <a:ext cx="697254" cy="2206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marL="0" marR="0" lvl="0" indent="0" algn="r" defTabSz="914400" rtl="1"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r>
                      <a:rPr lang="en-US" sz="1100" i="1">
                        <a:latin typeface="Cambria Math" panose="02040503050406030204" pitchFamily="18" charset="0"/>
                        <a:ea typeface="Cambria Math" panose="02040503050406030204" pitchFamily="18" charset="0"/>
                      </a:rPr>
                      <m:t>𝑡</m:t>
                    </m:r>
                    <m:r>
                      <a:rPr lang="en-US" sz="1100" b="0" i="1">
                        <a:latin typeface="Cambria Math" panose="02040503050406030204" pitchFamily="18" charset="0"/>
                        <a:ea typeface="Cambria Math" panose="02040503050406030204" pitchFamily="18" charset="0"/>
                      </a:rPr>
                      <m:t>∗</m:t>
                    </m:r>
                    <m:r>
                      <a:rPr lang="en-US" sz="1100" i="1">
                        <a:latin typeface="Cambria Math" panose="02040503050406030204" pitchFamily="18" charset="0"/>
                        <a:ea typeface="Cambria Math" panose="02040503050406030204" pitchFamily="18" charset="0"/>
                      </a:rPr>
                      <m:t>∆</m:t>
                    </m:r>
                    <m:r>
                      <a:rPr lang="en-US" sz="1100" b="0" i="1">
                        <a:latin typeface="Cambria Math" panose="02040503050406030204" pitchFamily="18" charset="0"/>
                        <a:ea typeface="Cambria Math" panose="02040503050406030204" pitchFamily="18" charset="0"/>
                      </a:rPr>
                      <m:t>𝐷</m:t>
                    </m:r>
                  </m:oMath>
                </m:oMathPara>
              </a14:m>
              <a:endParaRPr lang="en-US" sz="1100"/>
            </a:p>
            <a:p>
              <a:pPr algn="r" rtl="1"/>
              <a:endParaRPr lang="en-US" sz="1100"/>
            </a:p>
          </xdr:txBody>
        </xdr:sp>
      </mc:Choice>
      <mc:Fallback xmlns="">
        <xdr:sp macro="" textlink="">
          <xdr:nvSpPr>
            <xdr:cNvPr id="36" name="TextBox 35">
              <a:extLst>
                <a:ext uri="{FF2B5EF4-FFF2-40B4-BE49-F238E27FC236}">
                  <a16:creationId xmlns:a16="http://schemas.microsoft.com/office/drawing/2014/main" id="{6D8DA259-682B-C6BA-FBC3-3E92BDAD2855}"/>
                </a:ext>
              </a:extLst>
            </xdr:cNvPr>
            <xdr:cNvSpPr txBox="1"/>
          </xdr:nvSpPr>
          <xdr:spPr>
            <a:xfrm>
              <a:off x="13542901491" y="10033996"/>
              <a:ext cx="697254" cy="2206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marL="0" marR="0" lvl="0" indent="0" algn="r" defTabSz="914400" rtl="1" eaLnBrk="1" fontAlgn="auto" latinLnBrk="0" hangingPunct="1">
                <a:lnSpc>
                  <a:spcPct val="100000"/>
                </a:lnSpc>
                <a:spcBef>
                  <a:spcPts val="0"/>
                </a:spcBef>
                <a:spcAft>
                  <a:spcPts val="0"/>
                </a:spcAft>
                <a:buClrTx/>
                <a:buSzTx/>
                <a:buFontTx/>
                <a:buNone/>
                <a:tabLst/>
                <a:defRPr/>
              </a:pPr>
              <a:r>
                <a:rPr lang="en-US" sz="1100" i="0">
                  <a:latin typeface="Cambria Math" panose="02040503050406030204" pitchFamily="18" charset="0"/>
                  <a:ea typeface="Cambria Math" panose="02040503050406030204" pitchFamily="18" charset="0"/>
                </a:rPr>
                <a:t>𝑡</a:t>
              </a:r>
              <a:r>
                <a:rPr lang="en-US" sz="1100" b="0" i="0">
                  <a:latin typeface="Cambria Math" panose="02040503050406030204" pitchFamily="18" charset="0"/>
                  <a:ea typeface="Cambria Math" panose="02040503050406030204" pitchFamily="18" charset="0"/>
                </a:rPr>
                <a:t>∗</a:t>
              </a:r>
              <a:r>
                <a:rPr lang="en-US" sz="1100" i="0">
                  <a:latin typeface="Cambria Math" panose="02040503050406030204" pitchFamily="18" charset="0"/>
                  <a:ea typeface="Cambria Math" panose="02040503050406030204" pitchFamily="18" charset="0"/>
                </a:rPr>
                <a:t>∆</a:t>
              </a:r>
              <a:r>
                <a:rPr lang="en-US" sz="1100" b="0" i="0">
                  <a:latin typeface="Cambria Math" panose="02040503050406030204" pitchFamily="18" charset="0"/>
                  <a:ea typeface="Cambria Math" panose="02040503050406030204" pitchFamily="18" charset="0"/>
                </a:rPr>
                <a:t>𝐷</a:t>
              </a:r>
              <a:endParaRPr lang="en-US" sz="1100"/>
            </a:p>
            <a:p>
              <a:pPr algn="r" rtl="1"/>
              <a:endParaRPr lang="en-US" sz="1100"/>
            </a:p>
          </xdr:txBody>
        </xdr:sp>
      </mc:Fallback>
    </mc:AlternateContent>
    <xdr:clientData/>
  </xdr:oneCellAnchor>
  <xdr:oneCellAnchor>
    <xdr:from>
      <xdr:col>2</xdr:col>
      <xdr:colOff>667372</xdr:colOff>
      <xdr:row>111</xdr:row>
      <xdr:rowOff>33368</xdr:rowOff>
    </xdr:from>
    <xdr:ext cx="1339684" cy="173766"/>
    <mc:AlternateContent xmlns:mc="http://schemas.openxmlformats.org/markup-compatibility/2006" xmlns:a14="http://schemas.microsoft.com/office/drawing/2010/main">
      <mc:Choice Requires="a14">
        <xdr:sp macro="" textlink="">
          <xdr:nvSpPr>
            <xdr:cNvPr id="38" name="TextBox 37">
              <a:extLst>
                <a:ext uri="{FF2B5EF4-FFF2-40B4-BE49-F238E27FC236}">
                  <a16:creationId xmlns:a16="http://schemas.microsoft.com/office/drawing/2014/main" id="{0E378A0B-81E3-20AA-E2D0-677E6421EF5D}"/>
                </a:ext>
              </a:extLst>
            </xdr:cNvPr>
            <xdr:cNvSpPr txBox="1"/>
          </xdr:nvSpPr>
          <xdr:spPr>
            <a:xfrm>
              <a:off x="13541830748" y="16573250"/>
              <a:ext cx="133968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i="1">
                        <a:latin typeface="Cambria Math" panose="02040503050406030204" pitchFamily="18" charset="0"/>
                        <a:ea typeface="Cambria Math" panose="02040503050406030204" pitchFamily="18" charset="0"/>
                      </a:rPr>
                      <m:t>∆</m:t>
                    </m:r>
                    <m:r>
                      <a:rPr lang="en-US" sz="1100" b="0" i="1">
                        <a:latin typeface="Cambria Math" panose="02040503050406030204" pitchFamily="18" charset="0"/>
                        <a:ea typeface="Cambria Math" panose="02040503050406030204" pitchFamily="18" charset="0"/>
                      </a:rPr>
                      <m:t>𝑁𝑃𝑉</m:t>
                    </m:r>
                    <m:r>
                      <a:rPr lang="en-US" sz="1100" b="0" i="1">
                        <a:latin typeface="Cambria Math" panose="02040503050406030204" pitchFamily="18" charset="0"/>
                        <a:ea typeface="Cambria Math" panose="02040503050406030204" pitchFamily="18" charset="0"/>
                      </a:rPr>
                      <m:t>=</m:t>
                    </m:r>
                  </m:oMath>
                </m:oMathPara>
              </a14:m>
              <a:endParaRPr lang="en-US" sz="1100"/>
            </a:p>
          </xdr:txBody>
        </xdr:sp>
      </mc:Choice>
      <mc:Fallback xmlns="">
        <xdr:sp macro="" textlink="">
          <xdr:nvSpPr>
            <xdr:cNvPr id="38" name="TextBox 37">
              <a:extLst>
                <a:ext uri="{FF2B5EF4-FFF2-40B4-BE49-F238E27FC236}">
                  <a16:creationId xmlns:a16="http://schemas.microsoft.com/office/drawing/2014/main" id="{0E378A0B-81E3-20AA-E2D0-677E6421EF5D}"/>
                </a:ext>
              </a:extLst>
            </xdr:cNvPr>
            <xdr:cNvSpPr txBox="1"/>
          </xdr:nvSpPr>
          <xdr:spPr>
            <a:xfrm>
              <a:off x="13541830748" y="16573250"/>
              <a:ext cx="133968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i="0">
                  <a:latin typeface="Cambria Math" panose="02040503050406030204" pitchFamily="18" charset="0"/>
                  <a:ea typeface="Cambria Math" panose="02040503050406030204" pitchFamily="18" charset="0"/>
                </a:rPr>
                <a:t>∆</a:t>
              </a:r>
              <a:r>
                <a:rPr lang="en-US" sz="1100" b="0" i="0">
                  <a:latin typeface="Cambria Math" panose="02040503050406030204" pitchFamily="18" charset="0"/>
                  <a:ea typeface="Cambria Math" panose="02040503050406030204" pitchFamily="18" charset="0"/>
                </a:rPr>
                <a:t>𝑁𝑃𝑉=</a:t>
              </a:r>
              <a:endParaRPr lang="en-US" sz="1100"/>
            </a:p>
          </xdr:txBody>
        </xdr:sp>
      </mc:Fallback>
    </mc:AlternateContent>
    <xdr:clientData/>
  </xdr:oneCellAnchor>
  <xdr:oneCellAnchor>
    <xdr:from>
      <xdr:col>1</xdr:col>
      <xdr:colOff>687294</xdr:colOff>
      <xdr:row>104</xdr:row>
      <xdr:rowOff>18428</xdr:rowOff>
    </xdr:from>
    <xdr:ext cx="1967213" cy="321563"/>
    <mc:AlternateContent xmlns:mc="http://schemas.openxmlformats.org/markup-compatibility/2006" xmlns:a14="http://schemas.microsoft.com/office/drawing/2010/main">
      <mc:Choice Requires="a14">
        <xdr:sp macro="" textlink="">
          <xdr:nvSpPr>
            <xdr:cNvPr id="41" name="TextBox 40">
              <a:extLst>
                <a:ext uri="{FF2B5EF4-FFF2-40B4-BE49-F238E27FC236}">
                  <a16:creationId xmlns:a16="http://schemas.microsoft.com/office/drawing/2014/main" id="{E3C3FFC6-89EF-ED31-F736-AA391743DA18}"/>
                </a:ext>
              </a:extLst>
            </xdr:cNvPr>
            <xdr:cNvSpPr txBox="1"/>
          </xdr:nvSpPr>
          <xdr:spPr>
            <a:xfrm>
              <a:off x="13542010042" y="15128938"/>
              <a:ext cx="1967213" cy="3215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d>
                      <m:dPr>
                        <m:ctrlPr>
                          <a:rPr lang="en-US" sz="1100" b="0" i="1">
                            <a:latin typeface="Cambria Math" panose="02040503050406030204" pitchFamily="18" charset="0"/>
                            <a:ea typeface="Cambria Math" panose="02040503050406030204" pitchFamily="18" charset="0"/>
                          </a:rPr>
                        </m:ctrlPr>
                      </m:dPr>
                      <m:e>
                        <m:f>
                          <m:fPr>
                            <m:ctrlPr>
                              <a:rPr lang="en-US" sz="1100" b="0" i="1">
                                <a:latin typeface="Cambria Math" panose="02040503050406030204" pitchFamily="18" charset="0"/>
                                <a:ea typeface="Cambria Math" panose="02040503050406030204" pitchFamily="18" charset="0"/>
                              </a:rPr>
                            </m:ctrlPr>
                          </m:fPr>
                          <m:num>
                            <m:r>
                              <a:rPr lang="en-US" sz="1100" b="0" i="1">
                                <a:latin typeface="Cambria Math" panose="02040503050406030204" pitchFamily="18" charset="0"/>
                                <a:ea typeface="Cambria Math" panose="02040503050406030204" pitchFamily="18" charset="0"/>
                              </a:rPr>
                              <m:t>1,600</m:t>
                            </m:r>
                          </m:num>
                          <m:den>
                            <m:r>
                              <a:rPr lang="en-US" sz="1100" b="0" i="1">
                                <a:latin typeface="Cambria Math" panose="02040503050406030204" pitchFamily="18" charset="0"/>
                                <a:ea typeface="Cambria Math" panose="02040503050406030204" pitchFamily="18" charset="0"/>
                              </a:rPr>
                              <m:t>4</m:t>
                            </m:r>
                          </m:den>
                        </m:f>
                        <m:r>
                          <a:rPr lang="en-US" sz="1100" b="0" i="1">
                            <a:latin typeface="Cambria Math" panose="02040503050406030204" pitchFamily="18" charset="0"/>
                            <a:ea typeface="Cambria Math" panose="02040503050406030204" pitchFamily="18" charset="0"/>
                          </a:rPr>
                          <m:t>−</m:t>
                        </m:r>
                        <m:f>
                          <m:fPr>
                            <m:ctrlPr>
                              <a:rPr lang="en-US" sz="1100" b="0" i="1">
                                <a:latin typeface="Cambria Math" panose="02040503050406030204" pitchFamily="18" charset="0"/>
                                <a:ea typeface="Cambria Math" panose="02040503050406030204" pitchFamily="18" charset="0"/>
                              </a:rPr>
                            </m:ctrlPr>
                          </m:fPr>
                          <m:num>
                            <m:r>
                              <a:rPr lang="en-US" sz="1100" b="0" i="1">
                                <a:latin typeface="Cambria Math" panose="02040503050406030204" pitchFamily="18" charset="0"/>
                                <a:ea typeface="Cambria Math" panose="02040503050406030204" pitchFamily="18" charset="0"/>
                              </a:rPr>
                              <m:t>1,600</m:t>
                            </m:r>
                          </m:num>
                          <m:den>
                            <m:r>
                              <a:rPr lang="en-US" sz="1100" b="0" i="1">
                                <a:latin typeface="Cambria Math" panose="02040503050406030204" pitchFamily="18" charset="0"/>
                                <a:ea typeface="Cambria Math" panose="02040503050406030204" pitchFamily="18" charset="0"/>
                              </a:rPr>
                              <m:t>10</m:t>
                            </m:r>
                          </m:den>
                        </m:f>
                      </m:e>
                    </m:d>
                    <m:r>
                      <a:rPr lang="en-US" sz="1100" b="0" i="1">
                        <a:latin typeface="Cambria Math" panose="02040503050406030204" pitchFamily="18" charset="0"/>
                        <a:ea typeface="Cambria Math" panose="02040503050406030204" pitchFamily="18" charset="0"/>
                      </a:rPr>
                      <m:t>∗25%=60</m:t>
                    </m:r>
                  </m:oMath>
                </m:oMathPara>
              </a14:m>
              <a:endParaRPr lang="en-US" sz="1100"/>
            </a:p>
          </xdr:txBody>
        </xdr:sp>
      </mc:Choice>
      <mc:Fallback xmlns="">
        <xdr:sp macro="" textlink="">
          <xdr:nvSpPr>
            <xdr:cNvPr id="41" name="TextBox 40">
              <a:extLst>
                <a:ext uri="{FF2B5EF4-FFF2-40B4-BE49-F238E27FC236}">
                  <a16:creationId xmlns:a16="http://schemas.microsoft.com/office/drawing/2014/main" id="{E3C3FFC6-89EF-ED31-F736-AA391743DA18}"/>
                </a:ext>
              </a:extLst>
            </xdr:cNvPr>
            <xdr:cNvSpPr txBox="1"/>
          </xdr:nvSpPr>
          <xdr:spPr>
            <a:xfrm>
              <a:off x="13542010042" y="15128938"/>
              <a:ext cx="1967213" cy="3215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ea typeface="Cambria Math" panose="02040503050406030204" pitchFamily="18" charset="0"/>
                </a:rPr>
                <a:t>(1,600/4−1,600/10)∗25%=60</a:t>
              </a:r>
              <a:endParaRPr lang="en-US" sz="1100"/>
            </a:p>
          </xdr:txBody>
        </xdr:sp>
      </mc:Fallback>
    </mc:AlternateContent>
    <xdr:clientData/>
  </xdr:oneCellAnchor>
  <xdr:oneCellAnchor>
    <xdr:from>
      <xdr:col>1</xdr:col>
      <xdr:colOff>682314</xdr:colOff>
      <xdr:row>108</xdr:row>
      <xdr:rowOff>68233</xdr:rowOff>
    </xdr:from>
    <xdr:ext cx="1967213" cy="321563"/>
    <mc:AlternateContent xmlns:mc="http://schemas.openxmlformats.org/markup-compatibility/2006" xmlns:a14="http://schemas.microsoft.com/office/drawing/2010/main">
      <mc:Choice Requires="a14">
        <xdr:sp macro="" textlink="">
          <xdr:nvSpPr>
            <xdr:cNvPr id="43" name="TextBox 42">
              <a:extLst>
                <a:ext uri="{FF2B5EF4-FFF2-40B4-BE49-F238E27FC236}">
                  <a16:creationId xmlns:a16="http://schemas.microsoft.com/office/drawing/2014/main" id="{87B856B0-AAE7-64F9-387F-00B699D05435}"/>
                </a:ext>
              </a:extLst>
            </xdr:cNvPr>
            <xdr:cNvSpPr txBox="1"/>
          </xdr:nvSpPr>
          <xdr:spPr>
            <a:xfrm>
              <a:off x="13542015022" y="15995527"/>
              <a:ext cx="1967213" cy="3215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d>
                      <m:dPr>
                        <m:ctrlPr>
                          <a:rPr lang="en-US" sz="1100" b="0" i="1">
                            <a:latin typeface="Cambria Math" panose="02040503050406030204" pitchFamily="18" charset="0"/>
                            <a:ea typeface="Cambria Math" panose="02040503050406030204" pitchFamily="18" charset="0"/>
                          </a:rPr>
                        </m:ctrlPr>
                      </m:dPr>
                      <m:e>
                        <m:r>
                          <a:rPr lang="he-IL" sz="1100" b="0" i="1">
                            <a:latin typeface="Cambria Math" panose="02040503050406030204" pitchFamily="18" charset="0"/>
                            <a:ea typeface="Cambria Math" panose="02040503050406030204" pitchFamily="18" charset="0"/>
                          </a:rPr>
                          <m:t>0</m:t>
                        </m:r>
                        <m:r>
                          <a:rPr lang="en-US" sz="1100" b="0" i="1">
                            <a:latin typeface="Cambria Math" panose="02040503050406030204" pitchFamily="18" charset="0"/>
                            <a:ea typeface="Cambria Math" panose="02040503050406030204" pitchFamily="18" charset="0"/>
                          </a:rPr>
                          <m:t>−</m:t>
                        </m:r>
                        <m:f>
                          <m:fPr>
                            <m:ctrlPr>
                              <a:rPr lang="en-US" sz="1100" b="0" i="1">
                                <a:latin typeface="Cambria Math" panose="02040503050406030204" pitchFamily="18" charset="0"/>
                                <a:ea typeface="Cambria Math" panose="02040503050406030204" pitchFamily="18" charset="0"/>
                              </a:rPr>
                            </m:ctrlPr>
                          </m:fPr>
                          <m:num>
                            <m:r>
                              <a:rPr lang="en-US" sz="1100" b="0" i="1">
                                <a:latin typeface="Cambria Math" panose="02040503050406030204" pitchFamily="18" charset="0"/>
                                <a:ea typeface="Cambria Math" panose="02040503050406030204" pitchFamily="18" charset="0"/>
                              </a:rPr>
                              <m:t>1,600</m:t>
                            </m:r>
                          </m:num>
                          <m:den>
                            <m:r>
                              <a:rPr lang="en-US" sz="1100" b="0" i="1">
                                <a:latin typeface="Cambria Math" panose="02040503050406030204" pitchFamily="18" charset="0"/>
                                <a:ea typeface="Cambria Math" panose="02040503050406030204" pitchFamily="18" charset="0"/>
                              </a:rPr>
                              <m:t>10</m:t>
                            </m:r>
                          </m:den>
                        </m:f>
                      </m:e>
                    </m:d>
                    <m:r>
                      <a:rPr lang="en-US" sz="1100" b="0" i="1">
                        <a:latin typeface="Cambria Math" panose="02040503050406030204" pitchFamily="18" charset="0"/>
                        <a:ea typeface="Cambria Math" panose="02040503050406030204" pitchFamily="18" charset="0"/>
                      </a:rPr>
                      <m:t>∗25%=</m:t>
                    </m:r>
                    <m:r>
                      <a:rPr lang="he-IL" sz="1100" b="0" i="1">
                        <a:latin typeface="Cambria Math" panose="02040503050406030204" pitchFamily="18" charset="0"/>
                        <a:ea typeface="Cambria Math" panose="02040503050406030204" pitchFamily="18" charset="0"/>
                      </a:rPr>
                      <m:t>−40</m:t>
                    </m:r>
                  </m:oMath>
                </m:oMathPara>
              </a14:m>
              <a:endParaRPr lang="en-US" sz="1100"/>
            </a:p>
          </xdr:txBody>
        </xdr:sp>
      </mc:Choice>
      <mc:Fallback xmlns="">
        <xdr:sp macro="" textlink="">
          <xdr:nvSpPr>
            <xdr:cNvPr id="43" name="TextBox 42">
              <a:extLst>
                <a:ext uri="{FF2B5EF4-FFF2-40B4-BE49-F238E27FC236}">
                  <a16:creationId xmlns:a16="http://schemas.microsoft.com/office/drawing/2014/main" id="{87B856B0-AAE7-64F9-387F-00B699D05435}"/>
                </a:ext>
              </a:extLst>
            </xdr:cNvPr>
            <xdr:cNvSpPr txBox="1"/>
          </xdr:nvSpPr>
          <xdr:spPr>
            <a:xfrm>
              <a:off x="13542015022" y="15995527"/>
              <a:ext cx="1967213" cy="3215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ea typeface="Cambria Math" panose="02040503050406030204" pitchFamily="18" charset="0"/>
                </a:rPr>
                <a:t>(</a:t>
              </a:r>
              <a:r>
                <a:rPr lang="he-IL" sz="1100" b="0" i="0">
                  <a:latin typeface="Cambria Math" panose="02040503050406030204" pitchFamily="18" charset="0"/>
                  <a:ea typeface="Cambria Math" panose="02040503050406030204" pitchFamily="18" charset="0"/>
                </a:rPr>
                <a:t>0</a:t>
              </a:r>
              <a:r>
                <a:rPr lang="en-US" sz="1100" b="0" i="0">
                  <a:latin typeface="Cambria Math" panose="02040503050406030204" pitchFamily="18" charset="0"/>
                  <a:ea typeface="Cambria Math" panose="02040503050406030204" pitchFamily="18" charset="0"/>
                </a:rPr>
                <a:t>−1,600/10)∗25%=</a:t>
              </a:r>
              <a:r>
                <a:rPr lang="he-IL" sz="1100" b="0" i="0">
                  <a:latin typeface="Cambria Math" panose="02040503050406030204" pitchFamily="18" charset="0"/>
                  <a:ea typeface="Cambria Math" panose="02040503050406030204" pitchFamily="18" charset="0"/>
                </a:rPr>
                <a:t>−40</a:t>
              </a:r>
              <a:endParaRPr lang="en-US" sz="1100"/>
            </a:p>
          </xdr:txBody>
        </xdr:sp>
      </mc:Fallback>
    </mc:AlternateContent>
    <xdr:clientData/>
  </xdr:oneCellAnchor>
  <xdr:twoCellAnchor editAs="oneCell">
    <xdr:from>
      <xdr:col>0</xdr:col>
      <xdr:colOff>27957</xdr:colOff>
      <xdr:row>119</xdr:row>
      <xdr:rowOff>53705</xdr:rowOff>
    </xdr:from>
    <xdr:to>
      <xdr:col>7</xdr:col>
      <xdr:colOff>580780</xdr:colOff>
      <xdr:row>129</xdr:row>
      <xdr:rowOff>167486</xdr:rowOff>
    </xdr:to>
    <xdr:pic>
      <xdr:nvPicPr>
        <xdr:cNvPr id="44" name="Picture 43">
          <a:extLst>
            <a:ext uri="{FF2B5EF4-FFF2-40B4-BE49-F238E27FC236}">
              <a16:creationId xmlns:a16="http://schemas.microsoft.com/office/drawing/2014/main" id="{66B4115F-915B-9471-4654-C98E7D198744}"/>
            </a:ext>
          </a:extLst>
        </xdr:cNvPr>
        <xdr:cNvPicPr>
          <a:picLocks noChangeAspect="1"/>
        </xdr:cNvPicPr>
      </xdr:nvPicPr>
      <xdr:blipFill>
        <a:blip xmlns:r="http://schemas.openxmlformats.org/officeDocument/2006/relationships" r:embed="rId3"/>
        <a:stretch>
          <a:fillRect/>
        </a:stretch>
      </xdr:blipFill>
      <xdr:spPr>
        <a:xfrm>
          <a:off x="13538254220" y="18308957"/>
          <a:ext cx="6439553" cy="2150573"/>
        </a:xfrm>
        <a:prstGeom prst="rect">
          <a:avLst/>
        </a:prstGeom>
      </xdr:spPr>
    </xdr:pic>
    <xdr:clientData/>
  </xdr:twoCellAnchor>
  <xdr:twoCellAnchor editAs="oneCell">
    <xdr:from>
      <xdr:col>0</xdr:col>
      <xdr:colOff>71887</xdr:colOff>
      <xdr:row>162</xdr:row>
      <xdr:rowOff>55912</xdr:rowOff>
    </xdr:from>
    <xdr:to>
      <xdr:col>7</xdr:col>
      <xdr:colOff>786761</xdr:colOff>
      <xdr:row>172</xdr:row>
      <xdr:rowOff>158918</xdr:rowOff>
    </xdr:to>
    <xdr:pic>
      <xdr:nvPicPr>
        <xdr:cNvPr id="47" name="Picture 46">
          <a:extLst>
            <a:ext uri="{FF2B5EF4-FFF2-40B4-BE49-F238E27FC236}">
              <a16:creationId xmlns:a16="http://schemas.microsoft.com/office/drawing/2014/main" id="{4A3117E8-151E-C7FF-CC34-A3830F60C1E5}"/>
            </a:ext>
          </a:extLst>
        </xdr:cNvPr>
        <xdr:cNvPicPr>
          <a:picLocks noChangeAspect="1"/>
        </xdr:cNvPicPr>
      </xdr:nvPicPr>
      <xdr:blipFill>
        <a:blip xmlns:r="http://schemas.openxmlformats.org/officeDocument/2006/relationships" r:embed="rId4"/>
        <a:stretch>
          <a:fillRect/>
        </a:stretch>
      </xdr:blipFill>
      <xdr:spPr>
        <a:xfrm>
          <a:off x="13538048239" y="27117296"/>
          <a:ext cx="6601604" cy="2139797"/>
        </a:xfrm>
        <a:prstGeom prst="rect">
          <a:avLst/>
        </a:prstGeom>
      </xdr:spPr>
    </xdr:pic>
    <xdr:clientData/>
  </xdr:twoCellAnchor>
  <xdr:oneCellAnchor>
    <xdr:from>
      <xdr:col>4</xdr:col>
      <xdr:colOff>184005</xdr:colOff>
      <xdr:row>186</xdr:row>
      <xdr:rowOff>109248</xdr:rowOff>
    </xdr:from>
    <xdr:ext cx="1703260" cy="368884"/>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C377934F-6A5D-AB80-CC3C-43B149ADAB48}"/>
                </a:ext>
              </a:extLst>
            </xdr:cNvPr>
            <xdr:cNvSpPr txBox="1"/>
          </xdr:nvSpPr>
          <xdr:spPr>
            <a:xfrm>
              <a:off x="13531683729" y="31815953"/>
              <a:ext cx="1703260" cy="3688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𝑅</m:t>
                                </m:r>
                              </m:num>
                              <m:den/>
                            </m:f>
                          </m:e>
                        </m:d>
                      </m:e>
                      <m:sup/>
                    </m:sSup>
                    <m:r>
                      <a:rPr lang="en-US" sz="1100" b="0" i="1">
                        <a:latin typeface="Cambria Math" panose="02040503050406030204" pitchFamily="18" charset="0"/>
                      </a:rPr>
                      <m:t>−1</m:t>
                    </m:r>
                  </m:oMath>
                </m:oMathPara>
              </a14:m>
              <a:endParaRPr lang="en-US" sz="1100"/>
            </a:p>
          </xdr:txBody>
        </xdr:sp>
      </mc:Choice>
      <mc:Fallback xmlns="">
        <xdr:sp macro="" textlink="">
          <xdr:nvSpPr>
            <xdr:cNvPr id="50" name="TextBox 49">
              <a:extLst>
                <a:ext uri="{FF2B5EF4-FFF2-40B4-BE49-F238E27FC236}">
                  <a16:creationId xmlns:a16="http://schemas.microsoft.com/office/drawing/2014/main" id="{C377934F-6A5D-AB80-CC3C-43B149ADAB48}"/>
                </a:ext>
              </a:extLst>
            </xdr:cNvPr>
            <xdr:cNvSpPr txBox="1"/>
          </xdr:nvSpPr>
          <xdr:spPr>
            <a:xfrm>
              <a:off x="13531683729" y="31815953"/>
              <a:ext cx="1703260" cy="3688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𝑟_𝑒=(1+𝑅/)^ −1</a:t>
              </a:r>
              <a:endParaRPr lang="en-US" sz="1100"/>
            </a:p>
          </xdr:txBody>
        </xdr:sp>
      </mc:Fallback>
    </mc:AlternateContent>
    <xdr:clientData/>
  </xdr:oneCellAnchor>
  <xdr:twoCellAnchor>
    <xdr:from>
      <xdr:col>2</xdr:col>
      <xdr:colOff>819006</xdr:colOff>
      <xdr:row>189</xdr:row>
      <xdr:rowOff>3608</xdr:rowOff>
    </xdr:from>
    <xdr:to>
      <xdr:col>3</xdr:col>
      <xdr:colOff>224284</xdr:colOff>
      <xdr:row>191</xdr:row>
      <xdr:rowOff>28863</xdr:rowOff>
    </xdr:to>
    <xdr:sp macro="" textlink="">
      <xdr:nvSpPr>
        <xdr:cNvPr id="51" name="Freeform 50">
          <a:extLst>
            <a:ext uri="{FF2B5EF4-FFF2-40B4-BE49-F238E27FC236}">
              <a16:creationId xmlns:a16="http://schemas.microsoft.com/office/drawing/2014/main" id="{36A2CBC4-62DA-3DC0-86D7-CFE8862FEE4E}"/>
            </a:ext>
          </a:extLst>
        </xdr:cNvPr>
        <xdr:cNvSpPr/>
      </xdr:nvSpPr>
      <xdr:spPr>
        <a:xfrm>
          <a:off x="13534172932" y="32316449"/>
          <a:ext cx="267579" cy="429346"/>
        </a:xfrm>
        <a:custGeom>
          <a:avLst/>
          <a:gdLst>
            <a:gd name="connsiteX0" fmla="*/ 209852 w 267579"/>
            <a:gd name="connsiteY0" fmla="*/ 429346 h 429346"/>
            <a:gd name="connsiteX1" fmla="*/ 591 w 267579"/>
            <a:gd name="connsiteY1" fmla="*/ 169573 h 429346"/>
            <a:gd name="connsiteX2" fmla="*/ 267579 w 267579"/>
            <a:gd name="connsiteY2" fmla="*/ 0 h 429346"/>
          </a:gdLst>
          <a:ahLst/>
          <a:cxnLst>
            <a:cxn ang="0">
              <a:pos x="connsiteX0" y="connsiteY0"/>
            </a:cxn>
            <a:cxn ang="0">
              <a:pos x="connsiteX1" y="connsiteY1"/>
            </a:cxn>
            <a:cxn ang="0">
              <a:pos x="connsiteX2" y="connsiteY2"/>
            </a:cxn>
          </a:cxnLst>
          <a:rect l="l" t="t" r="r" b="b"/>
          <a:pathLst>
            <a:path w="267579" h="429346">
              <a:moveTo>
                <a:pt x="209852" y="429346"/>
              </a:moveTo>
              <a:cubicBezTo>
                <a:pt x="100411" y="335238"/>
                <a:pt x="-9030" y="241131"/>
                <a:pt x="591" y="169573"/>
              </a:cubicBezTo>
              <a:cubicBezTo>
                <a:pt x="10212" y="98015"/>
                <a:pt x="138895" y="49007"/>
                <a:pt x="267579" y="0"/>
              </a:cubicBezTo>
            </a:path>
          </a:pathLst>
        </a:custGeom>
        <a:noFill/>
        <a:ln>
          <a:headEnd type="none" w="med" len="med"/>
          <a:tailEnd type="arrow" w="med" len="med"/>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2</xdr:col>
      <xdr:colOff>815399</xdr:colOff>
      <xdr:row>189</xdr:row>
      <xdr:rowOff>120071</xdr:rowOff>
    </xdr:from>
    <xdr:ext cx="786839" cy="173766"/>
    <mc:AlternateContent xmlns:mc="http://schemas.openxmlformats.org/markup-compatibility/2006" xmlns:a14="http://schemas.microsoft.com/office/drawing/2010/main">
      <mc:Choice Requires="a14">
        <xdr:sp macro="" textlink="">
          <xdr:nvSpPr>
            <xdr:cNvPr id="52" name="TextBox 51">
              <a:extLst>
                <a:ext uri="{FF2B5EF4-FFF2-40B4-BE49-F238E27FC236}">
                  <a16:creationId xmlns:a16="http://schemas.microsoft.com/office/drawing/2014/main" id="{E8E24CC1-F831-B0CE-7B36-75E65C731930}"/>
                </a:ext>
              </a:extLst>
            </xdr:cNvPr>
            <xdr:cNvSpPr txBox="1"/>
          </xdr:nvSpPr>
          <xdr:spPr>
            <a:xfrm>
              <a:off x="13533657279" y="32432912"/>
              <a:ext cx="78683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solidFill>
                          <a:srgbClr val="FF0000"/>
                        </a:solidFill>
                        <a:latin typeface="Cambria Math" panose="02040503050406030204" pitchFamily="18" charset="0"/>
                      </a:rPr>
                      <m:t>4</m:t>
                    </m:r>
                  </m:oMath>
                </m:oMathPara>
              </a14:m>
              <a:endParaRPr lang="en-US" sz="1100">
                <a:solidFill>
                  <a:srgbClr val="FF0000"/>
                </a:solidFill>
              </a:endParaRPr>
            </a:p>
          </xdr:txBody>
        </xdr:sp>
      </mc:Choice>
      <mc:Fallback xmlns="">
        <xdr:sp macro="" textlink="">
          <xdr:nvSpPr>
            <xdr:cNvPr id="52" name="TextBox 51">
              <a:extLst>
                <a:ext uri="{FF2B5EF4-FFF2-40B4-BE49-F238E27FC236}">
                  <a16:creationId xmlns:a16="http://schemas.microsoft.com/office/drawing/2014/main" id="{E8E24CC1-F831-B0CE-7B36-75E65C731930}"/>
                </a:ext>
              </a:extLst>
            </xdr:cNvPr>
            <xdr:cNvSpPr txBox="1"/>
          </xdr:nvSpPr>
          <xdr:spPr>
            <a:xfrm>
              <a:off x="13533657279" y="32432912"/>
              <a:ext cx="78683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solidFill>
                    <a:srgbClr val="FF0000"/>
                  </a:solidFill>
                  <a:latin typeface="Cambria Math" panose="02040503050406030204" pitchFamily="18" charset="0"/>
                </a:rPr>
                <a:t>4</a:t>
              </a:r>
              <a:endParaRPr lang="en-US" sz="1100">
                <a:solidFill>
                  <a:srgbClr val="FF0000"/>
                </a:solidFill>
              </a:endParaRPr>
            </a:p>
          </xdr:txBody>
        </xdr:sp>
      </mc:Fallback>
    </mc:AlternateContent>
    <xdr:clientData/>
  </xdr:oneCellAnchor>
  <xdr:oneCellAnchor>
    <xdr:from>
      <xdr:col>5</xdr:col>
      <xdr:colOff>678296</xdr:colOff>
      <xdr:row>189</xdr:row>
      <xdr:rowOff>102032</xdr:rowOff>
    </xdr:from>
    <xdr:ext cx="1703260" cy="353238"/>
    <mc:AlternateContent xmlns:mc="http://schemas.openxmlformats.org/markup-compatibility/2006" xmlns:a14="http://schemas.microsoft.com/office/drawing/2010/main">
      <mc:Choice Requires="a14">
        <xdr:sp macro="" textlink="">
          <xdr:nvSpPr>
            <xdr:cNvPr id="53" name="TextBox 52">
              <a:extLst>
                <a:ext uri="{FF2B5EF4-FFF2-40B4-BE49-F238E27FC236}">
                  <a16:creationId xmlns:a16="http://schemas.microsoft.com/office/drawing/2014/main" id="{78FD2666-FD51-AF03-3C73-E0D2E671D6F0}"/>
                </a:ext>
              </a:extLst>
            </xdr:cNvPr>
            <xdr:cNvSpPr txBox="1"/>
          </xdr:nvSpPr>
          <xdr:spPr>
            <a:xfrm>
              <a:off x="13530363216" y="32414873"/>
              <a:ext cx="1703260" cy="35323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he-IL" sz="1100" b="0" i="1">
                                    <a:latin typeface="Cambria Math" panose="02040503050406030204" pitchFamily="18" charset="0"/>
                                  </a:rPr>
                                  <m:t>20%</m:t>
                                </m:r>
                              </m:num>
                              <m:den>
                                <m:r>
                                  <a:rPr lang="he-IL" sz="1100" b="0" i="1">
                                    <a:solidFill>
                                      <a:srgbClr val="FF0000"/>
                                    </a:solidFill>
                                    <a:latin typeface="Cambria Math" panose="02040503050406030204" pitchFamily="18" charset="0"/>
                                  </a:rPr>
                                  <m:t>4</m:t>
                                </m:r>
                              </m:den>
                            </m:f>
                          </m:e>
                        </m:d>
                      </m:e>
                      <m:sup>
                        <m:r>
                          <a:rPr lang="he-IL" sz="1100" b="0" i="1">
                            <a:solidFill>
                              <a:srgbClr val="00B050"/>
                            </a:solidFill>
                            <a:latin typeface="Cambria Math" panose="02040503050406030204" pitchFamily="18" charset="0"/>
                          </a:rPr>
                          <m:t>4</m:t>
                        </m:r>
                      </m:sup>
                    </m:sSup>
                    <m:r>
                      <a:rPr lang="en-US" sz="1100" b="0" i="1">
                        <a:latin typeface="Cambria Math" panose="02040503050406030204" pitchFamily="18" charset="0"/>
                      </a:rPr>
                      <m:t>−</m:t>
                    </m:r>
                    <m:r>
                      <a:rPr lang="he-IL" sz="1100" b="0" i="1">
                        <a:latin typeface="Cambria Math" panose="02040503050406030204" pitchFamily="18" charset="0"/>
                      </a:rPr>
                      <m:t>1=</m:t>
                    </m:r>
                  </m:oMath>
                </m:oMathPara>
              </a14:m>
              <a:endParaRPr lang="en-US" sz="1100"/>
            </a:p>
          </xdr:txBody>
        </xdr:sp>
      </mc:Choice>
      <mc:Fallback xmlns="">
        <xdr:sp macro="" textlink="">
          <xdr:nvSpPr>
            <xdr:cNvPr id="53" name="TextBox 52">
              <a:extLst>
                <a:ext uri="{FF2B5EF4-FFF2-40B4-BE49-F238E27FC236}">
                  <a16:creationId xmlns:a16="http://schemas.microsoft.com/office/drawing/2014/main" id="{78FD2666-FD51-AF03-3C73-E0D2E671D6F0}"/>
                </a:ext>
              </a:extLst>
            </xdr:cNvPr>
            <xdr:cNvSpPr txBox="1"/>
          </xdr:nvSpPr>
          <xdr:spPr>
            <a:xfrm>
              <a:off x="13530363216" y="32414873"/>
              <a:ext cx="1703260" cy="35323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a:t>
              </a:r>
              <a:r>
                <a:rPr lang="he-IL" sz="1100" b="0" i="0">
                  <a:latin typeface="Cambria Math" panose="02040503050406030204" pitchFamily="18" charset="0"/>
                </a:rPr>
                <a:t>20%</a:t>
              </a:r>
              <a:r>
                <a:rPr lang="en-US" sz="1100" b="0" i="0">
                  <a:latin typeface="Cambria Math" panose="02040503050406030204" pitchFamily="18" charset="0"/>
                </a:rPr>
                <a:t>)/</a:t>
              </a:r>
              <a:r>
                <a:rPr lang="he-IL" sz="1100" b="0" i="0">
                  <a:solidFill>
                    <a:srgbClr val="FF0000"/>
                  </a:solidFill>
                  <a:latin typeface="Cambria Math" panose="02040503050406030204" pitchFamily="18" charset="0"/>
                </a:rPr>
                <a:t>4</a:t>
              </a:r>
              <a:r>
                <a:rPr lang="en-US" sz="1100" b="0" i="0">
                  <a:solidFill>
                    <a:srgbClr val="FF0000"/>
                  </a:solidFill>
                  <a:latin typeface="Cambria Math" panose="02040503050406030204" pitchFamily="18" charset="0"/>
                </a:rPr>
                <a:t>)^</a:t>
              </a:r>
              <a:r>
                <a:rPr lang="he-IL" sz="1100" b="0" i="0">
                  <a:solidFill>
                    <a:srgbClr val="00B050"/>
                  </a:solidFill>
                  <a:latin typeface="Cambria Math" panose="02040503050406030204" pitchFamily="18" charset="0"/>
                </a:rPr>
                <a:t>4</a:t>
              </a:r>
              <a:r>
                <a:rPr lang="en-US" sz="1100" b="0" i="0">
                  <a:latin typeface="Cambria Math" panose="02040503050406030204" pitchFamily="18" charset="0"/>
                </a:rPr>
                <a:t>−</a:t>
              </a:r>
              <a:r>
                <a:rPr lang="he-IL" sz="1100" b="0" i="0">
                  <a:latin typeface="Cambria Math" panose="02040503050406030204" pitchFamily="18" charset="0"/>
                </a:rPr>
                <a:t>1=</a:t>
              </a:r>
              <a:endParaRPr lang="en-US" sz="1100"/>
            </a:p>
          </xdr:txBody>
        </xdr:sp>
      </mc:Fallback>
    </mc:AlternateContent>
    <xdr:clientData/>
  </xdr:oneCellAnchor>
  <xdr:twoCellAnchor>
    <xdr:from>
      <xdr:col>2</xdr:col>
      <xdr:colOff>819006</xdr:colOff>
      <xdr:row>191</xdr:row>
      <xdr:rowOff>39687</xdr:rowOff>
    </xdr:from>
    <xdr:to>
      <xdr:col>3</xdr:col>
      <xdr:colOff>187928</xdr:colOff>
      <xdr:row>193</xdr:row>
      <xdr:rowOff>111846</xdr:rowOff>
    </xdr:to>
    <xdr:sp macro="" textlink="">
      <xdr:nvSpPr>
        <xdr:cNvPr id="54" name="Freeform 53">
          <a:extLst>
            <a:ext uri="{FF2B5EF4-FFF2-40B4-BE49-F238E27FC236}">
              <a16:creationId xmlns:a16="http://schemas.microsoft.com/office/drawing/2014/main" id="{C5CA900C-6E23-14D1-6EC4-7BC706DBA3A4}"/>
            </a:ext>
          </a:extLst>
        </xdr:cNvPr>
        <xdr:cNvSpPr/>
      </xdr:nvSpPr>
      <xdr:spPr>
        <a:xfrm>
          <a:off x="13534209288" y="32756619"/>
          <a:ext cx="231223" cy="476250"/>
        </a:xfrm>
        <a:custGeom>
          <a:avLst/>
          <a:gdLst>
            <a:gd name="connsiteX0" fmla="*/ 191536 w 231223"/>
            <a:gd name="connsiteY0" fmla="*/ 0 h 476250"/>
            <a:gd name="connsiteX1" fmla="*/ 314 w 231223"/>
            <a:gd name="connsiteY1" fmla="*/ 263381 h 476250"/>
            <a:gd name="connsiteX2" fmla="*/ 231223 w 231223"/>
            <a:gd name="connsiteY2" fmla="*/ 476250 h 476250"/>
          </a:gdLst>
          <a:ahLst/>
          <a:cxnLst>
            <a:cxn ang="0">
              <a:pos x="connsiteX0" y="connsiteY0"/>
            </a:cxn>
            <a:cxn ang="0">
              <a:pos x="connsiteX1" y="connsiteY1"/>
            </a:cxn>
            <a:cxn ang="0">
              <a:pos x="connsiteX2" y="connsiteY2"/>
            </a:cxn>
          </a:cxnLst>
          <a:rect l="l" t="t" r="r" b="b"/>
          <a:pathLst>
            <a:path w="231223" h="476250">
              <a:moveTo>
                <a:pt x="191536" y="0"/>
              </a:moveTo>
              <a:cubicBezTo>
                <a:pt x="92618" y="92003"/>
                <a:pt x="-6300" y="184006"/>
                <a:pt x="314" y="263381"/>
              </a:cubicBezTo>
              <a:cubicBezTo>
                <a:pt x="6928" y="342756"/>
                <a:pt x="119075" y="409503"/>
                <a:pt x="231223" y="476250"/>
              </a:cubicBezTo>
            </a:path>
          </a:pathLst>
        </a:custGeom>
        <a:noFill/>
        <a:ln>
          <a:headEnd type="none" w="med" len="med"/>
          <a:tailEnd type="arrow" w="med" len="med"/>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2</xdr:col>
      <xdr:colOff>779320</xdr:colOff>
      <xdr:row>192</xdr:row>
      <xdr:rowOff>15440</xdr:rowOff>
    </xdr:from>
    <xdr:ext cx="786839" cy="173766"/>
    <mc:AlternateContent xmlns:mc="http://schemas.openxmlformats.org/markup-compatibility/2006" xmlns:a14="http://schemas.microsoft.com/office/drawing/2010/main">
      <mc:Choice Requires="a14">
        <xdr:sp macro="" textlink="">
          <xdr:nvSpPr>
            <xdr:cNvPr id="55" name="TextBox 54">
              <a:extLst>
                <a:ext uri="{FF2B5EF4-FFF2-40B4-BE49-F238E27FC236}">
                  <a16:creationId xmlns:a16="http://schemas.microsoft.com/office/drawing/2014/main" id="{5F9BED98-1818-2E79-F66C-98005228BD11}"/>
                </a:ext>
              </a:extLst>
            </xdr:cNvPr>
            <xdr:cNvSpPr txBox="1"/>
          </xdr:nvSpPr>
          <xdr:spPr>
            <a:xfrm>
              <a:off x="13533693358" y="32934417"/>
              <a:ext cx="78683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solidFill>
                          <a:srgbClr val="00B050"/>
                        </a:solidFill>
                        <a:latin typeface="Cambria Math" panose="02040503050406030204" pitchFamily="18" charset="0"/>
                      </a:rPr>
                      <m:t>4</m:t>
                    </m:r>
                  </m:oMath>
                </m:oMathPara>
              </a14:m>
              <a:endParaRPr lang="en-US" sz="1100">
                <a:solidFill>
                  <a:srgbClr val="00B050"/>
                </a:solidFill>
              </a:endParaRPr>
            </a:p>
          </xdr:txBody>
        </xdr:sp>
      </mc:Choice>
      <mc:Fallback xmlns="">
        <xdr:sp macro="" textlink="">
          <xdr:nvSpPr>
            <xdr:cNvPr id="55" name="TextBox 54">
              <a:extLst>
                <a:ext uri="{FF2B5EF4-FFF2-40B4-BE49-F238E27FC236}">
                  <a16:creationId xmlns:a16="http://schemas.microsoft.com/office/drawing/2014/main" id="{5F9BED98-1818-2E79-F66C-98005228BD11}"/>
                </a:ext>
              </a:extLst>
            </xdr:cNvPr>
            <xdr:cNvSpPr txBox="1"/>
          </xdr:nvSpPr>
          <xdr:spPr>
            <a:xfrm>
              <a:off x="13533693358" y="32934417"/>
              <a:ext cx="78683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solidFill>
                    <a:srgbClr val="00B050"/>
                  </a:solidFill>
                  <a:latin typeface="Cambria Math" panose="02040503050406030204" pitchFamily="18" charset="0"/>
                </a:rPr>
                <a:t>4</a:t>
              </a:r>
              <a:endParaRPr lang="en-US" sz="1100">
                <a:solidFill>
                  <a:srgbClr val="00B050"/>
                </a:solidFill>
              </a:endParaRPr>
            </a:p>
          </xdr:txBody>
        </xdr:sp>
      </mc:Fallback>
    </mc:AlternateContent>
    <xdr:clientData/>
  </xdr:oneCellAnchor>
  <xdr:twoCellAnchor>
    <xdr:from>
      <xdr:col>3</xdr:col>
      <xdr:colOff>508722</xdr:colOff>
      <xdr:row>189</xdr:row>
      <xdr:rowOff>82983</xdr:rowOff>
    </xdr:from>
    <xdr:to>
      <xdr:col>4</xdr:col>
      <xdr:colOff>349971</xdr:colOff>
      <xdr:row>190</xdr:row>
      <xdr:rowOff>122671</xdr:rowOff>
    </xdr:to>
    <xdr:sp macro="" textlink="">
      <xdr:nvSpPr>
        <xdr:cNvPr id="56" name="Rounded Rectangle 55">
          <a:extLst>
            <a:ext uri="{FF2B5EF4-FFF2-40B4-BE49-F238E27FC236}">
              <a16:creationId xmlns:a16="http://schemas.microsoft.com/office/drawing/2014/main" id="{79CDC2FA-6589-41E0-E27B-BBA6D73B5947}"/>
            </a:ext>
          </a:extLst>
        </xdr:cNvPr>
        <xdr:cNvSpPr/>
      </xdr:nvSpPr>
      <xdr:spPr>
        <a:xfrm>
          <a:off x="13533221023" y="32395824"/>
          <a:ext cx="667471" cy="24173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המכנה</a:t>
          </a:r>
          <a:endParaRPr lang="en-US" sz="1100"/>
        </a:p>
      </xdr:txBody>
    </xdr:sp>
    <xdr:clientData/>
  </xdr:twoCellAnchor>
  <xdr:twoCellAnchor>
    <xdr:from>
      <xdr:col>3</xdr:col>
      <xdr:colOff>479859</xdr:colOff>
      <xdr:row>191</xdr:row>
      <xdr:rowOff>169574</xdr:rowOff>
    </xdr:from>
    <xdr:to>
      <xdr:col>4</xdr:col>
      <xdr:colOff>321108</xdr:colOff>
      <xdr:row>193</xdr:row>
      <xdr:rowOff>7216</xdr:rowOff>
    </xdr:to>
    <xdr:sp macro="" textlink="">
      <xdr:nvSpPr>
        <xdr:cNvPr id="57" name="Rounded Rectangle 56">
          <a:extLst>
            <a:ext uri="{FF2B5EF4-FFF2-40B4-BE49-F238E27FC236}">
              <a16:creationId xmlns:a16="http://schemas.microsoft.com/office/drawing/2014/main" id="{6F3CDD00-E762-AE7A-34F4-7E11136E91C8}"/>
            </a:ext>
          </a:extLst>
        </xdr:cNvPr>
        <xdr:cNvSpPr/>
      </xdr:nvSpPr>
      <xdr:spPr>
        <a:xfrm>
          <a:off x="13533249886" y="32886506"/>
          <a:ext cx="667471" cy="24173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המעריך</a:t>
          </a:r>
          <a:endParaRPr lang="en-US" sz="1100"/>
        </a:p>
      </xdr:txBody>
    </xdr:sp>
    <xdr:clientData/>
  </xdr:twoCellAnchor>
  <xdr:oneCellAnchor>
    <xdr:from>
      <xdr:col>3</xdr:col>
      <xdr:colOff>3609</xdr:colOff>
      <xdr:row>196</xdr:row>
      <xdr:rowOff>109247</xdr:rowOff>
    </xdr:from>
    <xdr:ext cx="1703260" cy="357406"/>
    <mc:AlternateContent xmlns:mc="http://schemas.openxmlformats.org/markup-compatibility/2006" xmlns:a14="http://schemas.microsoft.com/office/drawing/2010/main">
      <mc:Choice Requires="a14">
        <xdr:sp macro="" textlink="">
          <xdr:nvSpPr>
            <xdr:cNvPr id="62" name="TextBox 61">
              <a:extLst>
                <a:ext uri="{FF2B5EF4-FFF2-40B4-BE49-F238E27FC236}">
                  <a16:creationId xmlns:a16="http://schemas.microsoft.com/office/drawing/2014/main" id="{1BFACCC1-0E6E-11BD-2EE6-9926194541BD}"/>
                </a:ext>
              </a:extLst>
            </xdr:cNvPr>
            <xdr:cNvSpPr txBox="1"/>
          </xdr:nvSpPr>
          <xdr:spPr>
            <a:xfrm>
              <a:off x="13532690347" y="33836406"/>
              <a:ext cx="1703260" cy="3574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he-IL" sz="1100" b="0" i="1">
                                    <a:latin typeface="Cambria Math" panose="02040503050406030204" pitchFamily="18" charset="0"/>
                                  </a:rPr>
                                  <m:t>19%</m:t>
                                </m:r>
                              </m:num>
                              <m:den>
                                <m:r>
                                  <a:rPr lang="he-IL" sz="1100" b="0" i="1">
                                    <a:solidFill>
                                      <a:srgbClr val="FF0000"/>
                                    </a:solidFill>
                                    <a:latin typeface="Cambria Math" panose="02040503050406030204" pitchFamily="18" charset="0"/>
                                  </a:rPr>
                                  <m:t>365</m:t>
                                </m:r>
                              </m:den>
                            </m:f>
                          </m:e>
                        </m:d>
                      </m:e>
                      <m:sup>
                        <m:r>
                          <a:rPr lang="he-IL" sz="1100" b="0" i="1">
                            <a:solidFill>
                              <a:srgbClr val="00B050"/>
                            </a:solidFill>
                            <a:latin typeface="Cambria Math" panose="02040503050406030204" pitchFamily="18" charset="0"/>
                          </a:rPr>
                          <m:t>365</m:t>
                        </m:r>
                      </m:sup>
                    </m:sSup>
                    <m:r>
                      <a:rPr lang="en-US" sz="1100" b="0" i="1">
                        <a:latin typeface="Cambria Math" panose="02040503050406030204" pitchFamily="18" charset="0"/>
                      </a:rPr>
                      <m:t>−</m:t>
                    </m:r>
                    <m:r>
                      <a:rPr lang="he-IL" sz="1100" b="0" i="1">
                        <a:latin typeface="Cambria Math" panose="02040503050406030204" pitchFamily="18" charset="0"/>
                      </a:rPr>
                      <m:t>1=</m:t>
                    </m:r>
                  </m:oMath>
                </m:oMathPara>
              </a14:m>
              <a:endParaRPr lang="en-US" sz="1100"/>
            </a:p>
          </xdr:txBody>
        </xdr:sp>
      </mc:Choice>
      <mc:Fallback xmlns="">
        <xdr:sp macro="" textlink="">
          <xdr:nvSpPr>
            <xdr:cNvPr id="62" name="TextBox 61">
              <a:extLst>
                <a:ext uri="{FF2B5EF4-FFF2-40B4-BE49-F238E27FC236}">
                  <a16:creationId xmlns:a16="http://schemas.microsoft.com/office/drawing/2014/main" id="{1BFACCC1-0E6E-11BD-2EE6-9926194541BD}"/>
                </a:ext>
              </a:extLst>
            </xdr:cNvPr>
            <xdr:cNvSpPr txBox="1"/>
          </xdr:nvSpPr>
          <xdr:spPr>
            <a:xfrm>
              <a:off x="13532690347" y="33836406"/>
              <a:ext cx="1703260" cy="3574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a:t>
              </a:r>
              <a:r>
                <a:rPr lang="he-IL" sz="1100" b="0" i="0">
                  <a:latin typeface="Cambria Math" panose="02040503050406030204" pitchFamily="18" charset="0"/>
                </a:rPr>
                <a:t>19%</a:t>
              </a:r>
              <a:r>
                <a:rPr lang="en-US" sz="1100" b="0" i="0">
                  <a:latin typeface="Cambria Math" panose="02040503050406030204" pitchFamily="18" charset="0"/>
                </a:rPr>
                <a:t>)/</a:t>
              </a:r>
              <a:r>
                <a:rPr lang="he-IL" sz="1100" b="0" i="0">
                  <a:solidFill>
                    <a:srgbClr val="FF0000"/>
                  </a:solidFill>
                  <a:latin typeface="Cambria Math" panose="02040503050406030204" pitchFamily="18" charset="0"/>
                </a:rPr>
                <a:t>365</a:t>
              </a:r>
              <a:r>
                <a:rPr lang="en-US" sz="1100" b="0" i="0">
                  <a:solidFill>
                    <a:srgbClr val="FF0000"/>
                  </a:solidFill>
                  <a:latin typeface="Cambria Math" panose="02040503050406030204" pitchFamily="18" charset="0"/>
                </a:rPr>
                <a:t>)^</a:t>
              </a:r>
              <a:r>
                <a:rPr lang="he-IL" sz="1100" b="0" i="0">
                  <a:solidFill>
                    <a:srgbClr val="00B050"/>
                  </a:solidFill>
                  <a:latin typeface="Cambria Math" panose="02040503050406030204" pitchFamily="18" charset="0"/>
                </a:rPr>
                <a:t>365</a:t>
              </a:r>
              <a:r>
                <a:rPr lang="en-US" sz="1100" b="0" i="0">
                  <a:latin typeface="Cambria Math" panose="02040503050406030204" pitchFamily="18" charset="0"/>
                </a:rPr>
                <a:t>−</a:t>
              </a:r>
              <a:r>
                <a:rPr lang="he-IL" sz="1100" b="0" i="0">
                  <a:latin typeface="Cambria Math" panose="02040503050406030204" pitchFamily="18" charset="0"/>
                </a:rPr>
                <a:t>1=</a:t>
              </a:r>
              <a:endParaRPr lang="en-US" sz="1100"/>
            </a:p>
          </xdr:txBody>
        </xdr:sp>
      </mc:Fallback>
    </mc:AlternateContent>
    <xdr:clientData/>
  </xdr:oneCellAnchor>
  <xdr:twoCellAnchor>
    <xdr:from>
      <xdr:col>1</xdr:col>
      <xdr:colOff>764886</xdr:colOff>
      <xdr:row>203</xdr:row>
      <xdr:rowOff>122671</xdr:rowOff>
    </xdr:from>
    <xdr:to>
      <xdr:col>6</xdr:col>
      <xdr:colOff>173182</xdr:colOff>
      <xdr:row>203</xdr:row>
      <xdr:rowOff>126279</xdr:rowOff>
    </xdr:to>
    <xdr:cxnSp macro="">
      <xdr:nvCxnSpPr>
        <xdr:cNvPr id="64" name="Straight Arrow Connector 63">
          <a:extLst>
            <a:ext uri="{FF2B5EF4-FFF2-40B4-BE49-F238E27FC236}">
              <a16:creationId xmlns:a16="http://schemas.microsoft.com/office/drawing/2014/main" id="{5EC15F32-CB04-262C-6BEB-884869DED740}"/>
            </a:ext>
          </a:extLst>
        </xdr:cNvPr>
        <xdr:cNvCxnSpPr/>
      </xdr:nvCxnSpPr>
      <xdr:spPr>
        <a:xfrm>
          <a:off x="13531684034" y="35264148"/>
          <a:ext cx="3636818" cy="360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580881</xdr:colOff>
      <xdr:row>207</xdr:row>
      <xdr:rowOff>127287</xdr:rowOff>
    </xdr:from>
    <xdr:ext cx="1703260" cy="318036"/>
    <mc:AlternateContent xmlns:mc="http://schemas.openxmlformats.org/markup-compatibility/2006" xmlns:a14="http://schemas.microsoft.com/office/drawing/2010/main">
      <mc:Choice Requires="a14">
        <xdr:sp macro="" textlink="">
          <xdr:nvSpPr>
            <xdr:cNvPr id="65" name="TextBox 64">
              <a:extLst>
                <a:ext uri="{FF2B5EF4-FFF2-40B4-BE49-F238E27FC236}">
                  <a16:creationId xmlns:a16="http://schemas.microsoft.com/office/drawing/2014/main" id="{5555722B-245A-82C4-78DE-DF6387757BA7}"/>
                </a:ext>
              </a:extLst>
            </xdr:cNvPr>
            <xdr:cNvSpPr txBox="1"/>
          </xdr:nvSpPr>
          <xdr:spPr>
            <a:xfrm>
              <a:off x="13532975376" y="36076946"/>
              <a:ext cx="1703260"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he-IL" sz="1100" b="0" i="1">
                            <a:latin typeface="Cambria Math" panose="02040503050406030204" pitchFamily="18" charset="0"/>
                          </a:rPr>
                        </m:ctrlPr>
                      </m:fPr>
                      <m:num>
                        <m:r>
                          <a:rPr lang="he-IL" sz="1100" b="0" i="1">
                            <a:latin typeface="Cambria Math" panose="02040503050406030204" pitchFamily="18" charset="0"/>
                          </a:rPr>
                          <m:t>1</m:t>
                        </m:r>
                      </m:num>
                      <m:den>
                        <m:r>
                          <a:rPr lang="he-IL" sz="1100" b="0" i="1">
                            <a:latin typeface="Cambria Math" panose="02040503050406030204" pitchFamily="18" charset="0"/>
                          </a:rPr>
                          <m:t>1−</m:t>
                        </m:r>
                        <m:r>
                          <a:rPr lang="he-IL" sz="1100" b="0" i="1">
                            <a:solidFill>
                              <a:srgbClr val="FF0000"/>
                            </a:solidFill>
                            <a:latin typeface="Cambria Math" panose="02040503050406030204" pitchFamily="18" charset="0"/>
                          </a:rPr>
                          <m:t>0.18</m:t>
                        </m:r>
                      </m:den>
                    </m:f>
                    <m:r>
                      <a:rPr lang="he-IL" sz="1100" b="0" i="1">
                        <a:latin typeface="Cambria Math" panose="02040503050406030204" pitchFamily="18" charset="0"/>
                      </a:rPr>
                      <m:t>−1=</m:t>
                    </m:r>
                  </m:oMath>
                </m:oMathPara>
              </a14:m>
              <a:endParaRPr lang="en-US" sz="1100"/>
            </a:p>
          </xdr:txBody>
        </xdr:sp>
      </mc:Choice>
      <mc:Fallback xmlns="">
        <xdr:sp macro="" textlink="">
          <xdr:nvSpPr>
            <xdr:cNvPr id="65" name="TextBox 64">
              <a:extLst>
                <a:ext uri="{FF2B5EF4-FFF2-40B4-BE49-F238E27FC236}">
                  <a16:creationId xmlns:a16="http://schemas.microsoft.com/office/drawing/2014/main" id="{5555722B-245A-82C4-78DE-DF6387757BA7}"/>
                </a:ext>
              </a:extLst>
            </xdr:cNvPr>
            <xdr:cNvSpPr txBox="1"/>
          </xdr:nvSpPr>
          <xdr:spPr>
            <a:xfrm>
              <a:off x="13532975376" y="36076946"/>
              <a:ext cx="1703260"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a:t>
              </a:r>
              <a:r>
                <a:rPr lang="he-IL" sz="1100" b="0" i="0">
                  <a:latin typeface="Cambria Math" panose="02040503050406030204" pitchFamily="18" charset="0"/>
                </a:rPr>
                <a:t>1/(1−</a:t>
              </a:r>
              <a:r>
                <a:rPr lang="he-IL" sz="1100" b="0" i="0">
                  <a:solidFill>
                    <a:srgbClr val="FF0000"/>
                  </a:solidFill>
                  <a:latin typeface="Cambria Math" panose="02040503050406030204" pitchFamily="18" charset="0"/>
                </a:rPr>
                <a:t>0.18)</a:t>
              </a:r>
              <a:r>
                <a:rPr lang="he-IL" sz="1100" b="0" i="0">
                  <a:latin typeface="Cambria Math" panose="02040503050406030204" pitchFamily="18" charset="0"/>
                </a:rPr>
                <a:t>−1=</a:t>
              </a:r>
              <a:endParaRPr lang="en-US" sz="1100"/>
            </a:p>
          </xdr:txBody>
        </xdr:sp>
      </mc:Fallback>
    </mc:AlternateContent>
    <xdr:clientData/>
  </xdr:oneCellAnchor>
  <xdr:oneCellAnchor>
    <xdr:from>
      <xdr:col>2</xdr:col>
      <xdr:colOff>580881</xdr:colOff>
      <xdr:row>210</xdr:row>
      <xdr:rowOff>29872</xdr:rowOff>
    </xdr:from>
    <xdr:ext cx="1703260" cy="316882"/>
    <mc:AlternateContent xmlns:mc="http://schemas.openxmlformats.org/markup-compatibility/2006" xmlns:a14="http://schemas.microsoft.com/office/drawing/2010/main">
      <mc:Choice Requires="a14">
        <xdr:sp macro="" textlink="">
          <xdr:nvSpPr>
            <xdr:cNvPr id="66" name="TextBox 65">
              <a:extLst>
                <a:ext uri="{FF2B5EF4-FFF2-40B4-BE49-F238E27FC236}">
                  <a16:creationId xmlns:a16="http://schemas.microsoft.com/office/drawing/2014/main" id="{3B94CF10-1FEB-4C7A-AD43-2F240E74807C}"/>
                </a:ext>
              </a:extLst>
            </xdr:cNvPr>
            <xdr:cNvSpPr txBox="1"/>
          </xdr:nvSpPr>
          <xdr:spPr>
            <a:xfrm>
              <a:off x="13532975376" y="36585667"/>
              <a:ext cx="1703260"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he-IL" sz="1100" b="0" i="1">
                            <a:latin typeface="Cambria Math" panose="02040503050406030204" pitchFamily="18" charset="0"/>
                          </a:rPr>
                        </m:ctrlPr>
                      </m:fPr>
                      <m:num>
                        <m:r>
                          <a:rPr lang="he-IL" sz="1100" b="0" i="1">
                            <a:latin typeface="Cambria Math" panose="02040503050406030204" pitchFamily="18" charset="0"/>
                          </a:rPr>
                          <m:t>1</m:t>
                        </m:r>
                      </m:num>
                      <m:den>
                        <m:r>
                          <a:rPr lang="he-IL" sz="1100" b="0" i="1">
                            <a:latin typeface="Cambria Math" panose="02040503050406030204" pitchFamily="18" charset="0"/>
                          </a:rPr>
                          <m:t>1−</m:t>
                        </m:r>
                        <m:r>
                          <a:rPr lang="en-US" sz="1100" b="0" i="1">
                            <a:solidFill>
                              <a:srgbClr val="FF0000"/>
                            </a:solidFill>
                            <a:latin typeface="Cambria Math" panose="02040503050406030204" pitchFamily="18" charset="0"/>
                          </a:rPr>
                          <m:t>𝑑</m:t>
                        </m:r>
                      </m:den>
                    </m:f>
                    <m:r>
                      <a:rPr lang="he-IL" sz="1100" b="0" i="1">
                        <a:latin typeface="Cambria Math" panose="02040503050406030204" pitchFamily="18" charset="0"/>
                      </a:rPr>
                      <m:t>−1</m:t>
                    </m:r>
                  </m:oMath>
                </m:oMathPara>
              </a14:m>
              <a:endParaRPr lang="en-US" sz="1100"/>
            </a:p>
          </xdr:txBody>
        </xdr:sp>
      </mc:Choice>
      <mc:Fallback xmlns="">
        <xdr:sp macro="" textlink="">
          <xdr:nvSpPr>
            <xdr:cNvPr id="66" name="TextBox 65">
              <a:extLst>
                <a:ext uri="{FF2B5EF4-FFF2-40B4-BE49-F238E27FC236}">
                  <a16:creationId xmlns:a16="http://schemas.microsoft.com/office/drawing/2014/main" id="{3B94CF10-1FEB-4C7A-AD43-2F240E74807C}"/>
                </a:ext>
              </a:extLst>
            </xdr:cNvPr>
            <xdr:cNvSpPr txBox="1"/>
          </xdr:nvSpPr>
          <xdr:spPr>
            <a:xfrm>
              <a:off x="13532975376" y="36585667"/>
              <a:ext cx="1703260"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a:t>
              </a:r>
              <a:r>
                <a:rPr lang="he-IL" sz="1100" b="0" i="0">
                  <a:latin typeface="Cambria Math" panose="02040503050406030204" pitchFamily="18" charset="0"/>
                </a:rPr>
                <a:t>1/(1−</a:t>
              </a:r>
              <a:r>
                <a:rPr lang="en-US" sz="1100" b="0" i="0">
                  <a:solidFill>
                    <a:srgbClr val="FF0000"/>
                  </a:solidFill>
                  <a:latin typeface="Cambria Math" panose="02040503050406030204" pitchFamily="18" charset="0"/>
                </a:rPr>
                <a:t>𝑑</a:t>
              </a:r>
              <a:r>
                <a:rPr lang="he-IL" sz="1100" b="0" i="0">
                  <a:solidFill>
                    <a:srgbClr val="FF0000"/>
                  </a:solidFill>
                  <a:latin typeface="Cambria Math" panose="02040503050406030204" pitchFamily="18" charset="0"/>
                </a:rPr>
                <a:t>)</a:t>
              </a:r>
              <a:r>
                <a:rPr lang="he-IL" sz="1100" b="0" i="0">
                  <a:latin typeface="Cambria Math" panose="02040503050406030204" pitchFamily="18" charset="0"/>
                </a:rPr>
                <a:t>−1</a:t>
              </a:r>
              <a:endParaRPr lang="en-US" sz="1100"/>
            </a:p>
          </xdr:txBody>
        </xdr:sp>
      </mc:Fallback>
    </mc:AlternateContent>
    <xdr:clientData/>
  </xdr:oneCellAnchor>
  <xdr:twoCellAnchor>
    <xdr:from>
      <xdr:col>4</xdr:col>
      <xdr:colOff>512330</xdr:colOff>
      <xdr:row>207</xdr:row>
      <xdr:rowOff>169574</xdr:rowOff>
    </xdr:from>
    <xdr:to>
      <xdr:col>8</xdr:col>
      <xdr:colOff>28864</xdr:colOff>
      <xdr:row>213</xdr:row>
      <xdr:rowOff>111847</xdr:rowOff>
    </xdr:to>
    <xdr:sp macro="" textlink="">
      <xdr:nvSpPr>
        <xdr:cNvPr id="67" name="Rounded Rectangle 66">
          <a:extLst>
            <a:ext uri="{FF2B5EF4-FFF2-40B4-BE49-F238E27FC236}">
              <a16:creationId xmlns:a16="http://schemas.microsoft.com/office/drawing/2014/main" id="{D8239684-75CF-7EB4-3D38-51739A92E387}"/>
            </a:ext>
          </a:extLst>
        </xdr:cNvPr>
        <xdr:cNvSpPr/>
      </xdr:nvSpPr>
      <xdr:spPr>
        <a:xfrm>
          <a:off x="13530175908" y="36119233"/>
          <a:ext cx="2882756" cy="115454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בדף</a:t>
          </a:r>
          <a:r>
            <a:rPr lang="he-IL" sz="1100" baseline="0"/>
            <a:t> הנוסחאות, הנוסחה של ריבית מראש מורכבת יותר וכוללת גם חלוקה ומעריך. נוסחה כזו רלוונטית רק אם סיפרו לי שגם הריבית מראש מחושבת כמה פעמים. אם יש אזכור כללי של ריבית מראש וזהו, אין צורך בחלוקות והחזקות.</a:t>
          </a:r>
          <a:endParaRPr lang="en-US" sz="1100"/>
        </a:p>
      </xdr:txBody>
    </xdr:sp>
    <xdr:clientData/>
  </xdr:twoCellAnchor>
  <xdr:oneCellAnchor>
    <xdr:from>
      <xdr:col>3</xdr:col>
      <xdr:colOff>407700</xdr:colOff>
      <xdr:row>202</xdr:row>
      <xdr:rowOff>73168</xdr:rowOff>
    </xdr:from>
    <xdr:ext cx="1125987" cy="339132"/>
    <mc:AlternateContent xmlns:mc="http://schemas.openxmlformats.org/markup-compatibility/2006" xmlns:a14="http://schemas.microsoft.com/office/drawing/2010/main">
      <mc:Choice Requires="a14">
        <xdr:sp macro="" textlink="">
          <xdr:nvSpPr>
            <xdr:cNvPr id="68" name="TextBox 67">
              <a:extLst>
                <a:ext uri="{FF2B5EF4-FFF2-40B4-BE49-F238E27FC236}">
                  <a16:creationId xmlns:a16="http://schemas.microsoft.com/office/drawing/2014/main" id="{2CD2DA87-1316-BC57-016F-DD14975539DD}"/>
                </a:ext>
              </a:extLst>
            </xdr:cNvPr>
            <xdr:cNvSpPr txBox="1"/>
          </xdr:nvSpPr>
          <xdr:spPr>
            <a:xfrm>
              <a:off x="13532863529" y="35012600"/>
              <a:ext cx="1125987" cy="3391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a:fld id="{825F15A7-03F4-43D7-82C5-3E23DA2F108C}" type="mathplaceholder">
                      <a:rPr lang="en-US" sz="1100" i="1">
                        <a:latin typeface="Cambria Math" panose="02040503050406030204" pitchFamily="18" charset="0"/>
                      </a:rPr>
                      <a:t>Type equation here.</a:t>
                    </a:fld>
                  </m:oMath>
                </m:oMathPara>
              </a14:m>
              <a:endParaRPr lang="en-US" sz="1100"/>
            </a:p>
          </xdr:txBody>
        </xdr:sp>
      </mc:Choice>
      <mc:Fallback xmlns="">
        <xdr:sp macro="" textlink="">
          <xdr:nvSpPr>
            <xdr:cNvPr id="68" name="TextBox 67">
              <a:extLst>
                <a:ext uri="{FF2B5EF4-FFF2-40B4-BE49-F238E27FC236}">
                  <a16:creationId xmlns:a16="http://schemas.microsoft.com/office/drawing/2014/main" id="{2CD2DA87-1316-BC57-016F-DD14975539DD}"/>
                </a:ext>
              </a:extLst>
            </xdr:cNvPr>
            <xdr:cNvSpPr txBox="1"/>
          </xdr:nvSpPr>
          <xdr:spPr>
            <a:xfrm>
              <a:off x="13532863529" y="35012600"/>
              <a:ext cx="1125987" cy="3391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i="0">
                  <a:latin typeface="Cambria Math" panose="02040503050406030204" pitchFamily="18" charset="0"/>
                </a:rPr>
                <a:t>"Type equation here."</a:t>
              </a:r>
              <a:endParaRPr lang="en-US" sz="1100"/>
            </a:p>
          </xdr:txBody>
        </xdr:sp>
      </mc:Fallback>
    </mc:AlternateContent>
    <xdr:clientData/>
  </xdr:oneCellAnchor>
  <xdr:oneCellAnchor>
    <xdr:from>
      <xdr:col>8</xdr:col>
      <xdr:colOff>411309</xdr:colOff>
      <xdr:row>209</xdr:row>
      <xdr:rowOff>76775</xdr:rowOff>
    </xdr:from>
    <xdr:ext cx="1125987" cy="481670"/>
    <mc:AlternateContent xmlns:mc="http://schemas.openxmlformats.org/markup-compatibility/2006" xmlns:a14="http://schemas.microsoft.com/office/drawing/2010/main">
      <mc:Choice Requires="a14">
        <xdr:sp macro="" textlink="">
          <xdr:nvSpPr>
            <xdr:cNvPr id="69" name="TextBox 68">
              <a:extLst>
                <a:ext uri="{FF2B5EF4-FFF2-40B4-BE49-F238E27FC236}">
                  <a16:creationId xmlns:a16="http://schemas.microsoft.com/office/drawing/2014/main" id="{5EC8B9A3-15D0-1784-CC66-703E8140B8AF}"/>
                </a:ext>
              </a:extLst>
            </xdr:cNvPr>
            <xdr:cNvSpPr txBox="1"/>
          </xdr:nvSpPr>
          <xdr:spPr>
            <a:xfrm>
              <a:off x="13528667476" y="36430525"/>
              <a:ext cx="1125987" cy="4816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𝑑</m:t>
                                    </m:r>
                                  </m:num>
                                  <m:den>
                                    <m:r>
                                      <a:rPr lang="en-US" sz="1100" b="0" i="1">
                                        <a:latin typeface="Cambria Math" panose="02040503050406030204" pitchFamily="18" charset="0"/>
                                      </a:rPr>
                                      <m:t>𝑚</m:t>
                                    </m:r>
                                  </m:den>
                                </m:f>
                              </m:e>
                            </m:d>
                          </m:e>
                          <m:sup>
                            <m:r>
                              <a:rPr lang="en-US" sz="1100" b="0" i="1">
                                <a:latin typeface="Cambria Math" panose="02040503050406030204" pitchFamily="18" charset="0"/>
                              </a:rPr>
                              <m:t>𝑛</m:t>
                            </m:r>
                          </m:sup>
                        </m:sSup>
                      </m:den>
                    </m:f>
                    <m:r>
                      <a:rPr lang="en-US" sz="1100" b="0" i="1">
                        <a:latin typeface="Cambria Math" panose="02040503050406030204" pitchFamily="18" charset="0"/>
                      </a:rPr>
                      <m:t>−1</m:t>
                    </m:r>
                  </m:oMath>
                </m:oMathPara>
              </a14:m>
              <a:endParaRPr lang="en-US" sz="1100"/>
            </a:p>
          </xdr:txBody>
        </xdr:sp>
      </mc:Choice>
      <mc:Fallback xmlns="">
        <xdr:sp macro="" textlink="">
          <xdr:nvSpPr>
            <xdr:cNvPr id="69" name="TextBox 68">
              <a:extLst>
                <a:ext uri="{FF2B5EF4-FFF2-40B4-BE49-F238E27FC236}">
                  <a16:creationId xmlns:a16="http://schemas.microsoft.com/office/drawing/2014/main" id="{5EC8B9A3-15D0-1784-CC66-703E8140B8AF}"/>
                </a:ext>
              </a:extLst>
            </xdr:cNvPr>
            <xdr:cNvSpPr txBox="1"/>
          </xdr:nvSpPr>
          <xdr:spPr>
            <a:xfrm>
              <a:off x="13528667476" y="36430525"/>
              <a:ext cx="1125987" cy="4816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𝑟_𝑒=1/(1−𝑑/𝑚)^𝑛 −1</a:t>
              </a:r>
              <a:endParaRPr lang="en-US" sz="1100"/>
            </a:p>
          </xdr:txBody>
        </xdr:sp>
      </mc:Fallback>
    </mc:AlternateContent>
    <xdr:clientData/>
  </xdr:oneCellAnchor>
  <xdr:twoCellAnchor>
    <xdr:from>
      <xdr:col>8</xdr:col>
      <xdr:colOff>28864</xdr:colOff>
      <xdr:row>210</xdr:row>
      <xdr:rowOff>68552</xdr:rowOff>
    </xdr:from>
    <xdr:to>
      <xdr:col>8</xdr:col>
      <xdr:colOff>368011</xdr:colOff>
      <xdr:row>210</xdr:row>
      <xdr:rowOff>140711</xdr:rowOff>
    </xdr:to>
    <xdr:cxnSp macro="">
      <xdr:nvCxnSpPr>
        <xdr:cNvPr id="71" name="Straight Arrow Connector 70">
          <a:extLst>
            <a:ext uri="{FF2B5EF4-FFF2-40B4-BE49-F238E27FC236}">
              <a16:creationId xmlns:a16="http://schemas.microsoft.com/office/drawing/2014/main" id="{49FC3244-39BC-9831-9804-C3A65BE1983F}"/>
            </a:ext>
          </a:extLst>
        </xdr:cNvPr>
        <xdr:cNvCxnSpPr>
          <a:stCxn id="67" idx="1"/>
        </xdr:cNvCxnSpPr>
      </xdr:nvCxnSpPr>
      <xdr:spPr>
        <a:xfrm flipH="1" flipV="1">
          <a:off x="13529836761" y="36624347"/>
          <a:ext cx="339147" cy="72159"/>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732416</xdr:colOff>
      <xdr:row>218</xdr:row>
      <xdr:rowOff>170582</xdr:rowOff>
    </xdr:from>
    <xdr:ext cx="1703260" cy="173766"/>
    <mc:AlternateContent xmlns:mc="http://schemas.openxmlformats.org/markup-compatibility/2006" xmlns:a14="http://schemas.microsoft.com/office/drawing/2010/main">
      <mc:Choice Requires="a14">
        <xdr:sp macro="" textlink="">
          <xdr:nvSpPr>
            <xdr:cNvPr id="72" name="TextBox 71">
              <a:extLst>
                <a:ext uri="{FF2B5EF4-FFF2-40B4-BE49-F238E27FC236}">
                  <a16:creationId xmlns:a16="http://schemas.microsoft.com/office/drawing/2014/main" id="{F69E2C6C-5271-CFD4-8079-6484B54BC95B}"/>
                </a:ext>
              </a:extLst>
            </xdr:cNvPr>
            <xdr:cNvSpPr txBox="1"/>
          </xdr:nvSpPr>
          <xdr:spPr>
            <a:xfrm>
              <a:off x="13531961540" y="38342741"/>
              <a:ext cx="1703260"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𝑅</m:t>
                        </m:r>
                      </m:e>
                      <m:sub>
                        <m:r>
                          <a:rPr lang="en-US" sz="1100" b="0" i="1">
                            <a:latin typeface="Cambria Math" panose="02040503050406030204" pitchFamily="18" charset="0"/>
                          </a:rPr>
                          <m:t>𝑛</m:t>
                        </m:r>
                      </m:sub>
                    </m:sSub>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𝑅</m:t>
                            </m:r>
                          </m:e>
                          <m:sub>
                            <m:r>
                              <a:rPr lang="en-US" sz="1100" b="0" i="1">
                                <a:latin typeface="Cambria Math" panose="02040503050406030204" pitchFamily="18" charset="0"/>
                              </a:rPr>
                              <m:t>𝑅</m:t>
                            </m:r>
                          </m:sub>
                        </m:sSub>
                      </m:e>
                    </m:d>
                    <m:r>
                      <a:rPr lang="en-US" sz="1100" b="0" i="1">
                        <a:latin typeface="Cambria Math" panose="02040503050406030204" pitchFamily="18" charset="0"/>
                      </a:rPr>
                      <m:t>∗(1+</m:t>
                    </m:r>
                    <m:r>
                      <a:rPr lang="en-US" sz="1100" b="0" i="1">
                        <a:latin typeface="Cambria Math" panose="02040503050406030204" pitchFamily="18" charset="0"/>
                        <a:ea typeface="Cambria Math" panose="02040503050406030204" pitchFamily="18" charset="0"/>
                      </a:rPr>
                      <m:t>𝜋</m:t>
                    </m:r>
                    <m:r>
                      <a:rPr lang="en-US" sz="1100" b="0" i="1">
                        <a:latin typeface="Cambria Math" panose="02040503050406030204" pitchFamily="18" charset="0"/>
                        <a:ea typeface="Cambria Math" panose="02040503050406030204" pitchFamily="18" charset="0"/>
                      </a:rPr>
                      <m:t>)</m:t>
                    </m:r>
                  </m:oMath>
                </m:oMathPara>
              </a14:m>
              <a:endParaRPr lang="en-US" sz="1100"/>
            </a:p>
          </xdr:txBody>
        </xdr:sp>
      </mc:Choice>
      <mc:Fallback xmlns="">
        <xdr:sp macro="" textlink="">
          <xdr:nvSpPr>
            <xdr:cNvPr id="72" name="TextBox 71">
              <a:extLst>
                <a:ext uri="{FF2B5EF4-FFF2-40B4-BE49-F238E27FC236}">
                  <a16:creationId xmlns:a16="http://schemas.microsoft.com/office/drawing/2014/main" id="{F69E2C6C-5271-CFD4-8079-6484B54BC95B}"/>
                </a:ext>
              </a:extLst>
            </xdr:cNvPr>
            <xdr:cNvSpPr txBox="1"/>
          </xdr:nvSpPr>
          <xdr:spPr>
            <a:xfrm>
              <a:off x="13531961540" y="38342741"/>
              <a:ext cx="1703260"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𝑅_𝑛=(1+𝑅_𝑅 )∗(1+</a:t>
              </a:r>
              <a:r>
                <a:rPr lang="en-US" sz="1100" b="0" i="0">
                  <a:latin typeface="Cambria Math" panose="02040503050406030204" pitchFamily="18" charset="0"/>
                  <a:ea typeface="Cambria Math" panose="02040503050406030204" pitchFamily="18" charset="0"/>
                </a:rPr>
                <a:t>𝜋)</a:t>
              </a:r>
              <a:endParaRPr lang="en-US" sz="1100"/>
            </a:p>
          </xdr:txBody>
        </xdr:sp>
      </mc:Fallback>
    </mc:AlternateContent>
    <xdr:clientData/>
  </xdr:oneCellAnchor>
  <xdr:twoCellAnchor>
    <xdr:from>
      <xdr:col>5</xdr:col>
      <xdr:colOff>465425</xdr:colOff>
      <xdr:row>219</xdr:row>
      <xdr:rowOff>162358</xdr:rowOff>
    </xdr:from>
    <xdr:to>
      <xdr:col>5</xdr:col>
      <xdr:colOff>469033</xdr:colOff>
      <xdr:row>221</xdr:row>
      <xdr:rowOff>180398</xdr:rowOff>
    </xdr:to>
    <xdr:cxnSp macro="">
      <xdr:nvCxnSpPr>
        <xdr:cNvPr id="74" name="Straight Arrow Connector 73">
          <a:extLst>
            <a:ext uri="{FF2B5EF4-FFF2-40B4-BE49-F238E27FC236}">
              <a16:creationId xmlns:a16="http://schemas.microsoft.com/office/drawing/2014/main" id="{28C47219-8808-64E6-53EC-BA2F524D146B}"/>
            </a:ext>
          </a:extLst>
        </xdr:cNvPr>
        <xdr:cNvCxnSpPr/>
      </xdr:nvCxnSpPr>
      <xdr:spPr>
        <a:xfrm>
          <a:off x="13532275739" y="38536563"/>
          <a:ext cx="3608" cy="42213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609744</xdr:colOff>
      <xdr:row>219</xdr:row>
      <xdr:rowOff>158750</xdr:rowOff>
    </xdr:from>
    <xdr:to>
      <xdr:col>4</xdr:col>
      <xdr:colOff>613351</xdr:colOff>
      <xdr:row>225</xdr:row>
      <xdr:rowOff>7216</xdr:rowOff>
    </xdr:to>
    <xdr:cxnSp macro="">
      <xdr:nvCxnSpPr>
        <xdr:cNvPr id="75" name="Straight Arrow Connector 74">
          <a:extLst>
            <a:ext uri="{FF2B5EF4-FFF2-40B4-BE49-F238E27FC236}">
              <a16:creationId xmlns:a16="http://schemas.microsoft.com/office/drawing/2014/main" id="{1D3605AF-511D-4B25-5155-07757CB706B6}"/>
            </a:ext>
          </a:extLst>
        </xdr:cNvPr>
        <xdr:cNvCxnSpPr/>
      </xdr:nvCxnSpPr>
      <xdr:spPr>
        <a:xfrm>
          <a:off x="13532957643" y="38532955"/>
          <a:ext cx="3607" cy="106073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443779</xdr:colOff>
      <xdr:row>219</xdr:row>
      <xdr:rowOff>115454</xdr:rowOff>
    </xdr:from>
    <xdr:to>
      <xdr:col>4</xdr:col>
      <xdr:colOff>21647</xdr:colOff>
      <xdr:row>221</xdr:row>
      <xdr:rowOff>72159</xdr:rowOff>
    </xdr:to>
    <xdr:cxnSp macro="">
      <xdr:nvCxnSpPr>
        <xdr:cNvPr id="77" name="Straight Arrow Connector 76">
          <a:extLst>
            <a:ext uri="{FF2B5EF4-FFF2-40B4-BE49-F238E27FC236}">
              <a16:creationId xmlns:a16="http://schemas.microsoft.com/office/drawing/2014/main" id="{47A99147-1010-C355-3CAD-C4873D102974}"/>
            </a:ext>
          </a:extLst>
        </xdr:cNvPr>
        <xdr:cNvCxnSpPr/>
      </xdr:nvCxnSpPr>
      <xdr:spPr>
        <a:xfrm>
          <a:off x="13533549347" y="38489659"/>
          <a:ext cx="404090" cy="36079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xdr:col>
      <xdr:colOff>642216</xdr:colOff>
      <xdr:row>227</xdr:row>
      <xdr:rowOff>80383</xdr:rowOff>
    </xdr:from>
    <xdr:ext cx="4712297" cy="173766"/>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C2D42A8C-9136-E274-0E19-7E77E7632D6A}"/>
                </a:ext>
              </a:extLst>
            </xdr:cNvPr>
            <xdr:cNvSpPr txBox="1"/>
          </xdr:nvSpPr>
          <xdr:spPr>
            <a:xfrm>
              <a:off x="13530731225" y="40070951"/>
              <a:ext cx="471229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𝑅</m:t>
                        </m:r>
                      </m:e>
                      <m:sub>
                        <m:r>
                          <a:rPr lang="en-US" sz="1100" b="0" i="1">
                            <a:latin typeface="Cambria Math" panose="02040503050406030204" pitchFamily="18" charset="0"/>
                          </a:rPr>
                          <m:t>𝑛</m:t>
                        </m:r>
                      </m:sub>
                    </m:sSub>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18%</m:t>
                        </m:r>
                      </m:e>
                    </m:d>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ea typeface="Cambria Math" panose="02040503050406030204" pitchFamily="18" charset="0"/>
                          </a:rPr>
                          <m:t>3%</m:t>
                        </m:r>
                      </m:e>
                    </m:d>
                    <m:r>
                      <a:rPr lang="en-US" sz="1100" b="0" i="1">
                        <a:latin typeface="Cambria Math" panose="02040503050406030204" pitchFamily="18" charset="0"/>
                        <a:ea typeface="Cambria Math" panose="02040503050406030204" pitchFamily="18" charset="0"/>
                      </a:rPr>
                      <m:t>→</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𝑅</m:t>
                        </m:r>
                      </m:e>
                      <m:sub>
                        <m:r>
                          <a:rPr lang="en-US" sz="1100" b="0" i="1">
                            <a:latin typeface="Cambria Math" panose="02040503050406030204" pitchFamily="18" charset="0"/>
                            <a:ea typeface="Cambria Math" panose="02040503050406030204" pitchFamily="18" charset="0"/>
                          </a:rPr>
                          <m:t>𝑛</m:t>
                        </m:r>
                      </m:sub>
                    </m:sSub>
                    <m:r>
                      <a:rPr lang="en-US" sz="1100" b="0" i="1">
                        <a:latin typeface="Cambria Math" panose="02040503050406030204" pitchFamily="18" charset="0"/>
                        <a:ea typeface="Cambria Math" panose="02040503050406030204" pitchFamily="18" charset="0"/>
                      </a:rPr>
                      <m:t>=1.18∗1.03−1</m:t>
                    </m:r>
                  </m:oMath>
                </m:oMathPara>
              </a14:m>
              <a:endParaRPr lang="en-US" sz="1100"/>
            </a:p>
          </xdr:txBody>
        </xdr:sp>
      </mc:Choice>
      <mc:Fallback xmlns="">
        <xdr:sp macro="" textlink="">
          <xdr:nvSpPr>
            <xdr:cNvPr id="79" name="TextBox 78">
              <a:extLst>
                <a:ext uri="{FF2B5EF4-FFF2-40B4-BE49-F238E27FC236}">
                  <a16:creationId xmlns:a16="http://schemas.microsoft.com/office/drawing/2014/main" id="{C2D42A8C-9136-E274-0E19-7E77E7632D6A}"/>
                </a:ext>
              </a:extLst>
            </xdr:cNvPr>
            <xdr:cNvSpPr txBox="1"/>
          </xdr:nvSpPr>
          <xdr:spPr>
            <a:xfrm>
              <a:off x="13530731225" y="40070951"/>
              <a:ext cx="471229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𝑅_𝑛=(1+</a:t>
              </a:r>
              <a:r>
                <a:rPr lang="he-IL" sz="1100" b="0" i="0">
                  <a:latin typeface="Cambria Math" panose="02040503050406030204" pitchFamily="18" charset="0"/>
                </a:rPr>
                <a:t>18%</a:t>
              </a:r>
              <a:r>
                <a:rPr lang="en-US" sz="1100" b="0" i="0">
                  <a:latin typeface="Cambria Math" panose="02040503050406030204" pitchFamily="18" charset="0"/>
                </a:rPr>
                <a:t>)∗(1+</a:t>
              </a:r>
              <a:r>
                <a:rPr lang="he-IL" sz="1100" b="0" i="0">
                  <a:latin typeface="Cambria Math" panose="02040503050406030204" pitchFamily="18" charset="0"/>
                  <a:ea typeface="Cambria Math" panose="02040503050406030204" pitchFamily="18" charset="0"/>
                </a:rPr>
                <a:t>3%</a:t>
              </a:r>
              <a:r>
                <a:rPr lang="en-US" sz="1100" b="0" i="0">
                  <a:latin typeface="Cambria Math" panose="02040503050406030204" pitchFamily="18" charset="0"/>
                  <a:ea typeface="Cambria Math" panose="02040503050406030204" pitchFamily="18" charset="0"/>
                </a:rPr>
                <a:t>)→𝑅_𝑛=1.18∗1.03−1</a:t>
              </a:r>
              <a:endParaRPr lang="en-US" sz="1100"/>
            </a:p>
          </xdr:txBody>
        </xdr:sp>
      </mc:Fallback>
    </mc:AlternateContent>
    <xdr:clientData/>
  </xdr:oneCellAnchor>
  <xdr:twoCellAnchor editAs="oneCell">
    <xdr:from>
      <xdr:col>0</xdr:col>
      <xdr:colOff>25257</xdr:colOff>
      <xdr:row>240</xdr:row>
      <xdr:rowOff>14432</xdr:rowOff>
    </xdr:from>
    <xdr:to>
      <xdr:col>7</xdr:col>
      <xdr:colOff>526762</xdr:colOff>
      <xdr:row>248</xdr:row>
      <xdr:rowOff>14171</xdr:rowOff>
    </xdr:to>
    <xdr:pic>
      <xdr:nvPicPr>
        <xdr:cNvPr id="80" name="Picture 79">
          <a:extLst>
            <a:ext uri="{FF2B5EF4-FFF2-40B4-BE49-F238E27FC236}">
              <a16:creationId xmlns:a16="http://schemas.microsoft.com/office/drawing/2014/main" id="{3C02E118-93C6-CA70-2F9E-CEDE5DC789F7}"/>
            </a:ext>
          </a:extLst>
        </xdr:cNvPr>
        <xdr:cNvPicPr>
          <a:picLocks noChangeAspect="1"/>
        </xdr:cNvPicPr>
      </xdr:nvPicPr>
      <xdr:blipFill>
        <a:blip xmlns:r="http://schemas.openxmlformats.org/officeDocument/2006/relationships" r:embed="rId5"/>
        <a:stretch>
          <a:fillRect/>
        </a:stretch>
      </xdr:blipFill>
      <xdr:spPr>
        <a:xfrm>
          <a:off x="13530504232" y="42646023"/>
          <a:ext cx="6382471" cy="1616104"/>
        </a:xfrm>
        <a:prstGeom prst="rect">
          <a:avLst/>
        </a:prstGeom>
      </xdr:spPr>
    </xdr:pic>
    <xdr:clientData/>
  </xdr:twoCellAnchor>
  <xdr:twoCellAnchor>
    <xdr:from>
      <xdr:col>3</xdr:col>
      <xdr:colOff>29650</xdr:colOff>
      <xdr:row>259</xdr:row>
      <xdr:rowOff>98833</xdr:rowOff>
    </xdr:from>
    <xdr:to>
      <xdr:col>3</xdr:col>
      <xdr:colOff>459572</xdr:colOff>
      <xdr:row>259</xdr:row>
      <xdr:rowOff>103774</xdr:rowOff>
    </xdr:to>
    <xdr:cxnSp macro="">
      <xdr:nvCxnSpPr>
        <xdr:cNvPr id="82" name="Straight Connector 81">
          <a:extLst>
            <a:ext uri="{FF2B5EF4-FFF2-40B4-BE49-F238E27FC236}">
              <a16:creationId xmlns:a16="http://schemas.microsoft.com/office/drawing/2014/main" id="{20EF67C3-E3CC-CAF4-F25D-C67C9C994D2A}"/>
            </a:ext>
          </a:extLst>
        </xdr:cNvPr>
        <xdr:cNvCxnSpPr/>
      </xdr:nvCxnSpPr>
      <xdr:spPr>
        <a:xfrm flipH="1" flipV="1">
          <a:off x="13518072724" y="46698444"/>
          <a:ext cx="429922" cy="494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454631</xdr:colOff>
      <xdr:row>259</xdr:row>
      <xdr:rowOff>88950</xdr:rowOff>
    </xdr:from>
    <xdr:to>
      <xdr:col>3</xdr:col>
      <xdr:colOff>459573</xdr:colOff>
      <xdr:row>264</xdr:row>
      <xdr:rowOff>79066</xdr:rowOff>
    </xdr:to>
    <xdr:cxnSp macro="">
      <xdr:nvCxnSpPr>
        <xdr:cNvPr id="83" name="Straight Connector 82">
          <a:extLst>
            <a:ext uri="{FF2B5EF4-FFF2-40B4-BE49-F238E27FC236}">
              <a16:creationId xmlns:a16="http://schemas.microsoft.com/office/drawing/2014/main" id="{F741FC91-E2C5-50DC-5F82-C669E86C00BE}"/>
            </a:ext>
          </a:extLst>
        </xdr:cNvPr>
        <xdr:cNvCxnSpPr/>
      </xdr:nvCxnSpPr>
      <xdr:spPr>
        <a:xfrm flipH="1" flipV="1">
          <a:off x="13518072723" y="46688561"/>
          <a:ext cx="4942" cy="100315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153192</xdr:colOff>
      <xdr:row>265</xdr:row>
      <xdr:rowOff>12254</xdr:rowOff>
    </xdr:from>
    <xdr:ext cx="2358707" cy="177228"/>
    <mc:AlternateContent xmlns:mc="http://schemas.openxmlformats.org/markup-compatibility/2006" xmlns:a14="http://schemas.microsoft.com/office/drawing/2010/main">
      <mc:Choice Requires="a14">
        <xdr:sp macro="" textlink="">
          <xdr:nvSpPr>
            <xdr:cNvPr id="86" name="TextBox 85">
              <a:extLst>
                <a:ext uri="{FF2B5EF4-FFF2-40B4-BE49-F238E27FC236}">
                  <a16:creationId xmlns:a16="http://schemas.microsoft.com/office/drawing/2014/main" id="{725C8EAB-836B-B2E0-1770-C5040D3CFA0A}"/>
                </a:ext>
              </a:extLst>
            </xdr:cNvPr>
            <xdr:cNvSpPr txBox="1"/>
          </xdr:nvSpPr>
          <xdr:spPr>
            <a:xfrm>
              <a:off x="13516885183" y="47827507"/>
              <a:ext cx="2358707"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1+1.5%</m:t>
                            </m:r>
                          </m:e>
                        </m:d>
                      </m:e>
                      <m:sup>
                        <m:r>
                          <a:rPr lang="en-US" sz="1100" b="0" i="1">
                            <a:latin typeface="Cambria Math" panose="02040503050406030204" pitchFamily="18" charset="0"/>
                          </a:rPr>
                          <m:t>12</m:t>
                        </m:r>
                      </m:sup>
                    </m:sSup>
                    <m:r>
                      <a:rPr lang="en-US" sz="1100" b="0" i="1">
                        <a:latin typeface="Cambria Math" panose="02040503050406030204" pitchFamily="18" charset="0"/>
                      </a:rPr>
                      <m:t>−1</m:t>
                    </m:r>
                  </m:oMath>
                </m:oMathPara>
              </a14:m>
              <a:endParaRPr lang="en-US" sz="1100"/>
            </a:p>
          </xdr:txBody>
        </xdr:sp>
      </mc:Choice>
      <mc:Fallback xmlns="">
        <xdr:sp macro="" textlink="">
          <xdr:nvSpPr>
            <xdr:cNvPr id="86" name="TextBox 85">
              <a:extLst>
                <a:ext uri="{FF2B5EF4-FFF2-40B4-BE49-F238E27FC236}">
                  <a16:creationId xmlns:a16="http://schemas.microsoft.com/office/drawing/2014/main" id="{725C8EAB-836B-B2E0-1770-C5040D3CFA0A}"/>
                </a:ext>
              </a:extLst>
            </xdr:cNvPr>
            <xdr:cNvSpPr txBox="1"/>
          </xdr:nvSpPr>
          <xdr:spPr>
            <a:xfrm>
              <a:off x="13516885183" y="47827507"/>
              <a:ext cx="2358707"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(1+1.5%)^12−1</a:t>
              </a:r>
              <a:endParaRPr lang="en-US" sz="1100"/>
            </a:p>
          </xdr:txBody>
        </xdr:sp>
      </mc:Fallback>
    </mc:AlternateContent>
    <xdr:clientData/>
  </xdr:oneCellAnchor>
  <xdr:oneCellAnchor>
    <xdr:from>
      <xdr:col>2</xdr:col>
      <xdr:colOff>168017</xdr:colOff>
      <xdr:row>267</xdr:row>
      <xdr:rowOff>76496</xdr:rowOff>
    </xdr:from>
    <xdr:ext cx="2358707" cy="17722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B0261390-7FA2-0A87-F213-11725B425EA2}"/>
                </a:ext>
              </a:extLst>
            </xdr:cNvPr>
            <xdr:cNvSpPr txBox="1"/>
          </xdr:nvSpPr>
          <xdr:spPr>
            <a:xfrm>
              <a:off x="13516870358" y="48296963"/>
              <a:ext cx="2358707"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r>
                      <a:rPr lang="en-US" sz="1100" b="0" i="1">
                        <a:latin typeface="Cambria Math" panose="02040503050406030204" pitchFamily="18" charset="0"/>
                      </a:rPr>
                      <m:t>−1</m:t>
                    </m:r>
                  </m:oMath>
                </m:oMathPara>
              </a14:m>
              <a:endParaRPr lang="en-US" sz="1100"/>
            </a:p>
          </xdr:txBody>
        </xdr:sp>
      </mc:Choice>
      <mc:Fallback xmlns="">
        <xdr:sp macro="" textlink="">
          <xdr:nvSpPr>
            <xdr:cNvPr id="87" name="TextBox 86">
              <a:extLst>
                <a:ext uri="{FF2B5EF4-FFF2-40B4-BE49-F238E27FC236}">
                  <a16:creationId xmlns:a16="http://schemas.microsoft.com/office/drawing/2014/main" id="{B0261390-7FA2-0A87-F213-11725B425EA2}"/>
                </a:ext>
              </a:extLst>
            </xdr:cNvPr>
            <xdr:cNvSpPr txBox="1"/>
          </xdr:nvSpPr>
          <xdr:spPr>
            <a:xfrm>
              <a:off x="13516870358" y="48296963"/>
              <a:ext cx="2358707"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(1+𝑟)^𝑛−1</a:t>
              </a:r>
              <a:endParaRPr lang="en-US" sz="1100"/>
            </a:p>
          </xdr:txBody>
        </xdr:sp>
      </mc:Fallback>
    </mc:AlternateContent>
    <xdr:clientData/>
  </xdr:oneCellAnchor>
  <xdr:twoCellAnchor editAs="oneCell">
    <xdr:from>
      <xdr:col>0</xdr:col>
      <xdr:colOff>1</xdr:colOff>
      <xdr:row>276</xdr:row>
      <xdr:rowOff>0</xdr:rowOff>
    </xdr:from>
    <xdr:to>
      <xdr:col>7</xdr:col>
      <xdr:colOff>674256</xdr:colOff>
      <xdr:row>285</xdr:row>
      <xdr:rowOff>37354</xdr:rowOff>
    </xdr:to>
    <xdr:pic>
      <xdr:nvPicPr>
        <xdr:cNvPr id="58" name="Picture 57">
          <a:extLst>
            <a:ext uri="{FF2B5EF4-FFF2-40B4-BE49-F238E27FC236}">
              <a16:creationId xmlns:a16="http://schemas.microsoft.com/office/drawing/2014/main" id="{127484F6-9BFB-698C-B0AB-FAECA9B3C1C8}"/>
            </a:ext>
          </a:extLst>
        </xdr:cNvPr>
        <xdr:cNvPicPr>
          <a:picLocks noChangeAspect="1"/>
        </xdr:cNvPicPr>
      </xdr:nvPicPr>
      <xdr:blipFill>
        <a:blip xmlns:r="http://schemas.openxmlformats.org/officeDocument/2006/relationships" r:embed="rId6"/>
        <a:stretch>
          <a:fillRect/>
        </a:stretch>
      </xdr:blipFill>
      <xdr:spPr>
        <a:xfrm>
          <a:off x="13537447235" y="50185782"/>
          <a:ext cx="6562437" cy="1866154"/>
        </a:xfrm>
        <a:prstGeom prst="rect">
          <a:avLst/>
        </a:prstGeom>
      </xdr:spPr>
    </xdr:pic>
    <xdr:clientData/>
  </xdr:twoCellAnchor>
  <xdr:twoCellAnchor editAs="oneCell">
    <xdr:from>
      <xdr:col>0</xdr:col>
      <xdr:colOff>0</xdr:colOff>
      <xdr:row>314</xdr:row>
      <xdr:rowOff>105834</xdr:rowOff>
    </xdr:from>
    <xdr:to>
      <xdr:col>7</xdr:col>
      <xdr:colOff>337853</xdr:colOff>
      <xdr:row>319</xdr:row>
      <xdr:rowOff>80387</xdr:rowOff>
    </xdr:to>
    <xdr:pic>
      <xdr:nvPicPr>
        <xdr:cNvPr id="59" name="Picture 58">
          <a:extLst>
            <a:ext uri="{FF2B5EF4-FFF2-40B4-BE49-F238E27FC236}">
              <a16:creationId xmlns:a16="http://schemas.microsoft.com/office/drawing/2014/main" id="{C1BD3694-5DE3-55BC-7D86-93A68887B6A3}"/>
            </a:ext>
          </a:extLst>
        </xdr:cNvPr>
        <xdr:cNvPicPr>
          <a:picLocks noChangeAspect="1"/>
        </xdr:cNvPicPr>
      </xdr:nvPicPr>
      <xdr:blipFill>
        <a:blip xmlns:r="http://schemas.openxmlformats.org/officeDocument/2006/relationships" r:embed="rId7"/>
        <a:stretch>
          <a:fillRect/>
        </a:stretch>
      </xdr:blipFill>
      <xdr:spPr>
        <a:xfrm>
          <a:off x="13532208205" y="58122853"/>
          <a:ext cx="6219744" cy="992182"/>
        </a:xfrm>
        <a:prstGeom prst="rect">
          <a:avLst/>
        </a:prstGeom>
      </xdr:spPr>
    </xdr:pic>
    <xdr:clientData/>
  </xdr:twoCellAnchor>
  <xdr:twoCellAnchor editAs="oneCell">
    <xdr:from>
      <xdr:col>0</xdr:col>
      <xdr:colOff>12291</xdr:colOff>
      <xdr:row>425</xdr:row>
      <xdr:rowOff>81936</xdr:rowOff>
    </xdr:from>
    <xdr:to>
      <xdr:col>7</xdr:col>
      <xdr:colOff>598130</xdr:colOff>
      <xdr:row>431</xdr:row>
      <xdr:rowOff>147076</xdr:rowOff>
    </xdr:to>
    <xdr:pic>
      <xdr:nvPicPr>
        <xdr:cNvPr id="60" name="Picture 59">
          <a:extLst>
            <a:ext uri="{FF2B5EF4-FFF2-40B4-BE49-F238E27FC236}">
              <a16:creationId xmlns:a16="http://schemas.microsoft.com/office/drawing/2014/main" id="{DB80470C-98B2-9491-42D6-B52D0F38C6D9}"/>
            </a:ext>
          </a:extLst>
        </xdr:cNvPr>
        <xdr:cNvPicPr>
          <a:picLocks noChangeAspect="1"/>
        </xdr:cNvPicPr>
      </xdr:nvPicPr>
      <xdr:blipFill>
        <a:blip xmlns:r="http://schemas.openxmlformats.org/officeDocument/2006/relationships" r:embed="rId8"/>
        <a:stretch>
          <a:fillRect/>
        </a:stretch>
      </xdr:blipFill>
      <xdr:spPr>
        <a:xfrm>
          <a:off x="13552161806" y="72213839"/>
          <a:ext cx="6477000" cy="1294173"/>
        </a:xfrm>
        <a:prstGeom prst="rect">
          <a:avLst/>
        </a:prstGeom>
      </xdr:spPr>
    </xdr:pic>
    <xdr:clientData/>
  </xdr:twoCellAnchor>
  <xdr:twoCellAnchor editAs="oneCell">
    <xdr:from>
      <xdr:col>0</xdr:col>
      <xdr:colOff>3969</xdr:colOff>
      <xdr:row>547</xdr:row>
      <xdr:rowOff>63501</xdr:rowOff>
    </xdr:from>
    <xdr:to>
      <xdr:col>7</xdr:col>
      <xdr:colOff>523875</xdr:colOff>
      <xdr:row>558</xdr:row>
      <xdr:rowOff>54380</xdr:rowOff>
    </xdr:to>
    <xdr:pic>
      <xdr:nvPicPr>
        <xdr:cNvPr id="61" name="Picture 60">
          <a:extLst>
            <a:ext uri="{FF2B5EF4-FFF2-40B4-BE49-F238E27FC236}">
              <a16:creationId xmlns:a16="http://schemas.microsoft.com/office/drawing/2014/main" id="{56D8903B-01C1-C00D-945B-B58D3B75C775}"/>
            </a:ext>
          </a:extLst>
        </xdr:cNvPr>
        <xdr:cNvPicPr>
          <a:picLocks noChangeAspect="1"/>
        </xdr:cNvPicPr>
      </xdr:nvPicPr>
      <xdr:blipFill>
        <a:blip xmlns:r="http://schemas.openxmlformats.org/officeDocument/2006/relationships" r:embed="rId9"/>
        <a:stretch>
          <a:fillRect/>
        </a:stretch>
      </xdr:blipFill>
      <xdr:spPr>
        <a:xfrm>
          <a:off x="13518689625" y="96107251"/>
          <a:ext cx="6401594" cy="2217346"/>
        </a:xfrm>
        <a:prstGeom prst="rect">
          <a:avLst/>
        </a:prstGeom>
      </xdr:spPr>
    </xdr:pic>
    <xdr:clientData/>
  </xdr:twoCellAnchor>
  <xdr:oneCellAnchor>
    <xdr:from>
      <xdr:col>2</xdr:col>
      <xdr:colOff>413373</xdr:colOff>
      <xdr:row>567</xdr:row>
      <xdr:rowOff>23406</xdr:rowOff>
    </xdr:from>
    <xdr:ext cx="512979" cy="173766"/>
    <mc:AlternateContent xmlns:mc="http://schemas.openxmlformats.org/markup-compatibility/2006" xmlns:a14="http://schemas.microsoft.com/office/drawing/2010/main">
      <mc:Choice Requires="a14">
        <xdr:sp macro="" textlink="">
          <xdr:nvSpPr>
            <xdr:cNvPr id="63" name="TextBox 62">
              <a:extLst>
                <a:ext uri="{FF2B5EF4-FFF2-40B4-BE49-F238E27FC236}">
                  <a16:creationId xmlns:a16="http://schemas.microsoft.com/office/drawing/2014/main" id="{43EF01F9-B5FC-914A-AB14-6B75B7F73A06}"/>
                </a:ext>
              </a:extLst>
            </xdr:cNvPr>
            <xdr:cNvSpPr txBox="1"/>
          </xdr:nvSpPr>
          <xdr:spPr>
            <a:xfrm>
              <a:off x="13522517836" y="9536500"/>
              <a:ext cx="51297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i="1">
                        <a:latin typeface="Cambria Math" panose="02040503050406030204" pitchFamily="18" charset="0"/>
                        <a:ea typeface="Cambria Math" panose="02040503050406030204" pitchFamily="18" charset="0"/>
                      </a:rPr>
                      <m:t>∆</m:t>
                    </m:r>
                    <m:r>
                      <a:rPr lang="en-US" sz="1100" b="0" i="1">
                        <a:latin typeface="Cambria Math" panose="02040503050406030204" pitchFamily="18" charset="0"/>
                        <a:ea typeface="Cambria Math" panose="02040503050406030204" pitchFamily="18" charset="0"/>
                      </a:rPr>
                      <m:t>𝐷</m:t>
                    </m:r>
                  </m:oMath>
                </m:oMathPara>
              </a14:m>
              <a:endParaRPr lang="en-US" sz="1100"/>
            </a:p>
          </xdr:txBody>
        </xdr:sp>
      </mc:Choice>
      <mc:Fallback xmlns="">
        <xdr:sp macro="" textlink="">
          <xdr:nvSpPr>
            <xdr:cNvPr id="63" name="TextBox 62">
              <a:extLst>
                <a:ext uri="{FF2B5EF4-FFF2-40B4-BE49-F238E27FC236}">
                  <a16:creationId xmlns:a16="http://schemas.microsoft.com/office/drawing/2014/main" id="{43EF01F9-B5FC-914A-AB14-6B75B7F73A06}"/>
                </a:ext>
              </a:extLst>
            </xdr:cNvPr>
            <xdr:cNvSpPr txBox="1"/>
          </xdr:nvSpPr>
          <xdr:spPr>
            <a:xfrm>
              <a:off x="13522517836" y="9536500"/>
              <a:ext cx="51297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i="0">
                  <a:latin typeface="Cambria Math" panose="02040503050406030204" pitchFamily="18" charset="0"/>
                  <a:ea typeface="Cambria Math" panose="02040503050406030204" pitchFamily="18" charset="0"/>
                </a:rPr>
                <a:t>∆</a:t>
              </a:r>
              <a:r>
                <a:rPr lang="en-US" sz="1100" b="0" i="0">
                  <a:latin typeface="Cambria Math" panose="02040503050406030204" pitchFamily="18" charset="0"/>
                  <a:ea typeface="Cambria Math" panose="02040503050406030204" pitchFamily="18" charset="0"/>
                </a:rPr>
                <a:t>𝐷</a:t>
              </a:r>
              <a:endParaRPr lang="en-US" sz="1100"/>
            </a:p>
          </xdr:txBody>
        </xdr:sp>
      </mc:Fallback>
    </mc:AlternateContent>
    <xdr:clientData/>
  </xdr:oneCellAnchor>
  <xdr:oneCellAnchor>
    <xdr:from>
      <xdr:col>2</xdr:col>
      <xdr:colOff>393451</xdr:colOff>
      <xdr:row>568</xdr:row>
      <xdr:rowOff>18426</xdr:rowOff>
    </xdr:from>
    <xdr:ext cx="512979" cy="173766"/>
    <mc:AlternateContent xmlns:mc="http://schemas.openxmlformats.org/markup-compatibility/2006" xmlns:a14="http://schemas.microsoft.com/office/drawing/2010/main">
      <mc:Choice Requires="a14">
        <xdr:sp macro="" textlink="">
          <xdr:nvSpPr>
            <xdr:cNvPr id="70" name="TextBox 69">
              <a:extLst>
                <a:ext uri="{FF2B5EF4-FFF2-40B4-BE49-F238E27FC236}">
                  <a16:creationId xmlns:a16="http://schemas.microsoft.com/office/drawing/2014/main" id="{00B9A964-59AA-0044-A178-80BD44B1DBEB}"/>
                </a:ext>
              </a:extLst>
            </xdr:cNvPr>
            <xdr:cNvSpPr txBox="1"/>
          </xdr:nvSpPr>
          <xdr:spPr>
            <a:xfrm>
              <a:off x="13522537758" y="9733926"/>
              <a:ext cx="51297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i="1">
                        <a:latin typeface="Cambria Math" panose="02040503050406030204" pitchFamily="18" charset="0"/>
                        <a:ea typeface="Cambria Math" panose="02040503050406030204" pitchFamily="18" charset="0"/>
                      </a:rPr>
                      <m:t>𝑡</m:t>
                    </m:r>
                  </m:oMath>
                </m:oMathPara>
              </a14:m>
              <a:endParaRPr lang="en-US" sz="1100"/>
            </a:p>
          </xdr:txBody>
        </xdr:sp>
      </mc:Choice>
      <mc:Fallback xmlns="">
        <xdr:sp macro="" textlink="">
          <xdr:nvSpPr>
            <xdr:cNvPr id="70" name="TextBox 69">
              <a:extLst>
                <a:ext uri="{FF2B5EF4-FFF2-40B4-BE49-F238E27FC236}">
                  <a16:creationId xmlns:a16="http://schemas.microsoft.com/office/drawing/2014/main" id="{00B9A964-59AA-0044-A178-80BD44B1DBEB}"/>
                </a:ext>
              </a:extLst>
            </xdr:cNvPr>
            <xdr:cNvSpPr txBox="1"/>
          </xdr:nvSpPr>
          <xdr:spPr>
            <a:xfrm>
              <a:off x="13522537758" y="9733926"/>
              <a:ext cx="51297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i="0">
                  <a:latin typeface="Cambria Math" panose="02040503050406030204" pitchFamily="18" charset="0"/>
                  <a:ea typeface="Cambria Math" panose="02040503050406030204" pitchFamily="18" charset="0"/>
                </a:rPr>
                <a:t>𝑡</a:t>
              </a:r>
              <a:endParaRPr lang="en-US" sz="1100"/>
            </a:p>
          </xdr:txBody>
        </xdr:sp>
      </mc:Fallback>
    </mc:AlternateContent>
    <xdr:clientData/>
  </xdr:oneCellAnchor>
  <xdr:oneCellAnchor>
    <xdr:from>
      <xdr:col>2</xdr:col>
      <xdr:colOff>229098</xdr:colOff>
      <xdr:row>569</xdr:row>
      <xdr:rowOff>28388</xdr:rowOff>
    </xdr:from>
    <xdr:ext cx="697254" cy="220632"/>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F1B54F91-E2B0-EA41-A67B-09B475E78E21}"/>
                </a:ext>
              </a:extLst>
            </xdr:cNvPr>
            <xdr:cNvSpPr txBox="1"/>
          </xdr:nvSpPr>
          <xdr:spPr>
            <a:xfrm>
              <a:off x="13522517836" y="9946294"/>
              <a:ext cx="697254" cy="2206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marL="0" marR="0" lvl="0" indent="0" algn="r" defTabSz="914400" rtl="1"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r>
                      <a:rPr lang="en-US" sz="1100" i="1">
                        <a:latin typeface="Cambria Math" panose="02040503050406030204" pitchFamily="18" charset="0"/>
                        <a:ea typeface="Cambria Math" panose="02040503050406030204" pitchFamily="18" charset="0"/>
                      </a:rPr>
                      <m:t>𝑡</m:t>
                    </m:r>
                    <m:r>
                      <a:rPr lang="en-US" sz="1100" b="0" i="1">
                        <a:latin typeface="Cambria Math" panose="02040503050406030204" pitchFamily="18" charset="0"/>
                        <a:ea typeface="Cambria Math" panose="02040503050406030204" pitchFamily="18" charset="0"/>
                      </a:rPr>
                      <m:t>∗</m:t>
                    </m:r>
                    <m:r>
                      <a:rPr lang="en-US" sz="1100" i="1">
                        <a:latin typeface="Cambria Math" panose="02040503050406030204" pitchFamily="18" charset="0"/>
                        <a:ea typeface="Cambria Math" panose="02040503050406030204" pitchFamily="18" charset="0"/>
                      </a:rPr>
                      <m:t>∆</m:t>
                    </m:r>
                    <m:r>
                      <a:rPr lang="en-US" sz="1100" b="0" i="1">
                        <a:latin typeface="Cambria Math" panose="02040503050406030204" pitchFamily="18" charset="0"/>
                        <a:ea typeface="Cambria Math" panose="02040503050406030204" pitchFamily="18" charset="0"/>
                      </a:rPr>
                      <m:t>𝐷</m:t>
                    </m:r>
                  </m:oMath>
                </m:oMathPara>
              </a14:m>
              <a:endParaRPr lang="en-US" sz="1100"/>
            </a:p>
            <a:p>
              <a:pPr algn="r" rtl="1"/>
              <a:endParaRPr lang="en-US" sz="1100"/>
            </a:p>
          </xdr:txBody>
        </xdr:sp>
      </mc:Choice>
      <mc:Fallback xmlns="">
        <xdr:sp macro="" textlink="">
          <xdr:nvSpPr>
            <xdr:cNvPr id="73" name="TextBox 72">
              <a:extLst>
                <a:ext uri="{FF2B5EF4-FFF2-40B4-BE49-F238E27FC236}">
                  <a16:creationId xmlns:a16="http://schemas.microsoft.com/office/drawing/2014/main" id="{F1B54F91-E2B0-EA41-A67B-09B475E78E21}"/>
                </a:ext>
              </a:extLst>
            </xdr:cNvPr>
            <xdr:cNvSpPr txBox="1"/>
          </xdr:nvSpPr>
          <xdr:spPr>
            <a:xfrm>
              <a:off x="13522517836" y="9946294"/>
              <a:ext cx="697254" cy="2206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marL="0" marR="0" lvl="0" indent="0" algn="r" defTabSz="914400" rtl="1" eaLnBrk="1" fontAlgn="auto" latinLnBrk="0" hangingPunct="1">
                <a:lnSpc>
                  <a:spcPct val="100000"/>
                </a:lnSpc>
                <a:spcBef>
                  <a:spcPts val="0"/>
                </a:spcBef>
                <a:spcAft>
                  <a:spcPts val="0"/>
                </a:spcAft>
                <a:buClrTx/>
                <a:buSzTx/>
                <a:buFontTx/>
                <a:buNone/>
                <a:tabLst/>
                <a:defRPr/>
              </a:pPr>
              <a:r>
                <a:rPr lang="en-US" sz="1100" i="0">
                  <a:latin typeface="Cambria Math" panose="02040503050406030204" pitchFamily="18" charset="0"/>
                  <a:ea typeface="Cambria Math" panose="02040503050406030204" pitchFamily="18" charset="0"/>
                </a:rPr>
                <a:t>𝑡</a:t>
              </a:r>
              <a:r>
                <a:rPr lang="en-US" sz="1100" b="0" i="0">
                  <a:latin typeface="Cambria Math" panose="02040503050406030204" pitchFamily="18" charset="0"/>
                  <a:ea typeface="Cambria Math" panose="02040503050406030204" pitchFamily="18" charset="0"/>
                </a:rPr>
                <a:t>∗</a:t>
              </a:r>
              <a:r>
                <a:rPr lang="en-US" sz="1100" i="0">
                  <a:latin typeface="Cambria Math" panose="02040503050406030204" pitchFamily="18" charset="0"/>
                  <a:ea typeface="Cambria Math" panose="02040503050406030204" pitchFamily="18" charset="0"/>
                </a:rPr>
                <a:t>∆</a:t>
              </a:r>
              <a:r>
                <a:rPr lang="en-US" sz="1100" b="0" i="0">
                  <a:latin typeface="Cambria Math" panose="02040503050406030204" pitchFamily="18" charset="0"/>
                  <a:ea typeface="Cambria Math" panose="02040503050406030204" pitchFamily="18" charset="0"/>
                </a:rPr>
                <a:t>𝐷</a:t>
              </a:r>
              <a:endParaRPr lang="en-US" sz="1100"/>
            </a:p>
            <a:p>
              <a:pPr algn="r" rtl="1"/>
              <a:endParaRPr lang="en-US" sz="1100"/>
            </a:p>
          </xdr:txBody>
        </xdr:sp>
      </mc:Fallback>
    </mc:AlternateContent>
    <xdr:clientData/>
  </xdr:oneCellAnchor>
  <xdr:twoCellAnchor>
    <xdr:from>
      <xdr:col>9</xdr:col>
      <xdr:colOff>169012</xdr:colOff>
      <xdr:row>572</xdr:row>
      <xdr:rowOff>173841</xdr:rowOff>
    </xdr:from>
    <xdr:to>
      <xdr:col>10</xdr:col>
      <xdr:colOff>318708</xdr:colOff>
      <xdr:row>576</xdr:row>
      <xdr:rowOff>24145</xdr:rowOff>
    </xdr:to>
    <xdr:sp macro="" textlink="">
      <xdr:nvSpPr>
        <xdr:cNvPr id="76" name="Smiley Face 75">
          <a:extLst>
            <a:ext uri="{FF2B5EF4-FFF2-40B4-BE49-F238E27FC236}">
              <a16:creationId xmlns:a16="http://schemas.microsoft.com/office/drawing/2014/main" id="{6E2C8B0C-75ED-D979-E38A-8FC290C214B6}"/>
            </a:ext>
          </a:extLst>
        </xdr:cNvPr>
        <xdr:cNvSpPr/>
      </xdr:nvSpPr>
      <xdr:spPr>
        <a:xfrm>
          <a:off x="13520371711" y="101517909"/>
          <a:ext cx="975437" cy="661559"/>
        </a:xfrm>
        <a:prstGeom prst="smileyFace">
          <a:avLst>
            <a:gd name="adj" fmla="val -4653"/>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r" rtl="1"/>
          <a:endParaRPr lang="en-US" sz="1100" kern="1200"/>
        </a:p>
      </xdr:txBody>
    </xdr:sp>
    <xdr:clientData/>
  </xdr:twoCellAnchor>
  <xdr:twoCellAnchor>
    <xdr:from>
      <xdr:col>10</xdr:col>
      <xdr:colOff>511864</xdr:colOff>
      <xdr:row>572</xdr:row>
      <xdr:rowOff>111066</xdr:rowOff>
    </xdr:from>
    <xdr:to>
      <xdr:col>12</xdr:col>
      <xdr:colOff>661560</xdr:colOff>
      <xdr:row>574</xdr:row>
      <xdr:rowOff>48290</xdr:rowOff>
    </xdr:to>
    <xdr:sp macro="" textlink="">
      <xdr:nvSpPr>
        <xdr:cNvPr id="78" name="Rounded Rectangular Callout 77">
          <a:extLst>
            <a:ext uri="{FF2B5EF4-FFF2-40B4-BE49-F238E27FC236}">
              <a16:creationId xmlns:a16="http://schemas.microsoft.com/office/drawing/2014/main" id="{8AEC6074-6E6D-82F8-AA80-EC16E754C6E8}"/>
            </a:ext>
          </a:extLst>
        </xdr:cNvPr>
        <xdr:cNvSpPr/>
      </xdr:nvSpPr>
      <xdr:spPr>
        <a:xfrm>
          <a:off x="13518377376" y="101455134"/>
          <a:ext cx="1801179" cy="342852"/>
        </a:xfrm>
        <a:prstGeom prst="wedgeRoundRectCallout">
          <a:avLst>
            <a:gd name="adj1" fmla="val 61205"/>
            <a:gd name="adj2" fmla="val 30708"/>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kern="1200"/>
            <a:t>שי זה מהיר מדי ולא ברור!!!</a:t>
          </a:r>
          <a:endParaRPr lang="en-US" sz="1100" kern="1200"/>
        </a:p>
      </xdr:txBody>
    </xdr:sp>
    <xdr:clientData/>
  </xdr:twoCellAnchor>
  <xdr:twoCellAnchor editAs="oneCell">
    <xdr:from>
      <xdr:col>9</xdr:col>
      <xdr:colOff>0</xdr:colOff>
      <xdr:row>578</xdr:row>
      <xdr:rowOff>0</xdr:rowOff>
    </xdr:from>
    <xdr:to>
      <xdr:col>10</xdr:col>
      <xdr:colOff>431559</xdr:colOff>
      <xdr:row>584</xdr:row>
      <xdr:rowOff>192816</xdr:rowOff>
    </xdr:to>
    <xdr:pic>
      <xdr:nvPicPr>
        <xdr:cNvPr id="81" name="Picture 80">
          <a:extLst>
            <a:ext uri="{FF2B5EF4-FFF2-40B4-BE49-F238E27FC236}">
              <a16:creationId xmlns:a16="http://schemas.microsoft.com/office/drawing/2014/main" id="{6C8FC0ED-7469-2B46-772C-EA4B0256A2D9}"/>
            </a:ext>
          </a:extLst>
        </xdr:cNvPr>
        <xdr:cNvPicPr>
          <a:picLocks noChangeAspect="1"/>
        </xdr:cNvPicPr>
      </xdr:nvPicPr>
      <xdr:blipFill>
        <a:blip xmlns:r="http://schemas.openxmlformats.org/officeDocument/2006/relationships" r:embed="rId10"/>
        <a:stretch>
          <a:fillRect/>
        </a:stretch>
      </xdr:blipFill>
      <xdr:spPr>
        <a:xfrm>
          <a:off x="13520258860" y="102560951"/>
          <a:ext cx="1257300" cy="1409700"/>
        </a:xfrm>
        <a:prstGeom prst="rect">
          <a:avLst/>
        </a:prstGeom>
      </xdr:spPr>
    </xdr:pic>
    <xdr:clientData/>
  </xdr:twoCellAnchor>
  <xdr:twoCellAnchor>
    <xdr:from>
      <xdr:col>10</xdr:col>
      <xdr:colOff>521521</xdr:colOff>
      <xdr:row>579</xdr:row>
      <xdr:rowOff>14488</xdr:rowOff>
    </xdr:from>
    <xdr:to>
      <xdr:col>12</xdr:col>
      <xdr:colOff>671217</xdr:colOff>
      <xdr:row>582</xdr:row>
      <xdr:rowOff>91749</xdr:rowOff>
    </xdr:to>
    <xdr:sp macro="" textlink="">
      <xdr:nvSpPr>
        <xdr:cNvPr id="84" name="Rounded Rectangular Callout 83">
          <a:extLst>
            <a:ext uri="{FF2B5EF4-FFF2-40B4-BE49-F238E27FC236}">
              <a16:creationId xmlns:a16="http://schemas.microsoft.com/office/drawing/2014/main" id="{0C43B92A-F11D-2908-7F05-CD2FB10FC65C}"/>
            </a:ext>
          </a:extLst>
        </xdr:cNvPr>
        <xdr:cNvSpPr/>
      </xdr:nvSpPr>
      <xdr:spPr>
        <a:xfrm>
          <a:off x="13518367719" y="102778252"/>
          <a:ext cx="1801179" cy="685702"/>
        </a:xfrm>
        <a:prstGeom prst="wedgeRoundRectCallout">
          <a:avLst>
            <a:gd name="adj1" fmla="val 61205"/>
            <a:gd name="adj2" fmla="val 30708"/>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kern="1200"/>
            <a:t>צפה</a:t>
          </a:r>
          <a:r>
            <a:rPr lang="he-IL" sz="1100" kern="1200" baseline="0"/>
            <a:t> בשאלה 1 תרגול קודם יא נקניק זה אותו דבר רק בלי השורה של הון חוזר</a:t>
          </a:r>
          <a:endParaRPr lang="en-US" sz="1100" kern="1200"/>
        </a:p>
      </xdr:txBody>
    </xdr:sp>
    <xdr:clientData/>
  </xdr:twoCellAnchor>
  <xdr:twoCellAnchor editAs="oneCell">
    <xdr:from>
      <xdr:col>7</xdr:col>
      <xdr:colOff>669456</xdr:colOff>
      <xdr:row>593</xdr:row>
      <xdr:rowOff>22901</xdr:rowOff>
    </xdr:from>
    <xdr:to>
      <xdr:col>14</xdr:col>
      <xdr:colOff>150901</xdr:colOff>
      <xdr:row>603</xdr:row>
      <xdr:rowOff>192171</xdr:rowOff>
    </xdr:to>
    <xdr:pic>
      <xdr:nvPicPr>
        <xdr:cNvPr id="85" name="Picture 84">
          <a:extLst>
            <a:ext uri="{FF2B5EF4-FFF2-40B4-BE49-F238E27FC236}">
              <a16:creationId xmlns:a16="http://schemas.microsoft.com/office/drawing/2014/main" id="{E77AE1E2-932E-BCB7-87BA-36173DAE236D}"/>
            </a:ext>
          </a:extLst>
        </xdr:cNvPr>
        <xdr:cNvPicPr>
          <a:picLocks noChangeAspect="1"/>
        </xdr:cNvPicPr>
      </xdr:nvPicPr>
      <xdr:blipFill>
        <a:blip xmlns:r="http://schemas.openxmlformats.org/officeDocument/2006/relationships" r:embed="rId11"/>
        <a:stretch>
          <a:fillRect/>
        </a:stretch>
      </xdr:blipFill>
      <xdr:spPr>
        <a:xfrm>
          <a:off x="13537448556" y="105117862"/>
          <a:ext cx="5280127" cy="2187487"/>
        </a:xfrm>
        <a:prstGeom prst="rect">
          <a:avLst/>
        </a:prstGeom>
      </xdr:spPr>
    </xdr:pic>
    <xdr:clientData/>
  </xdr:twoCellAnchor>
  <xdr:twoCellAnchor editAs="oneCell">
    <xdr:from>
      <xdr:col>0</xdr:col>
      <xdr:colOff>29537</xdr:colOff>
      <xdr:row>37</xdr:row>
      <xdr:rowOff>73836</xdr:rowOff>
    </xdr:from>
    <xdr:to>
      <xdr:col>7</xdr:col>
      <xdr:colOff>546395</xdr:colOff>
      <xdr:row>57</xdr:row>
      <xdr:rowOff>155099</xdr:rowOff>
    </xdr:to>
    <xdr:pic>
      <xdr:nvPicPr>
        <xdr:cNvPr id="88" name="Picture 87">
          <a:extLst>
            <a:ext uri="{FF2B5EF4-FFF2-40B4-BE49-F238E27FC236}">
              <a16:creationId xmlns:a16="http://schemas.microsoft.com/office/drawing/2014/main" id="{BA18A115-3719-3060-CF14-ADA470AFF72E}"/>
            </a:ext>
          </a:extLst>
        </xdr:cNvPr>
        <xdr:cNvPicPr>
          <a:picLocks noChangeAspect="1"/>
        </xdr:cNvPicPr>
      </xdr:nvPicPr>
      <xdr:blipFill>
        <a:blip xmlns:r="http://schemas.openxmlformats.org/officeDocument/2006/relationships" r:embed="rId12"/>
        <a:stretch>
          <a:fillRect/>
        </a:stretch>
      </xdr:blipFill>
      <xdr:spPr>
        <a:xfrm>
          <a:off x="13542851744" y="7541239"/>
          <a:ext cx="6404145" cy="4126967"/>
        </a:xfrm>
        <a:prstGeom prst="rect">
          <a:avLst/>
        </a:prstGeom>
      </xdr:spPr>
    </xdr:pic>
    <xdr:clientData/>
  </xdr:twoCellAnchor>
  <xdr:twoCellAnchor>
    <xdr:from>
      <xdr:col>4</xdr:col>
      <xdr:colOff>162442</xdr:colOff>
      <xdr:row>41</xdr:row>
      <xdr:rowOff>19690</xdr:rowOff>
    </xdr:from>
    <xdr:to>
      <xdr:col>5</xdr:col>
      <xdr:colOff>516860</xdr:colOff>
      <xdr:row>42</xdr:row>
      <xdr:rowOff>127984</xdr:rowOff>
    </xdr:to>
    <xdr:sp macro="" textlink="">
      <xdr:nvSpPr>
        <xdr:cNvPr id="89" name="Rounded Rectangle 88">
          <a:extLst>
            <a:ext uri="{FF2B5EF4-FFF2-40B4-BE49-F238E27FC236}">
              <a16:creationId xmlns:a16="http://schemas.microsoft.com/office/drawing/2014/main" id="{2E1ECAE4-8578-EA22-2BFC-68590D73CA9C}"/>
            </a:ext>
          </a:extLst>
        </xdr:cNvPr>
        <xdr:cNvSpPr/>
      </xdr:nvSpPr>
      <xdr:spPr>
        <a:xfrm>
          <a:off x="13544599225" y="8294380"/>
          <a:ext cx="1181395" cy="310116"/>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2</xdr:col>
      <xdr:colOff>630078</xdr:colOff>
      <xdr:row>42</xdr:row>
      <xdr:rowOff>127983</xdr:rowOff>
    </xdr:from>
    <xdr:to>
      <xdr:col>3</xdr:col>
      <xdr:colOff>502092</xdr:colOff>
      <xdr:row>44</xdr:row>
      <xdr:rowOff>24611</xdr:rowOff>
    </xdr:to>
    <xdr:sp macro="" textlink="">
      <xdr:nvSpPr>
        <xdr:cNvPr id="90" name="Rounded Rectangle 89">
          <a:extLst>
            <a:ext uri="{FF2B5EF4-FFF2-40B4-BE49-F238E27FC236}">
              <a16:creationId xmlns:a16="http://schemas.microsoft.com/office/drawing/2014/main" id="{455F7B19-081A-E623-4E83-89F0E237B10E}"/>
            </a:ext>
          </a:extLst>
        </xdr:cNvPr>
        <xdr:cNvSpPr/>
      </xdr:nvSpPr>
      <xdr:spPr>
        <a:xfrm>
          <a:off x="13546267946" y="8604495"/>
          <a:ext cx="733449" cy="300271"/>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10</xdr:col>
      <xdr:colOff>488950</xdr:colOff>
      <xdr:row>63</xdr:row>
      <xdr:rowOff>139700</xdr:rowOff>
    </xdr:from>
    <xdr:to>
      <xdr:col>12</xdr:col>
      <xdr:colOff>565150</xdr:colOff>
      <xdr:row>69</xdr:row>
      <xdr:rowOff>57150</xdr:rowOff>
    </xdr:to>
    <xdr:cxnSp macro="">
      <xdr:nvCxnSpPr>
        <xdr:cNvPr id="92" name="Straight Connector 91">
          <a:extLst>
            <a:ext uri="{FF2B5EF4-FFF2-40B4-BE49-F238E27FC236}">
              <a16:creationId xmlns:a16="http://schemas.microsoft.com/office/drawing/2014/main" id="{61A9FFE6-8ECA-C405-B381-D9A196094593}"/>
            </a:ext>
          </a:extLst>
        </xdr:cNvPr>
        <xdr:cNvCxnSpPr/>
      </xdr:nvCxnSpPr>
      <xdr:spPr>
        <a:xfrm flipH="1">
          <a:off x="13514101750" y="12941300"/>
          <a:ext cx="1739900" cy="113665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6350</xdr:colOff>
      <xdr:row>65</xdr:row>
      <xdr:rowOff>101600</xdr:rowOff>
    </xdr:from>
    <xdr:to>
      <xdr:col>16</xdr:col>
      <xdr:colOff>406400</xdr:colOff>
      <xdr:row>68</xdr:row>
      <xdr:rowOff>190500</xdr:rowOff>
    </xdr:to>
    <xdr:cxnSp macro="">
      <xdr:nvCxnSpPr>
        <xdr:cNvPr id="93" name="Straight Connector 92">
          <a:extLst>
            <a:ext uri="{FF2B5EF4-FFF2-40B4-BE49-F238E27FC236}">
              <a16:creationId xmlns:a16="http://schemas.microsoft.com/office/drawing/2014/main" id="{A841C4AC-2AFB-6610-72D1-90F35ADA23E3}"/>
            </a:ext>
          </a:extLst>
        </xdr:cNvPr>
        <xdr:cNvCxnSpPr/>
      </xdr:nvCxnSpPr>
      <xdr:spPr>
        <a:xfrm>
          <a:off x="13511479200" y="13309600"/>
          <a:ext cx="1530350" cy="69850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152400</xdr:colOff>
      <xdr:row>711</xdr:row>
      <xdr:rowOff>152400</xdr:rowOff>
    </xdr:from>
    <xdr:to>
      <xdr:col>7</xdr:col>
      <xdr:colOff>545219</xdr:colOff>
      <xdr:row>728</xdr:row>
      <xdr:rowOff>91914</xdr:rowOff>
    </xdr:to>
    <xdr:pic>
      <xdr:nvPicPr>
        <xdr:cNvPr id="91" name="Picture 90">
          <a:extLst>
            <a:ext uri="{FF2B5EF4-FFF2-40B4-BE49-F238E27FC236}">
              <a16:creationId xmlns:a16="http://schemas.microsoft.com/office/drawing/2014/main" id="{6F38321C-8789-E34A-ACBF-137051436900}"/>
            </a:ext>
          </a:extLst>
        </xdr:cNvPr>
        <xdr:cNvPicPr>
          <a:picLocks noChangeAspect="1"/>
        </xdr:cNvPicPr>
      </xdr:nvPicPr>
      <xdr:blipFill>
        <a:blip xmlns:r="http://schemas.openxmlformats.org/officeDocument/2006/relationships" r:embed="rId13"/>
        <a:stretch>
          <a:fillRect/>
        </a:stretch>
      </xdr:blipFill>
      <xdr:spPr>
        <a:xfrm>
          <a:off x="13526280283" y="135582066"/>
          <a:ext cx="6275955" cy="3380594"/>
        </a:xfrm>
        <a:prstGeom prst="rect">
          <a:avLst/>
        </a:prstGeom>
      </xdr:spPr>
    </xdr:pic>
    <xdr:clientData/>
  </xdr:twoCellAnchor>
  <xdr:twoCellAnchor>
    <xdr:from>
      <xdr:col>8</xdr:col>
      <xdr:colOff>212530</xdr:colOff>
      <xdr:row>711</xdr:row>
      <xdr:rowOff>129591</xdr:rowOff>
    </xdr:from>
    <xdr:to>
      <xdr:col>11</xdr:col>
      <xdr:colOff>533918</xdr:colOff>
      <xdr:row>720</xdr:row>
      <xdr:rowOff>88122</xdr:rowOff>
    </xdr:to>
    <xdr:sp macro="" textlink="">
      <xdr:nvSpPr>
        <xdr:cNvPr id="94" name="Rounded Rectangular Callout 93">
          <a:extLst>
            <a:ext uri="{FF2B5EF4-FFF2-40B4-BE49-F238E27FC236}">
              <a16:creationId xmlns:a16="http://schemas.microsoft.com/office/drawing/2014/main" id="{5FADF4B1-9EA8-641E-F726-B578B72933CD}"/>
            </a:ext>
          </a:extLst>
        </xdr:cNvPr>
        <xdr:cNvSpPr/>
      </xdr:nvSpPr>
      <xdr:spPr>
        <a:xfrm>
          <a:off x="13493744817" y="135423469"/>
          <a:ext cx="2809551" cy="1778000"/>
        </a:xfrm>
        <a:prstGeom prst="wedgeRoundRectCallout">
          <a:avLst>
            <a:gd name="adj1" fmla="val 66067"/>
            <a:gd name="adj2" fmla="val 10776"/>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ערך גרט: חלק מעלות</a:t>
          </a:r>
          <a:r>
            <a:rPr lang="he-IL" sz="1100" baseline="0"/>
            <a:t> הפריט, שבגינו לא מחשבים פחת (הרכיב מתוך העלות שאין בגינו שחיקה / ירידת ערך; כמו שווי הברזל במכונית, או שווי הקרקע בנדל״ן וכיו״ב). </a:t>
          </a:r>
        </a:p>
        <a:p>
          <a:pPr algn="r" rtl="1"/>
          <a:r>
            <a:rPr lang="he-IL" sz="1100" baseline="0"/>
            <a:t>חשיבות ערך הגרט היא אך ורק לשם חישוב הוצאות הפחת, שהרי אם אין גרט - הוצאות הפחת הן היחס הפשוט בין העלות לתקופת ההפחתה, ואם יש גרט מחסירים מהעלות את הגרט, ורק התוצאה מחולקת באורך החיים</a:t>
          </a:r>
          <a:endParaRPr lang="en-US" sz="1100"/>
        </a:p>
      </xdr:txBody>
    </xdr:sp>
    <xdr:clientData/>
  </xdr:twoCellAnchor>
  <xdr:twoCellAnchor>
    <xdr:from>
      <xdr:col>6</xdr:col>
      <xdr:colOff>744097</xdr:colOff>
      <xdr:row>744</xdr:row>
      <xdr:rowOff>95110</xdr:rowOff>
    </xdr:from>
    <xdr:to>
      <xdr:col>7</xdr:col>
      <xdr:colOff>481146</xdr:colOff>
      <xdr:row>746</xdr:row>
      <xdr:rowOff>145462</xdr:rowOff>
    </xdr:to>
    <xdr:cxnSp macro="">
      <xdr:nvCxnSpPr>
        <xdr:cNvPr id="96" name="Straight Arrow Connector 95">
          <a:extLst>
            <a:ext uri="{FF2B5EF4-FFF2-40B4-BE49-F238E27FC236}">
              <a16:creationId xmlns:a16="http://schemas.microsoft.com/office/drawing/2014/main" id="{1D30D95F-A64A-B0A4-7942-F7D29B899AD6}"/>
            </a:ext>
          </a:extLst>
        </xdr:cNvPr>
        <xdr:cNvCxnSpPr/>
      </xdr:nvCxnSpPr>
      <xdr:spPr>
        <a:xfrm flipH="1">
          <a:off x="13559549427" y="141568634"/>
          <a:ext cx="565066" cy="45317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727312</xdr:colOff>
      <xdr:row>746</xdr:row>
      <xdr:rowOff>128678</xdr:rowOff>
    </xdr:from>
    <xdr:to>
      <xdr:col>7</xdr:col>
      <xdr:colOff>486740</xdr:colOff>
      <xdr:row>748</xdr:row>
      <xdr:rowOff>117488</xdr:rowOff>
    </xdr:to>
    <xdr:cxnSp macro="">
      <xdr:nvCxnSpPr>
        <xdr:cNvPr id="97" name="Straight Arrow Connector 96">
          <a:extLst>
            <a:ext uri="{FF2B5EF4-FFF2-40B4-BE49-F238E27FC236}">
              <a16:creationId xmlns:a16="http://schemas.microsoft.com/office/drawing/2014/main" id="{A8C096FC-9A83-CA46-7852-2F71166E502D}"/>
            </a:ext>
          </a:extLst>
        </xdr:cNvPr>
        <xdr:cNvCxnSpPr/>
      </xdr:nvCxnSpPr>
      <xdr:spPr>
        <a:xfrm flipH="1" flipV="1">
          <a:off x="13559543833" y="142005022"/>
          <a:ext cx="587445" cy="391629"/>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0</xdr:colOff>
      <xdr:row>336</xdr:row>
      <xdr:rowOff>167736</xdr:rowOff>
    </xdr:from>
    <xdr:to>
      <xdr:col>7</xdr:col>
      <xdr:colOff>603157</xdr:colOff>
      <xdr:row>349</xdr:row>
      <xdr:rowOff>169779</xdr:rowOff>
    </xdr:to>
    <xdr:pic>
      <xdr:nvPicPr>
        <xdr:cNvPr id="99" name="Picture 98">
          <a:extLst>
            <a:ext uri="{FF2B5EF4-FFF2-40B4-BE49-F238E27FC236}">
              <a16:creationId xmlns:a16="http://schemas.microsoft.com/office/drawing/2014/main" id="{065CF393-CE68-F5FC-39F9-723DDBA0F2FC}"/>
            </a:ext>
          </a:extLst>
        </xdr:cNvPr>
        <xdr:cNvPicPr>
          <a:picLocks noChangeAspect="1"/>
        </xdr:cNvPicPr>
      </xdr:nvPicPr>
      <xdr:blipFill>
        <a:blip xmlns:r="http://schemas.openxmlformats.org/officeDocument/2006/relationships" r:embed="rId14"/>
        <a:stretch>
          <a:fillRect/>
        </a:stretch>
      </xdr:blipFill>
      <xdr:spPr>
        <a:xfrm>
          <a:off x="13496732065" y="68466763"/>
          <a:ext cx="6477375" cy="2631954"/>
        </a:xfrm>
        <a:prstGeom prst="rect">
          <a:avLst/>
        </a:prstGeom>
      </xdr:spPr>
    </xdr:pic>
    <xdr:clientData/>
  </xdr:twoCellAnchor>
  <xdr:twoCellAnchor editAs="oneCell">
    <xdr:from>
      <xdr:col>1</xdr:col>
      <xdr:colOff>766356</xdr:colOff>
      <xdr:row>346</xdr:row>
      <xdr:rowOff>131120</xdr:rowOff>
    </xdr:from>
    <xdr:to>
      <xdr:col>7</xdr:col>
      <xdr:colOff>560748</xdr:colOff>
      <xdr:row>349</xdr:row>
      <xdr:rowOff>187315</xdr:rowOff>
    </xdr:to>
    <xdr:pic>
      <xdr:nvPicPr>
        <xdr:cNvPr id="100" name="Picture 99">
          <a:extLst>
            <a:ext uri="{FF2B5EF4-FFF2-40B4-BE49-F238E27FC236}">
              <a16:creationId xmlns:a16="http://schemas.microsoft.com/office/drawing/2014/main" id="{2CA22B79-2550-62C0-D20B-AAC8B1DC3B27}"/>
            </a:ext>
          </a:extLst>
        </xdr:cNvPr>
        <xdr:cNvPicPr>
          <a:picLocks noChangeAspect="1"/>
        </xdr:cNvPicPr>
      </xdr:nvPicPr>
      <xdr:blipFill>
        <a:blip xmlns:r="http://schemas.openxmlformats.org/officeDocument/2006/relationships" r:embed="rId15"/>
        <a:stretch>
          <a:fillRect/>
        </a:stretch>
      </xdr:blipFill>
      <xdr:spPr>
        <a:xfrm>
          <a:off x="13496774474" y="70453155"/>
          <a:ext cx="4844421" cy="663098"/>
        </a:xfrm>
        <a:prstGeom prst="rect">
          <a:avLst/>
        </a:prstGeom>
      </xdr:spPr>
    </xdr:pic>
    <xdr:clientData/>
  </xdr:twoCellAnchor>
  <xdr:oneCellAnchor>
    <xdr:from>
      <xdr:col>4</xdr:col>
      <xdr:colOff>419587</xdr:colOff>
      <xdr:row>352</xdr:row>
      <xdr:rowOff>22327</xdr:rowOff>
    </xdr:from>
    <xdr:ext cx="1697060" cy="354008"/>
    <mc:AlternateContent xmlns:mc="http://schemas.openxmlformats.org/markup-compatibility/2006" xmlns:a14="http://schemas.microsoft.com/office/drawing/2010/main">
      <mc:Choice Requires="a14">
        <xdr:sp macro="" textlink="">
          <xdr:nvSpPr>
            <xdr:cNvPr id="101" name="TextBox 100">
              <a:extLst>
                <a:ext uri="{FF2B5EF4-FFF2-40B4-BE49-F238E27FC236}">
                  <a16:creationId xmlns:a16="http://schemas.microsoft.com/office/drawing/2014/main" id="{4D022739-4A66-F019-5E18-7806489C5504}"/>
                </a:ext>
              </a:extLst>
            </xdr:cNvPr>
            <xdr:cNvSpPr txBox="1"/>
          </xdr:nvSpPr>
          <xdr:spPr>
            <a:xfrm>
              <a:off x="13497754828" y="71558168"/>
              <a:ext cx="1697060" cy="3540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1.8=</m:t>
                    </m:r>
                    <m:f>
                      <m:fPr>
                        <m:ctrlPr>
                          <a:rPr lang="en-US" sz="1100" b="0" i="1">
                            <a:latin typeface="Cambria Math" panose="02040503050406030204" pitchFamily="18" charset="0"/>
                          </a:rPr>
                        </m:ctrlPr>
                      </m:fPr>
                      <m:num>
                        <m:r>
                          <a:rPr lang="en-US" sz="1100" b="0" i="1">
                            <a:latin typeface="Cambria Math" panose="02040503050406030204" pitchFamily="18" charset="0"/>
                          </a:rPr>
                          <m:t>𝑃𝑉</m:t>
                        </m:r>
                        <m:r>
                          <a:rPr lang="en-US" sz="1100" b="0" i="1">
                            <a:latin typeface="Cambria Math" panose="02040503050406030204" pitchFamily="18" charset="0"/>
                          </a:rPr>
                          <m:t>(</m:t>
                        </m:r>
                        <m:r>
                          <a:rPr lang="he-IL" sz="1100" b="0" i="1">
                            <a:latin typeface="Cambria Math" panose="02040503050406030204" pitchFamily="18" charset="0"/>
                          </a:rPr>
                          <m:t>תקבולים</m:t>
                        </m:r>
                        <m:r>
                          <a:rPr lang="he-IL" sz="1100" b="0" i="1">
                            <a:latin typeface="Cambria Math" panose="02040503050406030204" pitchFamily="18" charset="0"/>
                          </a:rPr>
                          <m:t>)</m:t>
                        </m:r>
                      </m:num>
                      <m:den>
                        <m:r>
                          <a:rPr lang="en-US" sz="1100" b="0" i="1">
                            <a:latin typeface="Cambria Math" panose="02040503050406030204" pitchFamily="18" charset="0"/>
                          </a:rPr>
                          <m:t>𝐼</m:t>
                        </m:r>
                      </m:den>
                    </m:f>
                  </m:oMath>
                </m:oMathPara>
              </a14:m>
              <a:endParaRPr lang="en-US" sz="1100"/>
            </a:p>
          </xdr:txBody>
        </xdr:sp>
      </mc:Choice>
      <mc:Fallback xmlns="">
        <xdr:sp macro="" textlink="">
          <xdr:nvSpPr>
            <xdr:cNvPr id="101" name="TextBox 100">
              <a:extLst>
                <a:ext uri="{FF2B5EF4-FFF2-40B4-BE49-F238E27FC236}">
                  <a16:creationId xmlns:a16="http://schemas.microsoft.com/office/drawing/2014/main" id="{4D022739-4A66-F019-5E18-7806489C5504}"/>
                </a:ext>
              </a:extLst>
            </xdr:cNvPr>
            <xdr:cNvSpPr txBox="1"/>
          </xdr:nvSpPr>
          <xdr:spPr>
            <a:xfrm>
              <a:off x="13497754828" y="71558168"/>
              <a:ext cx="1697060" cy="3540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1.8=(𝑃𝑉(</a:t>
              </a:r>
              <a:r>
                <a:rPr lang="he-IL" sz="1100" b="0" i="0">
                  <a:latin typeface="Cambria Math" panose="02040503050406030204" pitchFamily="18" charset="0"/>
                </a:rPr>
                <a:t>תקבולים)</a:t>
              </a:r>
              <a:r>
                <a:rPr lang="en-US" sz="1100" b="0" i="0">
                  <a:latin typeface="Cambria Math" panose="02040503050406030204" pitchFamily="18" charset="0"/>
                </a:rPr>
                <a:t>)/𝐼</a:t>
              </a:r>
              <a:endParaRPr lang="en-US" sz="1100"/>
            </a:p>
          </xdr:txBody>
        </xdr:sp>
      </mc:Fallback>
    </mc:AlternateContent>
    <xdr:clientData/>
  </xdr:oneCellAnchor>
  <xdr:oneCellAnchor>
    <xdr:from>
      <xdr:col>2</xdr:col>
      <xdr:colOff>831681</xdr:colOff>
      <xdr:row>354</xdr:row>
      <xdr:rowOff>108493</xdr:rowOff>
    </xdr:from>
    <xdr:ext cx="2982046" cy="355162"/>
    <mc:AlternateContent xmlns:mc="http://schemas.openxmlformats.org/markup-compatibility/2006" xmlns:a14="http://schemas.microsoft.com/office/drawing/2010/main">
      <mc:Choice Requires="a14">
        <xdr:sp macro="" textlink="">
          <xdr:nvSpPr>
            <xdr:cNvPr id="102" name="TextBox 101">
              <a:extLst>
                <a:ext uri="{FF2B5EF4-FFF2-40B4-BE49-F238E27FC236}">
                  <a16:creationId xmlns:a16="http://schemas.microsoft.com/office/drawing/2014/main" id="{B623895C-F237-23E5-D480-4ED265617065}"/>
                </a:ext>
              </a:extLst>
            </xdr:cNvPr>
            <xdr:cNvSpPr txBox="1"/>
          </xdr:nvSpPr>
          <xdr:spPr>
            <a:xfrm>
              <a:off x="13497747335" y="72048935"/>
              <a:ext cx="2982046" cy="3551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1.8=</m:t>
                    </m:r>
                    <m:f>
                      <m:fPr>
                        <m:ctrlPr>
                          <a:rPr lang="en-US" sz="1100" b="0" i="1">
                            <a:latin typeface="Cambria Math" panose="02040503050406030204" pitchFamily="18" charset="0"/>
                          </a:rPr>
                        </m:ctrlPr>
                      </m:fPr>
                      <m:num>
                        <m:r>
                          <a:rPr lang="en-US" sz="1100" b="0" i="1">
                            <a:latin typeface="Cambria Math" panose="02040503050406030204" pitchFamily="18" charset="0"/>
                          </a:rPr>
                          <m:t>𝑃𝑉</m:t>
                        </m:r>
                        <m:r>
                          <a:rPr lang="en-US" sz="1100" b="0" i="1">
                            <a:latin typeface="Cambria Math" panose="02040503050406030204" pitchFamily="18" charset="0"/>
                          </a:rPr>
                          <m:t>(</m:t>
                        </m:r>
                        <m:r>
                          <a:rPr lang="he-IL" sz="1100" b="0" i="1">
                            <a:latin typeface="Cambria Math" panose="02040503050406030204" pitchFamily="18" charset="0"/>
                          </a:rPr>
                          <m:t>תקבולים</m:t>
                        </m:r>
                        <m:r>
                          <a:rPr lang="he-IL" sz="1100" b="0" i="1">
                            <a:latin typeface="Cambria Math" panose="02040503050406030204" pitchFamily="18" charset="0"/>
                          </a:rPr>
                          <m:t>)</m:t>
                        </m:r>
                      </m:num>
                      <m:den>
                        <m:r>
                          <a:rPr lang="en-US" sz="1100" b="0" i="1">
                            <a:latin typeface="Cambria Math" panose="02040503050406030204" pitchFamily="18" charset="0"/>
                          </a:rPr>
                          <m:t>500</m:t>
                        </m:r>
                      </m:den>
                    </m:f>
                    <m:r>
                      <a:rPr lang="en-US" sz="1100" b="0" i="1">
                        <a:latin typeface="Cambria Math" panose="02040503050406030204" pitchFamily="18" charset="0"/>
                      </a:rPr>
                      <m:t>→</m:t>
                    </m:r>
                    <m:r>
                      <m:rPr>
                        <m:sty m:val="p"/>
                      </m:rPr>
                      <a:rPr lang="en-US" sz="1100" b="0" i="0">
                        <a:latin typeface="Cambria Math" panose="02040503050406030204" pitchFamily="18" charset="0"/>
                      </a:rPr>
                      <m:t>PV</m:t>
                    </m:r>
                    <m:r>
                      <a:rPr lang="en-US" sz="1100" b="0" i="0">
                        <a:latin typeface="Cambria Math" panose="02040503050406030204" pitchFamily="18" charset="0"/>
                      </a:rPr>
                      <m:t>=1.8∗500→</m:t>
                    </m:r>
                    <m:r>
                      <m:rPr>
                        <m:sty m:val="p"/>
                      </m:rPr>
                      <a:rPr lang="en-US" sz="1100" b="0" i="0">
                        <a:latin typeface="Cambria Math" panose="02040503050406030204" pitchFamily="18" charset="0"/>
                      </a:rPr>
                      <m:t>PV</m:t>
                    </m:r>
                    <m:r>
                      <a:rPr lang="en-US" sz="1100" b="0" i="0">
                        <a:latin typeface="Cambria Math" panose="02040503050406030204" pitchFamily="18" charset="0"/>
                      </a:rPr>
                      <m:t>=900</m:t>
                    </m:r>
                  </m:oMath>
                </m:oMathPara>
              </a14:m>
              <a:endParaRPr lang="en-US" sz="1100"/>
            </a:p>
          </xdr:txBody>
        </xdr:sp>
      </mc:Choice>
      <mc:Fallback xmlns="">
        <xdr:sp macro="" textlink="">
          <xdr:nvSpPr>
            <xdr:cNvPr id="102" name="TextBox 101">
              <a:extLst>
                <a:ext uri="{FF2B5EF4-FFF2-40B4-BE49-F238E27FC236}">
                  <a16:creationId xmlns:a16="http://schemas.microsoft.com/office/drawing/2014/main" id="{B623895C-F237-23E5-D480-4ED265617065}"/>
                </a:ext>
              </a:extLst>
            </xdr:cNvPr>
            <xdr:cNvSpPr txBox="1"/>
          </xdr:nvSpPr>
          <xdr:spPr>
            <a:xfrm>
              <a:off x="13497747335" y="72048935"/>
              <a:ext cx="2982046" cy="3551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1.8=(𝑃𝑉(</a:t>
              </a:r>
              <a:r>
                <a:rPr lang="he-IL" sz="1100" b="0" i="0">
                  <a:latin typeface="Cambria Math" panose="02040503050406030204" pitchFamily="18" charset="0"/>
                </a:rPr>
                <a:t>תקבולים)</a:t>
              </a:r>
              <a:r>
                <a:rPr lang="en-US" sz="1100" b="0" i="0">
                  <a:latin typeface="Cambria Math" panose="02040503050406030204" pitchFamily="18" charset="0"/>
                </a:rPr>
                <a:t>)/500→PV=1.8∗500→PV=900</a:t>
              </a:r>
              <a:endParaRPr lang="en-US" sz="1100"/>
            </a:p>
          </xdr:txBody>
        </xdr:sp>
      </mc:Fallback>
    </mc:AlternateContent>
    <xdr:clientData/>
  </xdr:oneCellAnchor>
  <xdr:twoCellAnchor editAs="oneCell">
    <xdr:from>
      <xdr:col>6</xdr:col>
      <xdr:colOff>331717</xdr:colOff>
      <xdr:row>653</xdr:row>
      <xdr:rowOff>3373</xdr:rowOff>
    </xdr:from>
    <xdr:to>
      <xdr:col>12</xdr:col>
      <xdr:colOff>299304</xdr:colOff>
      <xdr:row>666</xdr:row>
      <xdr:rowOff>21953</xdr:rowOff>
    </xdr:to>
    <xdr:pic>
      <xdr:nvPicPr>
        <xdr:cNvPr id="103" name="Picture 102">
          <a:extLst>
            <a:ext uri="{FF2B5EF4-FFF2-40B4-BE49-F238E27FC236}">
              <a16:creationId xmlns:a16="http://schemas.microsoft.com/office/drawing/2014/main" id="{040D0BC9-4840-76E4-E99E-C06E57CE5776}"/>
            </a:ext>
          </a:extLst>
        </xdr:cNvPr>
        <xdr:cNvPicPr>
          <a:picLocks noChangeAspect="1"/>
        </xdr:cNvPicPr>
      </xdr:nvPicPr>
      <xdr:blipFill>
        <a:blip xmlns:r="http://schemas.openxmlformats.org/officeDocument/2006/relationships" r:embed="rId16"/>
        <a:stretch>
          <a:fillRect/>
        </a:stretch>
      </xdr:blipFill>
      <xdr:spPr>
        <a:xfrm>
          <a:off x="13498852935" y="133490798"/>
          <a:ext cx="4929117" cy="2667573"/>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1</xdr:col>
      <xdr:colOff>726807</xdr:colOff>
      <xdr:row>162</xdr:row>
      <xdr:rowOff>183614</xdr:rowOff>
    </xdr:from>
    <xdr:to>
      <xdr:col>3</xdr:col>
      <xdr:colOff>524067</xdr:colOff>
      <xdr:row>167</xdr:row>
      <xdr:rowOff>38253</xdr:rowOff>
    </xdr:to>
    <xdr:sp macro="" textlink="">
      <xdr:nvSpPr>
        <xdr:cNvPr id="2" name="Rectangle 1">
          <a:extLst>
            <a:ext uri="{FF2B5EF4-FFF2-40B4-BE49-F238E27FC236}">
              <a16:creationId xmlns:a16="http://schemas.microsoft.com/office/drawing/2014/main" id="{DA61A66F-36AE-AB94-0128-5B38C7B14504}"/>
            </a:ext>
          </a:extLst>
        </xdr:cNvPr>
        <xdr:cNvSpPr/>
      </xdr:nvSpPr>
      <xdr:spPr>
        <a:xfrm>
          <a:off x="13534435903" y="8518945"/>
          <a:ext cx="1434489" cy="868344"/>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עולם שבו היא מחליטה לבצע את הפרויקט</a:t>
          </a:r>
        </a:p>
        <a:p>
          <a:pPr algn="r" rtl="1"/>
          <a:endParaRPr lang="he-IL" sz="1100"/>
        </a:p>
        <a:p>
          <a:pPr algn="r" rtl="1"/>
          <a:r>
            <a:rPr lang="he-IL" sz="1100"/>
            <a:t>משלמת לסוקר</a:t>
          </a:r>
          <a:endParaRPr lang="en-US" sz="1100"/>
        </a:p>
      </xdr:txBody>
    </xdr:sp>
    <xdr:clientData/>
  </xdr:twoCellAnchor>
  <xdr:twoCellAnchor editAs="oneCell">
    <xdr:from>
      <xdr:col>4</xdr:col>
      <xdr:colOff>244819</xdr:colOff>
      <xdr:row>157</xdr:row>
      <xdr:rowOff>16784</xdr:rowOff>
    </xdr:from>
    <xdr:to>
      <xdr:col>5</xdr:col>
      <xdr:colOff>21115</xdr:colOff>
      <xdr:row>159</xdr:row>
      <xdr:rowOff>137864</xdr:rowOff>
    </xdr:to>
    <xdr:pic>
      <xdr:nvPicPr>
        <xdr:cNvPr id="3" name="Picture 2">
          <a:extLst>
            <a:ext uri="{FF2B5EF4-FFF2-40B4-BE49-F238E27FC236}">
              <a16:creationId xmlns:a16="http://schemas.microsoft.com/office/drawing/2014/main" id="{C1679830-E502-394A-FD0F-F9DB65B88754}"/>
            </a:ext>
          </a:extLst>
        </xdr:cNvPr>
        <xdr:cNvPicPr>
          <a:picLocks noChangeAspect="1"/>
        </xdr:cNvPicPr>
      </xdr:nvPicPr>
      <xdr:blipFill>
        <a:blip xmlns:r="http://schemas.openxmlformats.org/officeDocument/2006/relationships" r:embed="rId1"/>
        <a:stretch>
          <a:fillRect/>
        </a:stretch>
      </xdr:blipFill>
      <xdr:spPr>
        <a:xfrm>
          <a:off x="13533374307" y="7338411"/>
          <a:ext cx="602561" cy="526562"/>
        </a:xfrm>
        <a:prstGeom prst="rect">
          <a:avLst/>
        </a:prstGeom>
      </xdr:spPr>
    </xdr:pic>
    <xdr:clientData/>
  </xdr:twoCellAnchor>
  <xdr:twoCellAnchor>
    <xdr:from>
      <xdr:col>3</xdr:col>
      <xdr:colOff>118584</xdr:colOff>
      <xdr:row>158</xdr:row>
      <xdr:rowOff>77325</xdr:rowOff>
    </xdr:from>
    <xdr:to>
      <xdr:col>4</xdr:col>
      <xdr:colOff>244819</xdr:colOff>
      <xdr:row>162</xdr:row>
      <xdr:rowOff>84157</xdr:rowOff>
    </xdr:to>
    <xdr:cxnSp macro="">
      <xdr:nvCxnSpPr>
        <xdr:cNvPr id="5" name="Straight Arrow Connector 4">
          <a:extLst>
            <a:ext uri="{FF2B5EF4-FFF2-40B4-BE49-F238E27FC236}">
              <a16:creationId xmlns:a16="http://schemas.microsoft.com/office/drawing/2014/main" id="{F7D61A78-D000-1E29-60D9-C38F63C90F19}"/>
            </a:ext>
          </a:extLst>
        </xdr:cNvPr>
        <xdr:cNvCxnSpPr>
          <a:stCxn id="3" idx="3"/>
        </xdr:cNvCxnSpPr>
      </xdr:nvCxnSpPr>
      <xdr:spPr>
        <a:xfrm>
          <a:off x="13533976868" y="7601692"/>
          <a:ext cx="864518" cy="81779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21115</xdr:colOff>
      <xdr:row>158</xdr:row>
      <xdr:rowOff>77325</xdr:rowOff>
    </xdr:from>
    <xdr:to>
      <xdr:col>6</xdr:col>
      <xdr:colOff>168313</xdr:colOff>
      <xdr:row>162</xdr:row>
      <xdr:rowOff>183615</xdr:rowOff>
    </xdr:to>
    <xdr:cxnSp macro="">
      <xdr:nvCxnSpPr>
        <xdr:cNvPr id="7" name="Straight Arrow Connector 6">
          <a:extLst>
            <a:ext uri="{FF2B5EF4-FFF2-40B4-BE49-F238E27FC236}">
              <a16:creationId xmlns:a16="http://schemas.microsoft.com/office/drawing/2014/main" id="{F22CEAEE-4C71-B155-03E8-97B5E9EAC6BF}"/>
            </a:ext>
          </a:extLst>
        </xdr:cNvPr>
        <xdr:cNvCxnSpPr>
          <a:stCxn id="3" idx="1"/>
        </xdr:cNvCxnSpPr>
      </xdr:nvCxnSpPr>
      <xdr:spPr>
        <a:xfrm flipH="1">
          <a:off x="13532400844" y="7601692"/>
          <a:ext cx="973463" cy="917254"/>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508764</xdr:colOff>
      <xdr:row>162</xdr:row>
      <xdr:rowOff>202741</xdr:rowOff>
    </xdr:from>
    <xdr:to>
      <xdr:col>7</xdr:col>
      <xdr:colOff>696205</xdr:colOff>
      <xdr:row>167</xdr:row>
      <xdr:rowOff>65030</xdr:rowOff>
    </xdr:to>
    <xdr:sp macro="" textlink="">
      <xdr:nvSpPr>
        <xdr:cNvPr id="10" name="Rectangle 9">
          <a:extLst>
            <a:ext uri="{FF2B5EF4-FFF2-40B4-BE49-F238E27FC236}">
              <a16:creationId xmlns:a16="http://schemas.microsoft.com/office/drawing/2014/main" id="{8C1560C2-26E0-5D6D-B320-5CFD0C31AE6B}"/>
            </a:ext>
          </a:extLst>
        </xdr:cNvPr>
        <xdr:cNvSpPr/>
      </xdr:nvSpPr>
      <xdr:spPr>
        <a:xfrm>
          <a:off x="13531046687" y="8538072"/>
          <a:ext cx="1839971" cy="875994"/>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עולם שבו היא מחליטה לדחות את הפרויקט</a:t>
          </a:r>
        </a:p>
        <a:p>
          <a:pPr algn="r" rtl="1"/>
          <a:endParaRPr lang="he-IL" sz="1100"/>
        </a:p>
        <a:p>
          <a:pPr algn="r" rtl="1"/>
          <a:r>
            <a:rPr lang="he-IL" sz="1100"/>
            <a:t>משלמת לסוקר</a:t>
          </a:r>
          <a:r>
            <a:rPr lang="he-IL" sz="1100" baseline="0"/>
            <a:t> אותו סכום</a:t>
          </a:r>
          <a:endParaRPr lang="he-IL" sz="1100"/>
        </a:p>
        <a:p>
          <a:pPr algn="r" rtl="1"/>
          <a:endParaRPr lang="he-IL" sz="1100"/>
        </a:p>
        <a:p>
          <a:pPr algn="r" rtl="1"/>
          <a:endParaRPr lang="en-US" sz="1100"/>
        </a:p>
      </xdr:txBody>
    </xdr:sp>
    <xdr:clientData/>
  </xdr:twoCellAnchor>
  <xdr:twoCellAnchor>
    <xdr:from>
      <xdr:col>3</xdr:col>
      <xdr:colOff>650301</xdr:colOff>
      <xdr:row>164</xdr:row>
      <xdr:rowOff>195091</xdr:rowOff>
    </xdr:from>
    <xdr:to>
      <xdr:col>5</xdr:col>
      <xdr:colOff>374880</xdr:colOff>
      <xdr:row>165</xdr:row>
      <xdr:rowOff>3826</xdr:rowOff>
    </xdr:to>
    <xdr:cxnSp macro="">
      <xdr:nvCxnSpPr>
        <xdr:cNvPr id="12" name="Straight Arrow Connector 11">
          <a:extLst>
            <a:ext uri="{FF2B5EF4-FFF2-40B4-BE49-F238E27FC236}">
              <a16:creationId xmlns:a16="http://schemas.microsoft.com/office/drawing/2014/main" id="{0F92A8C6-E893-801B-187B-2937145DED15}"/>
            </a:ext>
          </a:extLst>
        </xdr:cNvPr>
        <xdr:cNvCxnSpPr/>
      </xdr:nvCxnSpPr>
      <xdr:spPr>
        <a:xfrm flipV="1">
          <a:off x="13533020542" y="8935904"/>
          <a:ext cx="1289127" cy="11476"/>
        </a:xfrm>
        <a:prstGeom prst="straightConnector1">
          <a:avLst/>
        </a:prstGeom>
        <a:ln>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481988</xdr:colOff>
      <xdr:row>165</xdr:row>
      <xdr:rowOff>53554</xdr:rowOff>
    </xdr:from>
    <xdr:to>
      <xdr:col>4</xdr:col>
      <xdr:colOff>600573</xdr:colOff>
      <xdr:row>168</xdr:row>
      <xdr:rowOff>11476</xdr:rowOff>
    </xdr:to>
    <xdr:sp macro="" textlink="">
      <xdr:nvSpPr>
        <xdr:cNvPr id="13" name="Down Arrow 12">
          <a:extLst>
            <a:ext uri="{FF2B5EF4-FFF2-40B4-BE49-F238E27FC236}">
              <a16:creationId xmlns:a16="http://schemas.microsoft.com/office/drawing/2014/main" id="{2143E7FA-6995-5D05-69A8-F9337AEE17BC}"/>
            </a:ext>
          </a:extLst>
        </xdr:cNvPr>
        <xdr:cNvSpPr/>
      </xdr:nvSpPr>
      <xdr:spPr>
        <a:xfrm>
          <a:off x="13533621114" y="8997108"/>
          <a:ext cx="118585" cy="566145"/>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4</xdr:col>
      <xdr:colOff>183614</xdr:colOff>
      <xdr:row>164</xdr:row>
      <xdr:rowOff>9487</xdr:rowOff>
    </xdr:from>
    <xdr:ext cx="722482"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65563A-5398-BC06-222D-65F876054274}"/>
                </a:ext>
              </a:extLst>
            </xdr:cNvPr>
            <xdr:cNvSpPr txBox="1"/>
          </xdr:nvSpPr>
          <xdr:spPr>
            <a:xfrm>
              <a:off x="13533315591" y="8750300"/>
              <a:ext cx="722482"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i="1">
                        <a:latin typeface="Cambria Math" panose="02040503050406030204" pitchFamily="18" charset="0"/>
                        <a:ea typeface="Cambria Math" panose="02040503050406030204" pitchFamily="18" charset="0"/>
                      </a:rPr>
                      <m:t>∆</m:t>
                    </m:r>
                    <m:r>
                      <a:rPr lang="he-IL" sz="1100" b="0" i="1">
                        <a:latin typeface="Cambria Math" panose="02040503050406030204" pitchFamily="18" charset="0"/>
                        <a:ea typeface="Cambria Math" panose="02040503050406030204" pitchFamily="18" charset="0"/>
                      </a:rPr>
                      <m:t>=0</m:t>
                    </m:r>
                  </m:oMath>
                </m:oMathPara>
              </a14:m>
              <a:endParaRPr lang="en-US" sz="1100"/>
            </a:p>
          </xdr:txBody>
        </xdr:sp>
      </mc:Choice>
      <mc:Fallback xmlns="">
        <xdr:sp macro="" textlink="">
          <xdr:nvSpPr>
            <xdr:cNvPr id="14" name="TextBox 13">
              <a:extLst>
                <a:ext uri="{FF2B5EF4-FFF2-40B4-BE49-F238E27FC236}">
                  <a16:creationId xmlns:a16="http://schemas.microsoft.com/office/drawing/2014/main" id="{9765563A-5398-BC06-222D-65F876054274}"/>
                </a:ext>
              </a:extLst>
            </xdr:cNvPr>
            <xdr:cNvSpPr txBox="1"/>
          </xdr:nvSpPr>
          <xdr:spPr>
            <a:xfrm>
              <a:off x="13533315591" y="8750300"/>
              <a:ext cx="722482"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i="0">
                  <a:latin typeface="Cambria Math" panose="02040503050406030204" pitchFamily="18" charset="0"/>
                  <a:ea typeface="Cambria Math" panose="02040503050406030204" pitchFamily="18" charset="0"/>
                </a:rPr>
                <a:t>∆</a:t>
              </a:r>
              <a:r>
                <a:rPr lang="he-IL" sz="1100" b="0" i="0">
                  <a:latin typeface="Cambria Math" panose="02040503050406030204" pitchFamily="18" charset="0"/>
                  <a:ea typeface="Cambria Math" panose="02040503050406030204" pitchFamily="18" charset="0"/>
                </a:rPr>
                <a:t>=0</a:t>
              </a:r>
              <a:endParaRPr lang="en-US" sz="1100"/>
            </a:p>
          </xdr:txBody>
        </xdr:sp>
      </mc:Fallback>
    </mc:AlternateContent>
    <xdr:clientData/>
  </xdr:oneCellAnchor>
  <xdr:twoCellAnchor editAs="oneCell">
    <xdr:from>
      <xdr:col>0</xdr:col>
      <xdr:colOff>0</xdr:colOff>
      <xdr:row>521</xdr:row>
      <xdr:rowOff>0</xdr:rowOff>
    </xdr:from>
    <xdr:to>
      <xdr:col>9</xdr:col>
      <xdr:colOff>239223</xdr:colOff>
      <xdr:row>528</xdr:row>
      <xdr:rowOff>168310</xdr:rowOff>
    </xdr:to>
    <xdr:pic>
      <xdr:nvPicPr>
        <xdr:cNvPr id="16" name="Picture 15">
          <a:extLst>
            <a:ext uri="{FF2B5EF4-FFF2-40B4-BE49-F238E27FC236}">
              <a16:creationId xmlns:a16="http://schemas.microsoft.com/office/drawing/2014/main" id="{65075DF1-85CD-9964-2C78-C6B47F44A4F1}"/>
            </a:ext>
          </a:extLst>
        </xdr:cNvPr>
        <xdr:cNvPicPr>
          <a:picLocks noChangeAspect="1"/>
        </xdr:cNvPicPr>
      </xdr:nvPicPr>
      <xdr:blipFill>
        <a:blip xmlns:r="http://schemas.openxmlformats.org/officeDocument/2006/relationships" r:embed="rId2"/>
        <a:stretch>
          <a:fillRect/>
        </a:stretch>
      </xdr:blipFill>
      <xdr:spPr>
        <a:xfrm>
          <a:off x="13529866964" y="21918976"/>
          <a:ext cx="7556500" cy="1587500"/>
        </a:xfrm>
        <a:prstGeom prst="rect">
          <a:avLst/>
        </a:prstGeom>
      </xdr:spPr>
    </xdr:pic>
    <xdr:clientData/>
  </xdr:twoCellAnchor>
  <xdr:twoCellAnchor>
    <xdr:from>
      <xdr:col>0</xdr:col>
      <xdr:colOff>390181</xdr:colOff>
      <xdr:row>521</xdr:row>
      <xdr:rowOff>145361</xdr:rowOff>
    </xdr:from>
    <xdr:to>
      <xdr:col>6</xdr:col>
      <xdr:colOff>378705</xdr:colOff>
      <xdr:row>522</xdr:row>
      <xdr:rowOff>145361</xdr:rowOff>
    </xdr:to>
    <xdr:sp macro="" textlink="">
      <xdr:nvSpPr>
        <xdr:cNvPr id="17" name="Rectangle 16">
          <a:extLst>
            <a:ext uri="{FF2B5EF4-FFF2-40B4-BE49-F238E27FC236}">
              <a16:creationId xmlns:a16="http://schemas.microsoft.com/office/drawing/2014/main" id="{5136A31E-04AE-510B-EC4E-4A8E20F975C9}"/>
            </a:ext>
          </a:extLst>
        </xdr:cNvPr>
        <xdr:cNvSpPr/>
      </xdr:nvSpPr>
      <xdr:spPr>
        <a:xfrm>
          <a:off x="13532190452" y="22064337"/>
          <a:ext cx="4842831" cy="2027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0</xdr:col>
      <xdr:colOff>401657</xdr:colOff>
      <xdr:row>589</xdr:row>
      <xdr:rowOff>131233</xdr:rowOff>
    </xdr:from>
    <xdr:to>
      <xdr:col>12</xdr:col>
      <xdr:colOff>148167</xdr:colOff>
      <xdr:row>589</xdr:row>
      <xdr:rowOff>145362</xdr:rowOff>
    </xdr:to>
    <xdr:cxnSp macro="">
      <xdr:nvCxnSpPr>
        <xdr:cNvPr id="19" name="Straight Arrow Connector 18">
          <a:extLst>
            <a:ext uri="{FF2B5EF4-FFF2-40B4-BE49-F238E27FC236}">
              <a16:creationId xmlns:a16="http://schemas.microsoft.com/office/drawing/2014/main" id="{AC37D98E-34A5-DC6D-E32C-F36DA5107086}"/>
            </a:ext>
          </a:extLst>
        </xdr:cNvPr>
        <xdr:cNvCxnSpPr/>
      </xdr:nvCxnSpPr>
      <xdr:spPr>
        <a:xfrm>
          <a:off x="13514937833" y="26775833"/>
          <a:ext cx="9550910" cy="14129"/>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347133</xdr:colOff>
      <xdr:row>589</xdr:row>
      <xdr:rowOff>78316</xdr:rowOff>
    </xdr:from>
    <xdr:to>
      <xdr:col>10</xdr:col>
      <xdr:colOff>421217</xdr:colOff>
      <xdr:row>590</xdr:row>
      <xdr:rowOff>152399</xdr:rowOff>
    </xdr:to>
    <xdr:sp macro="" textlink="">
      <xdr:nvSpPr>
        <xdr:cNvPr id="23" name="Left Brace 22">
          <a:extLst>
            <a:ext uri="{FF2B5EF4-FFF2-40B4-BE49-F238E27FC236}">
              <a16:creationId xmlns:a16="http://schemas.microsoft.com/office/drawing/2014/main" id="{DEEBC684-8669-2F10-A255-C7572CEEDD60}"/>
            </a:ext>
          </a:extLst>
        </xdr:cNvPr>
        <xdr:cNvSpPr/>
      </xdr:nvSpPr>
      <xdr:spPr>
        <a:xfrm rot="16200000">
          <a:off x="13517452433" y="25586266"/>
          <a:ext cx="277283" cy="2550584"/>
        </a:xfrm>
        <a:prstGeom prst="leftBrace">
          <a:avLst>
            <a:gd name="adj1" fmla="val 8333"/>
            <a:gd name="adj2" fmla="val 62614"/>
          </a:avLst>
        </a:prstGeom>
      </xdr:spPr>
      <xdr:style>
        <a:lnRef idx="2">
          <a:schemeClr val="accent2"/>
        </a:lnRef>
        <a:fillRef idx="0">
          <a:schemeClr val="accent2"/>
        </a:fillRef>
        <a:effectRef idx="1">
          <a:schemeClr val="accent2"/>
        </a:effectRef>
        <a:fontRef idx="minor">
          <a:schemeClr val="tx1"/>
        </a:fontRef>
      </xdr:style>
      <xdr:txBody>
        <a:bodyPr vertOverflow="clip" horzOverflow="clip" rtlCol="0" anchor="t"/>
        <a:lstStyle/>
        <a:p>
          <a:pPr algn="r" rtl="1"/>
          <a:endParaRPr lang="en-US" sz="1100"/>
        </a:p>
      </xdr:txBody>
    </xdr:sp>
    <xdr:clientData/>
  </xdr:twoCellAnchor>
  <xdr:twoCellAnchor>
    <xdr:from>
      <xdr:col>1</xdr:col>
      <xdr:colOff>249764</xdr:colOff>
      <xdr:row>589</xdr:row>
      <xdr:rowOff>78316</xdr:rowOff>
    </xdr:from>
    <xdr:to>
      <xdr:col>6</xdr:col>
      <xdr:colOff>455082</xdr:colOff>
      <xdr:row>590</xdr:row>
      <xdr:rowOff>152399</xdr:rowOff>
    </xdr:to>
    <xdr:sp macro="" textlink="">
      <xdr:nvSpPr>
        <xdr:cNvPr id="24" name="Left Brace 23">
          <a:extLst>
            <a:ext uri="{FF2B5EF4-FFF2-40B4-BE49-F238E27FC236}">
              <a16:creationId xmlns:a16="http://schemas.microsoft.com/office/drawing/2014/main" id="{4CC1ECDF-66BF-73F8-27C6-7EFFD5B2C43E}"/>
            </a:ext>
          </a:extLst>
        </xdr:cNvPr>
        <xdr:cNvSpPr/>
      </xdr:nvSpPr>
      <xdr:spPr>
        <a:xfrm rot="16200000">
          <a:off x="13521560885" y="24949149"/>
          <a:ext cx="277283" cy="4231218"/>
        </a:xfrm>
        <a:prstGeom prst="leftBrace">
          <a:avLst>
            <a:gd name="adj1" fmla="val 8333"/>
            <a:gd name="adj2" fmla="val 58712"/>
          </a:avLst>
        </a:prstGeom>
      </xdr:spPr>
      <xdr:style>
        <a:lnRef idx="2">
          <a:schemeClr val="accent2"/>
        </a:lnRef>
        <a:fillRef idx="0">
          <a:schemeClr val="accent2"/>
        </a:fillRef>
        <a:effectRef idx="1">
          <a:schemeClr val="accent2"/>
        </a:effectRef>
        <a:fontRef idx="minor">
          <a:schemeClr val="tx1"/>
        </a:fontRef>
      </xdr:style>
      <xdr:txBody>
        <a:bodyPr vertOverflow="clip" horzOverflow="clip" rtlCol="0" anchor="t"/>
        <a:lstStyle/>
        <a:p>
          <a:pPr algn="r" rtl="1"/>
          <a:endParaRPr lang="en-US" sz="1100"/>
        </a:p>
      </xdr:txBody>
    </xdr:sp>
    <xdr:clientData/>
  </xdr:twoCellAnchor>
  <xdr:twoCellAnchor>
    <xdr:from>
      <xdr:col>7</xdr:col>
      <xdr:colOff>351365</xdr:colOff>
      <xdr:row>586</xdr:row>
      <xdr:rowOff>184152</xdr:rowOff>
    </xdr:from>
    <xdr:to>
      <xdr:col>10</xdr:col>
      <xdr:colOff>425449</xdr:colOff>
      <xdr:row>588</xdr:row>
      <xdr:rowOff>55035</xdr:rowOff>
    </xdr:to>
    <xdr:sp macro="" textlink="">
      <xdr:nvSpPr>
        <xdr:cNvPr id="25" name="Left Brace 24">
          <a:extLst>
            <a:ext uri="{FF2B5EF4-FFF2-40B4-BE49-F238E27FC236}">
              <a16:creationId xmlns:a16="http://schemas.microsoft.com/office/drawing/2014/main" id="{5ED6B005-7898-4107-69A4-294C2B99D65C}"/>
            </a:ext>
          </a:extLst>
        </xdr:cNvPr>
        <xdr:cNvSpPr/>
      </xdr:nvSpPr>
      <xdr:spPr>
        <a:xfrm rot="5400000">
          <a:off x="13517448201" y="25082502"/>
          <a:ext cx="277283" cy="2550584"/>
        </a:xfrm>
        <a:prstGeom prst="leftBrace">
          <a:avLst>
            <a:gd name="adj1" fmla="val 8333"/>
            <a:gd name="adj2" fmla="val 62614"/>
          </a:avLst>
        </a:prstGeom>
      </xdr:spPr>
      <xdr:style>
        <a:lnRef idx="2">
          <a:schemeClr val="accent2"/>
        </a:lnRef>
        <a:fillRef idx="0">
          <a:schemeClr val="accent2"/>
        </a:fillRef>
        <a:effectRef idx="1">
          <a:schemeClr val="accent2"/>
        </a:effectRef>
        <a:fontRef idx="minor">
          <a:schemeClr val="tx1"/>
        </a:fontRef>
      </xdr:style>
      <xdr:txBody>
        <a:bodyPr vertOverflow="clip" horzOverflow="clip" rtlCol="0" anchor="t"/>
        <a:lstStyle/>
        <a:p>
          <a:pPr algn="r" rtl="1"/>
          <a:endParaRPr lang="en-US" sz="1100"/>
        </a:p>
      </xdr:txBody>
    </xdr:sp>
    <xdr:clientData/>
  </xdr:twoCellAnchor>
  <xdr:twoCellAnchor>
    <xdr:from>
      <xdr:col>1</xdr:col>
      <xdr:colOff>270933</xdr:colOff>
      <xdr:row>586</xdr:row>
      <xdr:rowOff>171454</xdr:rowOff>
    </xdr:from>
    <xdr:to>
      <xdr:col>6</xdr:col>
      <xdr:colOff>446615</xdr:colOff>
      <xdr:row>588</xdr:row>
      <xdr:rowOff>25403</xdr:rowOff>
    </xdr:to>
    <xdr:sp macro="" textlink="">
      <xdr:nvSpPr>
        <xdr:cNvPr id="26" name="Left Brace 25">
          <a:extLst>
            <a:ext uri="{FF2B5EF4-FFF2-40B4-BE49-F238E27FC236}">
              <a16:creationId xmlns:a16="http://schemas.microsoft.com/office/drawing/2014/main" id="{6A4F5B68-00C5-82E1-C8D9-72184948112F}"/>
            </a:ext>
          </a:extLst>
        </xdr:cNvPr>
        <xdr:cNvSpPr/>
      </xdr:nvSpPr>
      <xdr:spPr>
        <a:xfrm rot="5400000">
          <a:off x="13521563001" y="24235838"/>
          <a:ext cx="260349" cy="4201582"/>
        </a:xfrm>
        <a:prstGeom prst="leftBrace">
          <a:avLst>
            <a:gd name="adj1" fmla="val 8333"/>
            <a:gd name="adj2" fmla="val 62614"/>
          </a:avLst>
        </a:prstGeom>
      </xdr:spPr>
      <xdr:style>
        <a:lnRef idx="2">
          <a:schemeClr val="accent2"/>
        </a:lnRef>
        <a:fillRef idx="0">
          <a:schemeClr val="accent2"/>
        </a:fillRef>
        <a:effectRef idx="1">
          <a:schemeClr val="accent2"/>
        </a:effectRef>
        <a:fontRef idx="minor">
          <a:schemeClr val="tx1"/>
        </a:fontRef>
      </xdr:style>
      <xdr:txBody>
        <a:bodyPr vertOverflow="clip" horzOverflow="clip" rtlCol="0" anchor="t"/>
        <a:lstStyle/>
        <a:p>
          <a:pPr algn="r" rtl="1"/>
          <a:endParaRPr lang="en-US" sz="1100"/>
        </a:p>
      </xdr:txBody>
    </xdr:sp>
    <xdr:clientData/>
  </xdr:twoCellAnchor>
  <xdr:twoCellAnchor>
    <xdr:from>
      <xdr:col>6</xdr:col>
      <xdr:colOff>444500</xdr:colOff>
      <xdr:row>585</xdr:row>
      <xdr:rowOff>71967</xdr:rowOff>
    </xdr:from>
    <xdr:to>
      <xdr:col>6</xdr:col>
      <xdr:colOff>446615</xdr:colOff>
      <xdr:row>588</xdr:row>
      <xdr:rowOff>25404</xdr:rowOff>
    </xdr:to>
    <xdr:cxnSp macro="">
      <xdr:nvCxnSpPr>
        <xdr:cNvPr id="28" name="Straight Connector 27">
          <a:extLst>
            <a:ext uri="{FF2B5EF4-FFF2-40B4-BE49-F238E27FC236}">
              <a16:creationId xmlns:a16="http://schemas.microsoft.com/office/drawing/2014/main" id="{A8387E2D-0560-32DF-2627-390DE84F91F8}"/>
            </a:ext>
          </a:extLst>
        </xdr:cNvPr>
        <xdr:cNvCxnSpPr>
          <a:stCxn id="26" idx="2"/>
        </xdr:cNvCxnSpPr>
      </xdr:nvCxnSpPr>
      <xdr:spPr>
        <a:xfrm flipV="1">
          <a:off x="13519592385" y="26106967"/>
          <a:ext cx="2115" cy="563037"/>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442381</xdr:colOff>
      <xdr:row>585</xdr:row>
      <xdr:rowOff>71967</xdr:rowOff>
    </xdr:from>
    <xdr:to>
      <xdr:col>7</xdr:col>
      <xdr:colOff>444500</xdr:colOff>
      <xdr:row>585</xdr:row>
      <xdr:rowOff>80437</xdr:rowOff>
    </xdr:to>
    <xdr:cxnSp macro="">
      <xdr:nvCxnSpPr>
        <xdr:cNvPr id="29" name="Straight Connector 28">
          <a:extLst>
            <a:ext uri="{FF2B5EF4-FFF2-40B4-BE49-F238E27FC236}">
              <a16:creationId xmlns:a16="http://schemas.microsoft.com/office/drawing/2014/main" id="{A0E11413-7E91-ACE6-F51F-ADCFAEE6747F}"/>
            </a:ext>
          </a:extLst>
        </xdr:cNvPr>
        <xdr:cNvCxnSpPr/>
      </xdr:nvCxnSpPr>
      <xdr:spPr>
        <a:xfrm flipH="1" flipV="1">
          <a:off x="13518769000" y="26106967"/>
          <a:ext cx="827619" cy="847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429449</xdr:colOff>
      <xdr:row>585</xdr:row>
      <xdr:rowOff>67733</xdr:rowOff>
    </xdr:from>
    <xdr:to>
      <xdr:col>8</xdr:col>
      <xdr:colOff>357482</xdr:colOff>
      <xdr:row>588</xdr:row>
      <xdr:rowOff>42333</xdr:rowOff>
    </xdr:to>
    <xdr:cxnSp macro="">
      <xdr:nvCxnSpPr>
        <xdr:cNvPr id="31" name="Straight Connector 30">
          <a:extLst>
            <a:ext uri="{FF2B5EF4-FFF2-40B4-BE49-F238E27FC236}">
              <a16:creationId xmlns:a16="http://schemas.microsoft.com/office/drawing/2014/main" id="{A1A39BE0-2469-AE3E-C997-639704E0FA9A}"/>
            </a:ext>
          </a:extLst>
        </xdr:cNvPr>
        <xdr:cNvCxnSpPr/>
      </xdr:nvCxnSpPr>
      <xdr:spPr>
        <a:xfrm flipH="1">
          <a:off x="13556544444" y="116780733"/>
          <a:ext cx="755885" cy="581378"/>
        </a:xfrm>
        <a:prstGeom prst="line">
          <a:avLst/>
        </a:prstGeom>
        <a:ln>
          <a:headEnd type="none" w="med" len="med"/>
          <a:tailEnd type="arrow" w="med"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822960</xdr:colOff>
      <xdr:row>610</xdr:row>
      <xdr:rowOff>164677</xdr:rowOff>
    </xdr:from>
    <xdr:to>
      <xdr:col>7</xdr:col>
      <xdr:colOff>13120</xdr:colOff>
      <xdr:row>612</xdr:row>
      <xdr:rowOff>121922</xdr:rowOff>
    </xdr:to>
    <xdr:sp macro="" textlink="">
      <xdr:nvSpPr>
        <xdr:cNvPr id="33" name="Left Brace 32">
          <a:extLst>
            <a:ext uri="{FF2B5EF4-FFF2-40B4-BE49-F238E27FC236}">
              <a16:creationId xmlns:a16="http://schemas.microsoft.com/office/drawing/2014/main" id="{3A95056E-0A5C-4959-46B4-2C6421E8C151}"/>
            </a:ext>
          </a:extLst>
        </xdr:cNvPr>
        <xdr:cNvSpPr/>
      </xdr:nvSpPr>
      <xdr:spPr>
        <a:xfrm rot="5400000">
          <a:off x="13561453277" y="30629440"/>
          <a:ext cx="363645" cy="1674280"/>
        </a:xfrm>
        <a:prstGeom prst="leftBrace">
          <a:avLst>
            <a:gd name="adj1" fmla="val 8333"/>
            <a:gd name="adj2" fmla="val 58712"/>
          </a:avLst>
        </a:prstGeom>
      </xdr:spPr>
      <xdr:style>
        <a:lnRef idx="2">
          <a:schemeClr val="accent2"/>
        </a:lnRef>
        <a:fillRef idx="0">
          <a:schemeClr val="accent2"/>
        </a:fillRef>
        <a:effectRef idx="1">
          <a:schemeClr val="accent2"/>
        </a:effectRef>
        <a:fontRef idx="minor">
          <a:schemeClr val="tx1"/>
        </a:fontRef>
      </xdr:style>
      <xdr:txBody>
        <a:bodyPr vertOverflow="clip" horzOverflow="clip" rtlCol="0" anchor="t"/>
        <a:lstStyle/>
        <a:p>
          <a:pPr algn="r" rtl="1"/>
          <a:endParaRPr lang="en-US" sz="1100"/>
        </a:p>
      </xdr:txBody>
    </xdr:sp>
    <xdr:clientData/>
  </xdr:twoCellAnchor>
  <xdr:twoCellAnchor>
    <xdr:from>
      <xdr:col>6</xdr:col>
      <xdr:colOff>294640</xdr:colOff>
      <xdr:row>620</xdr:row>
      <xdr:rowOff>60960</xdr:rowOff>
    </xdr:from>
    <xdr:to>
      <xdr:col>6</xdr:col>
      <xdr:colOff>447040</xdr:colOff>
      <xdr:row>621</xdr:row>
      <xdr:rowOff>111760</xdr:rowOff>
    </xdr:to>
    <xdr:sp macro="" textlink="">
      <xdr:nvSpPr>
        <xdr:cNvPr id="34" name="Down Arrow 33">
          <a:extLst>
            <a:ext uri="{FF2B5EF4-FFF2-40B4-BE49-F238E27FC236}">
              <a16:creationId xmlns:a16="http://schemas.microsoft.com/office/drawing/2014/main" id="{203C2260-18FE-855B-D9E5-5E428088BAB8}"/>
            </a:ext>
          </a:extLst>
        </xdr:cNvPr>
        <xdr:cNvSpPr/>
      </xdr:nvSpPr>
      <xdr:spPr>
        <a:xfrm>
          <a:off x="13561192080" y="33213040"/>
          <a:ext cx="152400" cy="2540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5</xdr:col>
      <xdr:colOff>695960</xdr:colOff>
      <xdr:row>617</xdr:row>
      <xdr:rowOff>162560</xdr:rowOff>
    </xdr:from>
    <xdr:to>
      <xdr:col>6</xdr:col>
      <xdr:colOff>137160</xdr:colOff>
      <xdr:row>619</xdr:row>
      <xdr:rowOff>76200</xdr:rowOff>
    </xdr:to>
    <xdr:cxnSp macro="">
      <xdr:nvCxnSpPr>
        <xdr:cNvPr id="36" name="Straight Arrow Connector 35">
          <a:extLst>
            <a:ext uri="{FF2B5EF4-FFF2-40B4-BE49-F238E27FC236}">
              <a16:creationId xmlns:a16="http://schemas.microsoft.com/office/drawing/2014/main" id="{4D3F9AD1-5407-282B-4ADF-871647C2EA10}"/>
            </a:ext>
          </a:extLst>
        </xdr:cNvPr>
        <xdr:cNvCxnSpPr/>
      </xdr:nvCxnSpPr>
      <xdr:spPr>
        <a:xfrm>
          <a:off x="13561501960" y="32720280"/>
          <a:ext cx="269240" cy="32004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304800</xdr:colOff>
      <xdr:row>620</xdr:row>
      <xdr:rowOff>91440</xdr:rowOff>
    </xdr:from>
    <xdr:to>
      <xdr:col>5</xdr:col>
      <xdr:colOff>457200</xdr:colOff>
      <xdr:row>621</xdr:row>
      <xdr:rowOff>142240</xdr:rowOff>
    </xdr:to>
    <xdr:sp macro="" textlink="">
      <xdr:nvSpPr>
        <xdr:cNvPr id="37" name="Down Arrow 36">
          <a:extLst>
            <a:ext uri="{FF2B5EF4-FFF2-40B4-BE49-F238E27FC236}">
              <a16:creationId xmlns:a16="http://schemas.microsoft.com/office/drawing/2014/main" id="{6FB9EC3C-1E13-723B-3BC2-462ADC4E2647}"/>
            </a:ext>
          </a:extLst>
        </xdr:cNvPr>
        <xdr:cNvSpPr/>
      </xdr:nvSpPr>
      <xdr:spPr>
        <a:xfrm>
          <a:off x="13562009960" y="33258760"/>
          <a:ext cx="152400" cy="2540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2</xdr:col>
      <xdr:colOff>147320</xdr:colOff>
      <xdr:row>611</xdr:row>
      <xdr:rowOff>78319</xdr:rowOff>
    </xdr:from>
    <xdr:to>
      <xdr:col>4</xdr:col>
      <xdr:colOff>23280</xdr:colOff>
      <xdr:row>613</xdr:row>
      <xdr:rowOff>96523</xdr:rowOff>
    </xdr:to>
    <xdr:sp macro="" textlink="">
      <xdr:nvSpPr>
        <xdr:cNvPr id="38" name="Left Brace 37">
          <a:extLst>
            <a:ext uri="{FF2B5EF4-FFF2-40B4-BE49-F238E27FC236}">
              <a16:creationId xmlns:a16="http://schemas.microsoft.com/office/drawing/2014/main" id="{C3E901AD-32EB-5233-EF79-07586325F172}"/>
            </a:ext>
          </a:extLst>
        </xdr:cNvPr>
        <xdr:cNvSpPr/>
      </xdr:nvSpPr>
      <xdr:spPr>
        <a:xfrm rot="5400000">
          <a:off x="13563764678" y="30908841"/>
          <a:ext cx="439844" cy="1425360"/>
        </a:xfrm>
        <a:prstGeom prst="leftBrace">
          <a:avLst>
            <a:gd name="adj1" fmla="val 8333"/>
            <a:gd name="adj2" fmla="val 58712"/>
          </a:avLst>
        </a:prstGeom>
      </xdr:spPr>
      <xdr:style>
        <a:lnRef idx="2">
          <a:schemeClr val="accent2"/>
        </a:lnRef>
        <a:fillRef idx="0">
          <a:schemeClr val="accent2"/>
        </a:fillRef>
        <a:effectRef idx="1">
          <a:schemeClr val="accent2"/>
        </a:effectRef>
        <a:fontRef idx="minor">
          <a:schemeClr val="tx1"/>
        </a:fontRef>
      </xdr:style>
      <xdr:txBody>
        <a:bodyPr vertOverflow="clip" horzOverflow="clip" rtlCol="0" anchor="t"/>
        <a:lstStyle/>
        <a:p>
          <a:pPr algn="r" rtl="1"/>
          <a:endParaRPr lang="en-US" sz="1100"/>
        </a:p>
      </xdr:txBody>
    </xdr:sp>
    <xdr:clientData/>
  </xdr:twoCellAnchor>
  <xdr:twoCellAnchor>
    <xdr:from>
      <xdr:col>1</xdr:col>
      <xdr:colOff>695960</xdr:colOff>
      <xdr:row>618</xdr:row>
      <xdr:rowOff>45720</xdr:rowOff>
    </xdr:from>
    <xdr:to>
      <xdr:col>2</xdr:col>
      <xdr:colOff>121920</xdr:colOff>
      <xdr:row>618</xdr:row>
      <xdr:rowOff>198120</xdr:rowOff>
    </xdr:to>
    <xdr:sp macro="" textlink="">
      <xdr:nvSpPr>
        <xdr:cNvPr id="39" name="Down Arrow 38">
          <a:extLst>
            <a:ext uri="{FF2B5EF4-FFF2-40B4-BE49-F238E27FC236}">
              <a16:creationId xmlns:a16="http://schemas.microsoft.com/office/drawing/2014/main" id="{7B498E81-798B-4F28-CDF4-C2A454C8ED9E}"/>
            </a:ext>
          </a:extLst>
        </xdr:cNvPr>
        <xdr:cNvSpPr/>
      </xdr:nvSpPr>
      <xdr:spPr>
        <a:xfrm rot="16200000">
          <a:off x="13564773480" y="32755840"/>
          <a:ext cx="152400" cy="2540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12</xdr:col>
      <xdr:colOff>147320</xdr:colOff>
      <xdr:row>651</xdr:row>
      <xdr:rowOff>147320</xdr:rowOff>
    </xdr:from>
    <xdr:to>
      <xdr:col>12</xdr:col>
      <xdr:colOff>157480</xdr:colOff>
      <xdr:row>654</xdr:row>
      <xdr:rowOff>147320</xdr:rowOff>
    </xdr:to>
    <xdr:cxnSp macro="">
      <xdr:nvCxnSpPr>
        <xdr:cNvPr id="41" name="Straight Arrow Connector 40">
          <a:extLst>
            <a:ext uri="{FF2B5EF4-FFF2-40B4-BE49-F238E27FC236}">
              <a16:creationId xmlns:a16="http://schemas.microsoft.com/office/drawing/2014/main" id="{A2C2E449-3CC5-B4AD-1A5C-CD7168FA6F9A}"/>
            </a:ext>
          </a:extLst>
        </xdr:cNvPr>
        <xdr:cNvCxnSpPr/>
      </xdr:nvCxnSpPr>
      <xdr:spPr>
        <a:xfrm flipH="1">
          <a:off x="13556513400" y="39659560"/>
          <a:ext cx="10160" cy="62484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0</xdr:colOff>
      <xdr:row>252</xdr:row>
      <xdr:rowOff>76200</xdr:rowOff>
    </xdr:from>
    <xdr:to>
      <xdr:col>7</xdr:col>
      <xdr:colOff>737186</xdr:colOff>
      <xdr:row>262</xdr:row>
      <xdr:rowOff>149927</xdr:rowOff>
    </xdr:to>
    <xdr:pic>
      <xdr:nvPicPr>
        <xdr:cNvPr id="4" name="Picture 3">
          <a:extLst>
            <a:ext uri="{FF2B5EF4-FFF2-40B4-BE49-F238E27FC236}">
              <a16:creationId xmlns:a16="http://schemas.microsoft.com/office/drawing/2014/main" id="{E268DE2D-5B79-D481-57B2-9E4ED47DE705}"/>
            </a:ext>
          </a:extLst>
        </xdr:cNvPr>
        <xdr:cNvPicPr>
          <a:picLocks noChangeAspect="1"/>
        </xdr:cNvPicPr>
      </xdr:nvPicPr>
      <xdr:blipFill>
        <a:blip xmlns:r="http://schemas.openxmlformats.org/officeDocument/2006/relationships" r:embed="rId3"/>
        <a:stretch>
          <a:fillRect/>
        </a:stretch>
      </xdr:blipFill>
      <xdr:spPr>
        <a:xfrm>
          <a:off x="13560089720" y="10673080"/>
          <a:ext cx="6410960" cy="2105727"/>
        </a:xfrm>
        <a:prstGeom prst="rect">
          <a:avLst/>
        </a:prstGeom>
      </xdr:spPr>
    </xdr:pic>
    <xdr:clientData/>
  </xdr:twoCellAnchor>
  <xdr:oneCellAnchor>
    <xdr:from>
      <xdr:col>3</xdr:col>
      <xdr:colOff>210830</xdr:colOff>
      <xdr:row>300</xdr:row>
      <xdr:rowOff>125091</xdr:rowOff>
    </xdr:from>
    <xdr:ext cx="2229628" cy="31688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E9912C7F-8660-CE69-BBBA-5AAE3279A294}"/>
                </a:ext>
              </a:extLst>
            </xdr:cNvPr>
            <xdr:cNvSpPr txBox="1"/>
          </xdr:nvSpPr>
          <xdr:spPr>
            <a:xfrm>
              <a:off x="13482986775" y="20279439"/>
              <a:ext cx="2229628"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100</m:t>
                        </m:r>
                      </m:num>
                      <m:den>
                        <m:r>
                          <a:rPr lang="en-US" sz="1100" b="0" i="1">
                            <a:latin typeface="Cambria Math" panose="02040503050406030204" pitchFamily="18" charset="0"/>
                          </a:rPr>
                          <m:t>70</m:t>
                        </m:r>
                      </m:den>
                    </m:f>
                    <m:r>
                      <a:rPr lang="en-US" sz="1100" b="0" i="1">
                        <a:latin typeface="Cambria Math" panose="02040503050406030204" pitchFamily="18" charset="0"/>
                      </a:rPr>
                      <m:t>−1=</m:t>
                    </m:r>
                  </m:oMath>
                </m:oMathPara>
              </a14:m>
              <a:endParaRPr lang="en-US" sz="1100"/>
            </a:p>
          </xdr:txBody>
        </xdr:sp>
      </mc:Choice>
      <mc:Fallback xmlns="">
        <xdr:sp macro="" textlink="">
          <xdr:nvSpPr>
            <xdr:cNvPr id="6" name="TextBox 5">
              <a:extLst>
                <a:ext uri="{FF2B5EF4-FFF2-40B4-BE49-F238E27FC236}">
                  <a16:creationId xmlns:a16="http://schemas.microsoft.com/office/drawing/2014/main" id="{E9912C7F-8660-CE69-BBBA-5AAE3279A294}"/>
                </a:ext>
              </a:extLst>
            </xdr:cNvPr>
            <xdr:cNvSpPr txBox="1"/>
          </xdr:nvSpPr>
          <xdr:spPr>
            <a:xfrm>
              <a:off x="13482986775" y="20279439"/>
              <a:ext cx="2229628"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𝑟_𝑒=100/70−1=</a:t>
              </a:r>
              <a:endParaRPr lang="en-US" sz="1100"/>
            </a:p>
          </xdr:txBody>
        </xdr:sp>
      </mc:Fallback>
    </mc:AlternateContent>
    <xdr:clientData/>
  </xdr:oneCellAnchor>
  <xdr:twoCellAnchor editAs="oneCell">
    <xdr:from>
      <xdr:col>8</xdr:col>
      <xdr:colOff>823241</xdr:colOff>
      <xdr:row>299</xdr:row>
      <xdr:rowOff>0</xdr:rowOff>
    </xdr:from>
    <xdr:to>
      <xdr:col>10</xdr:col>
      <xdr:colOff>510259</xdr:colOff>
      <xdr:row>306</xdr:row>
      <xdr:rowOff>29562</xdr:rowOff>
    </xdr:to>
    <xdr:pic>
      <xdr:nvPicPr>
        <xdr:cNvPr id="8" name="Picture 7">
          <a:extLst>
            <a:ext uri="{FF2B5EF4-FFF2-40B4-BE49-F238E27FC236}">
              <a16:creationId xmlns:a16="http://schemas.microsoft.com/office/drawing/2014/main" id="{EB5BD898-1CAD-0A5E-4BD1-DDBE56B22D2D}"/>
            </a:ext>
          </a:extLst>
        </xdr:cNvPr>
        <xdr:cNvPicPr>
          <a:picLocks noChangeAspect="1"/>
        </xdr:cNvPicPr>
      </xdr:nvPicPr>
      <xdr:blipFill>
        <a:blip xmlns:r="http://schemas.openxmlformats.org/officeDocument/2006/relationships" r:embed="rId4"/>
        <a:stretch>
          <a:fillRect/>
        </a:stretch>
      </xdr:blipFill>
      <xdr:spPr>
        <a:xfrm>
          <a:off x="13479239623" y="19923439"/>
          <a:ext cx="1333500" cy="1435100"/>
        </a:xfrm>
        <a:prstGeom prst="rect">
          <a:avLst/>
        </a:prstGeom>
      </xdr:spPr>
    </xdr:pic>
    <xdr:clientData/>
  </xdr:twoCellAnchor>
  <xdr:twoCellAnchor>
    <xdr:from>
      <xdr:col>10</xdr:col>
      <xdr:colOff>441739</xdr:colOff>
      <xdr:row>297</xdr:row>
      <xdr:rowOff>195770</xdr:rowOff>
    </xdr:from>
    <xdr:to>
      <xdr:col>12</xdr:col>
      <xdr:colOff>667629</xdr:colOff>
      <xdr:row>304</xdr:row>
      <xdr:rowOff>20079</xdr:rowOff>
    </xdr:to>
    <xdr:sp macro="" textlink="">
      <xdr:nvSpPr>
        <xdr:cNvPr id="9" name="Rounded Rectangular Callout 8">
          <a:extLst>
            <a:ext uri="{FF2B5EF4-FFF2-40B4-BE49-F238E27FC236}">
              <a16:creationId xmlns:a16="http://schemas.microsoft.com/office/drawing/2014/main" id="{41383D42-CB5D-5D3B-E063-E122D1A1083C}"/>
            </a:ext>
          </a:extLst>
        </xdr:cNvPr>
        <xdr:cNvSpPr/>
      </xdr:nvSpPr>
      <xdr:spPr>
        <a:xfrm>
          <a:off x="13477435770" y="19717628"/>
          <a:ext cx="1872372" cy="1229842"/>
        </a:xfrm>
        <a:prstGeom prst="wedgeRoundRectCallout">
          <a:avLst>
            <a:gd name="adj1" fmla="val 70856"/>
            <a:gd name="adj2" fmla="val 6045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אין</a:t>
          </a:r>
          <a:r>
            <a:rPr lang="he-IL" sz="1100" baseline="0"/>
            <a:t> דבר כזה לקחת ריבית אפקטיבית ולכפול אותה במשהו. לא קיים. אם רוצים לבצע המרה / התאמה של ריבית אפקטיבית - יש לנו כלי מתמטי אחד, חזקה.</a:t>
          </a:r>
          <a:endParaRPr lang="en-US" sz="1100"/>
        </a:p>
      </xdr:txBody>
    </xdr:sp>
    <xdr:clientData/>
  </xdr:twoCellAnchor>
  <xdr:oneCellAnchor>
    <xdr:from>
      <xdr:col>4</xdr:col>
      <xdr:colOff>85335</xdr:colOff>
      <xdr:row>306</xdr:row>
      <xdr:rowOff>115052</xdr:rowOff>
    </xdr:from>
    <xdr:ext cx="2661328" cy="254493"/>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1CD5C7AB-D1F6-2043-509B-F452318DBF50}"/>
                </a:ext>
              </a:extLst>
            </xdr:cNvPr>
            <xdr:cNvSpPr txBox="1"/>
          </xdr:nvSpPr>
          <xdr:spPr>
            <a:xfrm>
              <a:off x="13481942665" y="21444024"/>
              <a:ext cx="266132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he-IL"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1+42.8571%</m:t>
                            </m:r>
                          </m:e>
                        </m:d>
                      </m:e>
                      <m:sup>
                        <m:f>
                          <m:fPr>
                            <m:ctrlPr>
                              <a:rPr lang="he-IL" sz="1100" b="0" i="1">
                                <a:latin typeface="Cambria Math" panose="02040503050406030204" pitchFamily="18" charset="0"/>
                              </a:rPr>
                            </m:ctrlPr>
                          </m:fPr>
                          <m:num>
                            <m:r>
                              <a:rPr lang="he-IL" sz="1100" b="0" i="1">
                                <a:latin typeface="Cambria Math" panose="02040503050406030204" pitchFamily="18" charset="0"/>
                              </a:rPr>
                              <m:t>1</m:t>
                            </m:r>
                          </m:num>
                          <m:den>
                            <m:r>
                              <a:rPr lang="he-IL" sz="1100" b="0" i="1">
                                <a:latin typeface="Cambria Math" panose="02040503050406030204" pitchFamily="18" charset="0"/>
                              </a:rPr>
                              <m:t>5</m:t>
                            </m:r>
                          </m:den>
                        </m:f>
                      </m:sup>
                    </m:sSup>
                    <m:r>
                      <a:rPr lang="he-IL" sz="1100" b="0" i="1">
                        <a:latin typeface="Cambria Math" panose="02040503050406030204" pitchFamily="18" charset="0"/>
                      </a:rPr>
                      <m:t>−1</m:t>
                    </m:r>
                    <m:r>
                      <a:rPr lang="he-IL" sz="1100" b="0" i="0">
                        <a:latin typeface="Cambria Math" panose="02040503050406030204" pitchFamily="18" charset="0"/>
                      </a:rPr>
                      <m:t>=</m:t>
                    </m:r>
                  </m:oMath>
                </m:oMathPara>
              </a14:m>
              <a:endParaRPr lang="en-US" sz="1100"/>
            </a:p>
          </xdr:txBody>
        </xdr:sp>
      </mc:Choice>
      <mc:Fallback xmlns="">
        <xdr:sp macro="" textlink="">
          <xdr:nvSpPr>
            <xdr:cNvPr id="11" name="TextBox 10">
              <a:extLst>
                <a:ext uri="{FF2B5EF4-FFF2-40B4-BE49-F238E27FC236}">
                  <a16:creationId xmlns:a16="http://schemas.microsoft.com/office/drawing/2014/main" id="{1CD5C7AB-D1F6-2043-509B-F452318DBF50}"/>
                </a:ext>
              </a:extLst>
            </xdr:cNvPr>
            <xdr:cNvSpPr txBox="1"/>
          </xdr:nvSpPr>
          <xdr:spPr>
            <a:xfrm>
              <a:off x="13481942665" y="21444024"/>
              <a:ext cx="266132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(1+42.8571%)^(1/5)−1=</a:t>
              </a:r>
              <a:endParaRPr lang="en-US" sz="1100"/>
            </a:p>
          </xdr:txBody>
        </xdr:sp>
      </mc:Fallback>
    </mc:AlternateContent>
    <xdr:clientData/>
  </xdr:oneCellAnchor>
  <xdr:twoCellAnchor>
    <xdr:from>
      <xdr:col>5</xdr:col>
      <xdr:colOff>286127</xdr:colOff>
      <xdr:row>307</xdr:row>
      <xdr:rowOff>130514</xdr:rowOff>
    </xdr:from>
    <xdr:to>
      <xdr:col>5</xdr:col>
      <xdr:colOff>296166</xdr:colOff>
      <xdr:row>310</xdr:row>
      <xdr:rowOff>180712</xdr:rowOff>
    </xdr:to>
    <xdr:cxnSp macro="">
      <xdr:nvCxnSpPr>
        <xdr:cNvPr id="18" name="Straight Arrow Connector 17">
          <a:extLst>
            <a:ext uri="{FF2B5EF4-FFF2-40B4-BE49-F238E27FC236}">
              <a16:creationId xmlns:a16="http://schemas.microsoft.com/office/drawing/2014/main" id="{701092B8-AB27-622D-7C6D-7352CA223DD0}"/>
            </a:ext>
          </a:extLst>
        </xdr:cNvPr>
        <xdr:cNvCxnSpPr/>
      </xdr:nvCxnSpPr>
      <xdr:spPr>
        <a:xfrm>
          <a:off x="13483569921" y="21660277"/>
          <a:ext cx="10039" cy="652569"/>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1</xdr:colOff>
      <xdr:row>404</xdr:row>
      <xdr:rowOff>200790</xdr:rowOff>
    </xdr:from>
    <xdr:to>
      <xdr:col>7</xdr:col>
      <xdr:colOff>472626</xdr:colOff>
      <xdr:row>412</xdr:row>
      <xdr:rowOff>148721</xdr:rowOff>
    </xdr:to>
    <xdr:pic>
      <xdr:nvPicPr>
        <xdr:cNvPr id="27" name="Picture 26">
          <a:extLst>
            <a:ext uri="{FF2B5EF4-FFF2-40B4-BE49-F238E27FC236}">
              <a16:creationId xmlns:a16="http://schemas.microsoft.com/office/drawing/2014/main" id="{57E55B1A-2FDD-3D88-91E1-AFDFD2E7E995}"/>
            </a:ext>
          </a:extLst>
        </xdr:cNvPr>
        <xdr:cNvPicPr>
          <a:picLocks noChangeAspect="1"/>
        </xdr:cNvPicPr>
      </xdr:nvPicPr>
      <xdr:blipFill>
        <a:blip xmlns:r="http://schemas.openxmlformats.org/officeDocument/2006/relationships" r:embed="rId5"/>
        <a:stretch>
          <a:fillRect/>
        </a:stretch>
      </xdr:blipFill>
      <xdr:spPr>
        <a:xfrm>
          <a:off x="13481762805" y="30997035"/>
          <a:ext cx="6124111" cy="1554257"/>
        </a:xfrm>
        <a:prstGeom prst="rect">
          <a:avLst/>
        </a:prstGeom>
      </xdr:spPr>
    </xdr:pic>
    <xdr:clientData/>
  </xdr:twoCellAnchor>
  <xdr:oneCellAnchor>
    <xdr:from>
      <xdr:col>4</xdr:col>
      <xdr:colOff>671842</xdr:colOff>
      <xdr:row>470</xdr:row>
      <xdr:rowOff>15257</xdr:rowOff>
    </xdr:from>
    <xdr:ext cx="1140400" cy="31803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A34E4DC7-89AD-1E37-365E-86A270034FD3}"/>
                </a:ext>
              </a:extLst>
            </xdr:cNvPr>
            <xdr:cNvSpPr txBox="1"/>
          </xdr:nvSpPr>
          <xdr:spPr>
            <a:xfrm>
              <a:off x="13487928372" y="35948022"/>
              <a:ext cx="1140400"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100</m:t>
                        </m:r>
                      </m:num>
                      <m:den>
                        <m:r>
                          <a:rPr lang="en-US" sz="1100" b="0" i="1">
                            <a:latin typeface="Cambria Math" panose="02040503050406030204" pitchFamily="18" charset="0"/>
                          </a:rPr>
                          <m:t>83</m:t>
                        </m:r>
                      </m:den>
                    </m:f>
                    <m:r>
                      <a:rPr lang="en-US" sz="1100" b="0" i="1">
                        <a:latin typeface="Cambria Math" panose="02040503050406030204" pitchFamily="18" charset="0"/>
                      </a:rPr>
                      <m:t>−1=</m:t>
                    </m:r>
                  </m:oMath>
                </m:oMathPara>
              </a14:m>
              <a:endParaRPr lang="en-US" sz="1100"/>
            </a:p>
          </xdr:txBody>
        </xdr:sp>
      </mc:Choice>
      <mc:Fallback xmlns="">
        <xdr:sp macro="" textlink="">
          <xdr:nvSpPr>
            <xdr:cNvPr id="30" name="TextBox 29">
              <a:extLst>
                <a:ext uri="{FF2B5EF4-FFF2-40B4-BE49-F238E27FC236}">
                  <a16:creationId xmlns:a16="http://schemas.microsoft.com/office/drawing/2014/main" id="{A34E4DC7-89AD-1E37-365E-86A270034FD3}"/>
                </a:ext>
              </a:extLst>
            </xdr:cNvPr>
            <xdr:cNvSpPr txBox="1"/>
          </xdr:nvSpPr>
          <xdr:spPr>
            <a:xfrm>
              <a:off x="13487928372" y="35948022"/>
              <a:ext cx="1140400"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𝑟_𝑒=100/83−1=</a:t>
              </a:r>
              <a:endParaRPr lang="en-US" sz="1100"/>
            </a:p>
          </xdr:txBody>
        </xdr:sp>
      </mc:Fallback>
    </mc:AlternateContent>
    <xdr:clientData/>
  </xdr:oneCellAnchor>
  <xdr:twoCellAnchor editAs="oneCell">
    <xdr:from>
      <xdr:col>7</xdr:col>
      <xdr:colOff>44405</xdr:colOff>
      <xdr:row>774</xdr:row>
      <xdr:rowOff>13612</xdr:rowOff>
    </xdr:from>
    <xdr:to>
      <xdr:col>8</xdr:col>
      <xdr:colOff>511558</xdr:colOff>
      <xdr:row>778</xdr:row>
      <xdr:rowOff>49156</xdr:rowOff>
    </xdr:to>
    <xdr:pic>
      <xdr:nvPicPr>
        <xdr:cNvPr id="32" name="Picture 31">
          <a:extLst>
            <a:ext uri="{FF2B5EF4-FFF2-40B4-BE49-F238E27FC236}">
              <a16:creationId xmlns:a16="http://schemas.microsoft.com/office/drawing/2014/main" id="{B4692978-C391-18D6-68F3-4571BEF639B8}"/>
            </a:ext>
          </a:extLst>
        </xdr:cNvPr>
        <xdr:cNvPicPr>
          <a:picLocks noChangeAspect="1"/>
        </xdr:cNvPicPr>
      </xdr:nvPicPr>
      <xdr:blipFill>
        <a:blip xmlns:r="http://schemas.openxmlformats.org/officeDocument/2006/relationships" r:embed="rId6"/>
        <a:stretch>
          <a:fillRect/>
        </a:stretch>
      </xdr:blipFill>
      <xdr:spPr>
        <a:xfrm>
          <a:off x="13525148301" y="90498892"/>
          <a:ext cx="1293098" cy="852609"/>
        </a:xfrm>
        <a:prstGeom prst="rect">
          <a:avLst/>
        </a:prstGeom>
      </xdr:spPr>
    </xdr:pic>
    <xdr:clientData/>
  </xdr:twoCellAnchor>
  <xdr:twoCellAnchor editAs="oneCell">
    <xdr:from>
      <xdr:col>4</xdr:col>
      <xdr:colOff>247062</xdr:colOff>
      <xdr:row>443</xdr:row>
      <xdr:rowOff>130034</xdr:rowOff>
    </xdr:from>
    <xdr:to>
      <xdr:col>6</xdr:col>
      <xdr:colOff>22094</xdr:colOff>
      <xdr:row>448</xdr:row>
      <xdr:rowOff>37535</xdr:rowOff>
    </xdr:to>
    <xdr:pic>
      <xdr:nvPicPr>
        <xdr:cNvPr id="35" name="Picture 34">
          <a:extLst>
            <a:ext uri="{FF2B5EF4-FFF2-40B4-BE49-F238E27FC236}">
              <a16:creationId xmlns:a16="http://schemas.microsoft.com/office/drawing/2014/main" id="{A58AEF80-C1C4-724F-AF98-6D6D659D6089}"/>
            </a:ext>
          </a:extLst>
        </xdr:cNvPr>
        <xdr:cNvPicPr>
          <a:picLocks noChangeAspect="1"/>
        </xdr:cNvPicPr>
      </xdr:nvPicPr>
      <xdr:blipFill>
        <a:blip xmlns:r="http://schemas.openxmlformats.org/officeDocument/2006/relationships" r:embed="rId6"/>
        <a:stretch>
          <a:fillRect/>
        </a:stretch>
      </xdr:blipFill>
      <xdr:spPr>
        <a:xfrm>
          <a:off x="13488087247" y="33821877"/>
          <a:ext cx="1406305" cy="926103"/>
        </a:xfrm>
        <a:prstGeom prst="rect">
          <a:avLst/>
        </a:prstGeom>
      </xdr:spPr>
    </xdr:pic>
    <xdr:clientData/>
  </xdr:twoCellAnchor>
  <xdr:oneCellAnchor>
    <xdr:from>
      <xdr:col>0</xdr:col>
      <xdr:colOff>598158</xdr:colOff>
      <xdr:row>446</xdr:row>
      <xdr:rowOff>145290</xdr:rowOff>
    </xdr:from>
    <xdr:ext cx="1296441" cy="321370"/>
    <mc:AlternateContent xmlns:mc="http://schemas.openxmlformats.org/markup-compatibility/2006" xmlns:a14="http://schemas.microsoft.com/office/drawing/2010/main">
      <mc:Choice Requires="a14">
        <xdr:sp macro="" textlink="">
          <xdr:nvSpPr>
            <xdr:cNvPr id="40" name="TextBox 39">
              <a:extLst>
                <a:ext uri="{FF2B5EF4-FFF2-40B4-BE49-F238E27FC236}">
                  <a16:creationId xmlns:a16="http://schemas.microsoft.com/office/drawing/2014/main" id="{123A5E3C-9A61-685F-2F88-C016E046F8A8}"/>
                </a:ext>
              </a:extLst>
            </xdr:cNvPr>
            <xdr:cNvSpPr txBox="1"/>
          </xdr:nvSpPr>
          <xdr:spPr>
            <a:xfrm>
              <a:off x="13491044855" y="34435290"/>
              <a:ext cx="1296441" cy="3213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f>
                      <m:fPr>
                        <m:ctrlPr>
                          <a:rPr lang="en-US" sz="1100" b="0" i="1">
                            <a:latin typeface="Cambria Math" panose="02040503050406030204" pitchFamily="18" charset="0"/>
                          </a:rPr>
                        </m:ctrlPr>
                      </m:fPr>
                      <m:num>
                        <m:r>
                          <a:rPr lang="en-US" sz="1100" b="0" i="1">
                            <a:latin typeface="Cambria Math" panose="02040503050406030204" pitchFamily="18" charset="0"/>
                          </a:rPr>
                          <m:t>𝑑</m:t>
                        </m:r>
                      </m:num>
                      <m:den>
                        <m:r>
                          <a:rPr lang="en-US" sz="1100" b="0" i="1">
                            <a:latin typeface="Cambria Math" panose="02040503050406030204" pitchFamily="18" charset="0"/>
                          </a:rPr>
                          <m:t>𝑚</m:t>
                        </m:r>
                      </m:den>
                    </m:f>
                    <m:r>
                      <a:rPr lang="he-IL" sz="1100" b="0" i="1">
                        <a:latin typeface="Cambria Math" panose="02040503050406030204" pitchFamily="18" charset="0"/>
                      </a:rPr>
                      <m:t>=</m:t>
                    </m:r>
                    <m:f>
                      <m:fPr>
                        <m:ctrlPr>
                          <a:rPr lang="he-IL" sz="1100" b="0" i="1">
                            <a:latin typeface="Cambria Math" panose="02040503050406030204" pitchFamily="18" charset="0"/>
                          </a:rPr>
                        </m:ctrlPr>
                      </m:fPr>
                      <m:num>
                        <m:r>
                          <a:rPr lang="he-IL" sz="1100" b="0" i="1">
                            <a:latin typeface="Cambria Math" panose="02040503050406030204" pitchFamily="18" charset="0"/>
                          </a:rPr>
                          <m:t>18%</m:t>
                        </m:r>
                      </m:num>
                      <m:den>
                        <m:r>
                          <a:rPr lang="he-IL" sz="1100" b="0" i="1">
                            <a:latin typeface="Cambria Math" panose="02040503050406030204" pitchFamily="18" charset="0"/>
                          </a:rPr>
                          <m:t>4</m:t>
                        </m:r>
                      </m:den>
                    </m:f>
                    <m:r>
                      <a:rPr lang="he-IL" sz="1100" b="0" i="1">
                        <a:latin typeface="Cambria Math" panose="02040503050406030204" pitchFamily="18" charset="0"/>
                      </a:rPr>
                      <m:t>=4.5%</m:t>
                    </m:r>
                  </m:oMath>
                </m:oMathPara>
              </a14:m>
              <a:endParaRPr lang="en-US" sz="1100"/>
            </a:p>
          </xdr:txBody>
        </xdr:sp>
      </mc:Choice>
      <mc:Fallback xmlns="">
        <xdr:sp macro="" textlink="">
          <xdr:nvSpPr>
            <xdr:cNvPr id="40" name="TextBox 39">
              <a:extLst>
                <a:ext uri="{FF2B5EF4-FFF2-40B4-BE49-F238E27FC236}">
                  <a16:creationId xmlns:a16="http://schemas.microsoft.com/office/drawing/2014/main" id="{123A5E3C-9A61-685F-2F88-C016E046F8A8}"/>
                </a:ext>
              </a:extLst>
            </xdr:cNvPr>
            <xdr:cNvSpPr txBox="1"/>
          </xdr:nvSpPr>
          <xdr:spPr>
            <a:xfrm>
              <a:off x="13491044855" y="34435290"/>
              <a:ext cx="1296441" cy="3213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𝑑/𝑚</a:t>
              </a:r>
              <a:r>
                <a:rPr lang="he-IL" sz="1100" b="0" i="0">
                  <a:latin typeface="Cambria Math" panose="02040503050406030204" pitchFamily="18" charset="0"/>
                </a:rPr>
                <a:t>=(18%)/4=4.5%</a:t>
              </a:r>
              <a:endParaRPr lang="en-US" sz="1100"/>
            </a:p>
          </xdr:txBody>
        </xdr:sp>
      </mc:Fallback>
    </mc:AlternateContent>
    <xdr:clientData/>
  </xdr:oneCellAnchor>
  <xdr:oneCellAnchor>
    <xdr:from>
      <xdr:col>5</xdr:col>
      <xdr:colOff>372766</xdr:colOff>
      <xdr:row>452</xdr:row>
      <xdr:rowOff>93276</xdr:rowOff>
    </xdr:from>
    <xdr:ext cx="2328045" cy="348044"/>
    <mc:AlternateContent xmlns:mc="http://schemas.openxmlformats.org/markup-compatibility/2006" xmlns:a14="http://schemas.microsoft.com/office/drawing/2010/main">
      <mc:Choice Requires="a14">
        <xdr:sp macro="" textlink="">
          <xdr:nvSpPr>
            <xdr:cNvPr id="43" name="TextBox 42">
              <a:extLst>
                <a:ext uri="{FF2B5EF4-FFF2-40B4-BE49-F238E27FC236}">
                  <a16:creationId xmlns:a16="http://schemas.microsoft.com/office/drawing/2014/main" id="{2F2A11E9-EC7D-2B35-BDE2-5BC5A5CBE899}"/>
                </a:ext>
              </a:extLst>
            </xdr:cNvPr>
            <xdr:cNvSpPr txBox="1"/>
          </xdr:nvSpPr>
          <xdr:spPr>
            <a:xfrm>
              <a:off x="13486216254" y="35605597"/>
              <a:ext cx="2328045" cy="3480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1−4.5%</m:t>
                                </m:r>
                              </m:e>
                            </m:d>
                          </m:e>
                          <m:sup>
                            <m:r>
                              <a:rPr lang="en-US" sz="1100" b="0" i="1">
                                <a:latin typeface="Cambria Math" panose="02040503050406030204" pitchFamily="18" charset="0"/>
                              </a:rPr>
                              <m:t>4</m:t>
                            </m:r>
                          </m:sup>
                        </m:sSup>
                      </m:den>
                    </m:f>
                    <m:r>
                      <a:rPr lang="en-US" sz="1100" b="0" i="1">
                        <a:latin typeface="Cambria Math" panose="02040503050406030204" pitchFamily="18" charset="0"/>
                      </a:rPr>
                      <m:t>−1=20.22271%</m:t>
                    </m:r>
                  </m:oMath>
                </m:oMathPara>
              </a14:m>
              <a:endParaRPr lang="en-US" sz="1100"/>
            </a:p>
          </xdr:txBody>
        </xdr:sp>
      </mc:Choice>
      <mc:Fallback xmlns="">
        <xdr:sp macro="" textlink="">
          <xdr:nvSpPr>
            <xdr:cNvPr id="43" name="TextBox 42">
              <a:extLst>
                <a:ext uri="{FF2B5EF4-FFF2-40B4-BE49-F238E27FC236}">
                  <a16:creationId xmlns:a16="http://schemas.microsoft.com/office/drawing/2014/main" id="{2F2A11E9-EC7D-2B35-BDE2-5BC5A5CBE899}"/>
                </a:ext>
              </a:extLst>
            </xdr:cNvPr>
            <xdr:cNvSpPr txBox="1"/>
          </xdr:nvSpPr>
          <xdr:spPr>
            <a:xfrm>
              <a:off x="13486216254" y="35605597"/>
              <a:ext cx="2328045" cy="3480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𝑟_𝑒=1/(1−4.5%)^4 −1=20.22271%</a:t>
              </a:r>
              <a:endParaRPr lang="en-US" sz="1100"/>
            </a:p>
          </xdr:txBody>
        </xdr:sp>
      </mc:Fallback>
    </mc:AlternateContent>
    <xdr:clientData/>
  </xdr:oneCellAnchor>
  <xdr:oneCellAnchor>
    <xdr:from>
      <xdr:col>5</xdr:col>
      <xdr:colOff>355428</xdr:colOff>
      <xdr:row>454</xdr:row>
      <xdr:rowOff>162628</xdr:rowOff>
    </xdr:from>
    <xdr:ext cx="2328045" cy="498470"/>
    <mc:AlternateContent xmlns:mc="http://schemas.openxmlformats.org/markup-compatibility/2006" xmlns:a14="http://schemas.microsoft.com/office/drawing/2010/main">
      <mc:Choice Requires="a14">
        <xdr:sp macro="" textlink="">
          <xdr:nvSpPr>
            <xdr:cNvPr id="44" name="TextBox 43">
              <a:extLst>
                <a:ext uri="{FF2B5EF4-FFF2-40B4-BE49-F238E27FC236}">
                  <a16:creationId xmlns:a16="http://schemas.microsoft.com/office/drawing/2014/main" id="{1041C4BC-4183-3AA4-AA8C-C6A8607672B1}"/>
                </a:ext>
              </a:extLst>
            </xdr:cNvPr>
            <xdr:cNvSpPr txBox="1"/>
          </xdr:nvSpPr>
          <xdr:spPr>
            <a:xfrm>
              <a:off x="13486233592" y="36082389"/>
              <a:ext cx="2328045" cy="4984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18%</m:t>
                                    </m:r>
                                  </m:num>
                                  <m:den>
                                    <m:r>
                                      <a:rPr lang="en-US" sz="1100" b="0" i="1">
                                        <a:latin typeface="Cambria Math" panose="02040503050406030204" pitchFamily="18" charset="0"/>
                                      </a:rPr>
                                      <m:t>4</m:t>
                                    </m:r>
                                  </m:den>
                                </m:f>
                              </m:e>
                            </m:d>
                          </m:e>
                          <m:sup>
                            <m:r>
                              <a:rPr lang="en-US" sz="1100" b="0" i="1">
                                <a:latin typeface="Cambria Math" panose="02040503050406030204" pitchFamily="18" charset="0"/>
                              </a:rPr>
                              <m:t>4</m:t>
                            </m:r>
                          </m:sup>
                        </m:sSup>
                      </m:den>
                    </m:f>
                    <m:r>
                      <a:rPr lang="en-US" sz="1100" b="0" i="1">
                        <a:latin typeface="Cambria Math" panose="02040503050406030204" pitchFamily="18" charset="0"/>
                      </a:rPr>
                      <m:t>−1=20.22271%</m:t>
                    </m:r>
                  </m:oMath>
                </m:oMathPara>
              </a14:m>
              <a:endParaRPr lang="en-US" sz="1100"/>
            </a:p>
          </xdr:txBody>
        </xdr:sp>
      </mc:Choice>
      <mc:Fallback xmlns="">
        <xdr:sp macro="" textlink="">
          <xdr:nvSpPr>
            <xdr:cNvPr id="44" name="TextBox 43">
              <a:extLst>
                <a:ext uri="{FF2B5EF4-FFF2-40B4-BE49-F238E27FC236}">
                  <a16:creationId xmlns:a16="http://schemas.microsoft.com/office/drawing/2014/main" id="{1041C4BC-4183-3AA4-AA8C-C6A8607672B1}"/>
                </a:ext>
              </a:extLst>
            </xdr:cNvPr>
            <xdr:cNvSpPr txBox="1"/>
          </xdr:nvSpPr>
          <xdr:spPr>
            <a:xfrm>
              <a:off x="13486233592" y="36082389"/>
              <a:ext cx="2328045" cy="4984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𝑟_𝑒=1/(1−(18%)/4)^4 −1=20.22271%</a:t>
              </a:r>
              <a:endParaRPr lang="en-US" sz="1100"/>
            </a:p>
          </xdr:txBody>
        </xdr:sp>
      </mc:Fallback>
    </mc:AlternateContent>
    <xdr:clientData/>
  </xdr:oneCellAnchor>
  <xdr:twoCellAnchor editAs="oneCell">
    <xdr:from>
      <xdr:col>7</xdr:col>
      <xdr:colOff>39010</xdr:colOff>
      <xdr:row>779</xdr:row>
      <xdr:rowOff>185594</xdr:rowOff>
    </xdr:from>
    <xdr:to>
      <xdr:col>8</xdr:col>
      <xdr:colOff>418708</xdr:colOff>
      <xdr:row>782</xdr:row>
      <xdr:rowOff>121368</xdr:rowOff>
    </xdr:to>
    <xdr:pic>
      <xdr:nvPicPr>
        <xdr:cNvPr id="49" name="Picture 48">
          <a:extLst>
            <a:ext uri="{FF2B5EF4-FFF2-40B4-BE49-F238E27FC236}">
              <a16:creationId xmlns:a16="http://schemas.microsoft.com/office/drawing/2014/main" id="{3B545D08-B506-1357-6384-217307F99D29}"/>
            </a:ext>
          </a:extLst>
        </xdr:cNvPr>
        <xdr:cNvPicPr>
          <a:picLocks noChangeAspect="1"/>
        </xdr:cNvPicPr>
      </xdr:nvPicPr>
      <xdr:blipFill>
        <a:blip xmlns:r="http://schemas.openxmlformats.org/officeDocument/2006/relationships" r:embed="rId7"/>
        <a:stretch>
          <a:fillRect/>
        </a:stretch>
      </xdr:blipFill>
      <xdr:spPr>
        <a:xfrm>
          <a:off x="13486027707" y="91456550"/>
          <a:ext cx="1203249" cy="546931"/>
        </a:xfrm>
        <a:prstGeom prst="rect">
          <a:avLst/>
        </a:prstGeom>
      </xdr:spPr>
    </xdr:pic>
    <xdr:clientData/>
  </xdr:twoCellAnchor>
  <xdr:twoCellAnchor editAs="oneCell">
    <xdr:from>
      <xdr:col>5</xdr:col>
      <xdr:colOff>563951</xdr:colOff>
      <xdr:row>416</xdr:row>
      <xdr:rowOff>186504</xdr:rowOff>
    </xdr:from>
    <xdr:to>
      <xdr:col>7</xdr:col>
      <xdr:colOff>384392</xdr:colOff>
      <xdr:row>420</xdr:row>
      <xdr:rowOff>26417</xdr:rowOff>
    </xdr:to>
    <xdr:pic>
      <xdr:nvPicPr>
        <xdr:cNvPr id="51" name="Picture 50">
          <a:extLst>
            <a:ext uri="{FF2B5EF4-FFF2-40B4-BE49-F238E27FC236}">
              <a16:creationId xmlns:a16="http://schemas.microsoft.com/office/drawing/2014/main" id="{B7FE3215-D094-5822-077A-FC72D5B438AC}"/>
            </a:ext>
          </a:extLst>
        </xdr:cNvPr>
        <xdr:cNvPicPr>
          <a:picLocks noChangeAspect="1"/>
        </xdr:cNvPicPr>
      </xdr:nvPicPr>
      <xdr:blipFill>
        <a:blip xmlns:r="http://schemas.openxmlformats.org/officeDocument/2006/relationships" r:embed="rId8"/>
        <a:stretch>
          <a:fillRect/>
        </a:stretch>
      </xdr:blipFill>
      <xdr:spPr>
        <a:xfrm>
          <a:off x="13526117238" y="33970280"/>
          <a:ext cx="1456504" cy="656976"/>
        </a:xfrm>
        <a:prstGeom prst="rect">
          <a:avLst/>
        </a:prstGeom>
      </xdr:spPr>
    </xdr:pic>
    <xdr:clientData/>
  </xdr:twoCellAnchor>
  <xdr:oneCellAnchor>
    <xdr:from>
      <xdr:col>4</xdr:col>
      <xdr:colOff>563951</xdr:colOff>
      <xdr:row>424</xdr:row>
      <xdr:rowOff>20160</xdr:rowOff>
    </xdr:from>
    <xdr:ext cx="1738368" cy="176523"/>
    <mc:AlternateContent xmlns:mc="http://schemas.openxmlformats.org/markup-compatibility/2006" xmlns:a14="http://schemas.microsoft.com/office/drawing/2010/main">
      <mc:Choice Requires="a14">
        <xdr:sp macro="" textlink="">
          <xdr:nvSpPr>
            <xdr:cNvPr id="52" name="TextBox 51">
              <a:extLst>
                <a:ext uri="{FF2B5EF4-FFF2-40B4-BE49-F238E27FC236}">
                  <a16:creationId xmlns:a16="http://schemas.microsoft.com/office/drawing/2014/main" id="{619FD376-98B7-4591-64D2-1956D76BB0D4}"/>
                </a:ext>
              </a:extLst>
            </xdr:cNvPr>
            <xdr:cNvSpPr txBox="1"/>
          </xdr:nvSpPr>
          <xdr:spPr>
            <a:xfrm>
              <a:off x="13526661318" y="35424740"/>
              <a:ext cx="1738368" cy="1765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1+5%</m:t>
                            </m:r>
                          </m:e>
                        </m:d>
                      </m:e>
                      <m:sup>
                        <m:r>
                          <a:rPr lang="en-US" sz="1100" b="0" i="1">
                            <a:latin typeface="Cambria Math" panose="02040503050406030204" pitchFamily="18" charset="0"/>
                          </a:rPr>
                          <m:t>4</m:t>
                        </m:r>
                      </m:sup>
                    </m:sSup>
                    <m:r>
                      <a:rPr lang="en-US" sz="1100" b="0" i="1">
                        <a:latin typeface="Cambria Math" panose="02040503050406030204" pitchFamily="18" charset="0"/>
                      </a:rPr>
                      <m:t>−1=</m:t>
                    </m:r>
                  </m:oMath>
                </m:oMathPara>
              </a14:m>
              <a:endParaRPr lang="en-US" sz="1100"/>
            </a:p>
          </xdr:txBody>
        </xdr:sp>
      </mc:Choice>
      <mc:Fallback xmlns="">
        <xdr:sp macro="" textlink="">
          <xdr:nvSpPr>
            <xdr:cNvPr id="52" name="TextBox 51">
              <a:extLst>
                <a:ext uri="{FF2B5EF4-FFF2-40B4-BE49-F238E27FC236}">
                  <a16:creationId xmlns:a16="http://schemas.microsoft.com/office/drawing/2014/main" id="{619FD376-98B7-4591-64D2-1956D76BB0D4}"/>
                </a:ext>
              </a:extLst>
            </xdr:cNvPr>
            <xdr:cNvSpPr txBox="1"/>
          </xdr:nvSpPr>
          <xdr:spPr>
            <a:xfrm>
              <a:off x="13526661318" y="35424740"/>
              <a:ext cx="1738368" cy="1765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𝑟_𝑒=(1+5%)^4−1=</a:t>
              </a:r>
              <a:endParaRPr lang="en-US" sz="1100"/>
            </a:p>
          </xdr:txBody>
        </xdr:sp>
      </mc:Fallback>
    </mc:AlternateContent>
    <xdr:clientData/>
  </xdr:oneCellAnchor>
  <xdr:oneCellAnchor>
    <xdr:from>
      <xdr:col>4</xdr:col>
      <xdr:colOff>666084</xdr:colOff>
      <xdr:row>425</xdr:row>
      <xdr:rowOff>82327</xdr:rowOff>
    </xdr:from>
    <xdr:ext cx="1738368" cy="354328"/>
    <mc:AlternateContent xmlns:mc="http://schemas.openxmlformats.org/markup-compatibility/2006" xmlns:a14="http://schemas.microsoft.com/office/drawing/2010/main">
      <mc:Choice Requires="a14">
        <xdr:sp macro="" textlink="">
          <xdr:nvSpPr>
            <xdr:cNvPr id="53" name="TextBox 52">
              <a:extLst>
                <a:ext uri="{FF2B5EF4-FFF2-40B4-BE49-F238E27FC236}">
                  <a16:creationId xmlns:a16="http://schemas.microsoft.com/office/drawing/2014/main" id="{7F08FBD1-2BA6-5056-C1B6-51754D939081}"/>
                </a:ext>
              </a:extLst>
            </xdr:cNvPr>
            <xdr:cNvSpPr txBox="1"/>
          </xdr:nvSpPr>
          <xdr:spPr>
            <a:xfrm>
              <a:off x="13526559185" y="35691173"/>
              <a:ext cx="1738368"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20%</m:t>
                                </m:r>
                              </m:num>
                              <m:den>
                                <m:r>
                                  <a:rPr lang="en-US" sz="1100" b="0" i="1">
                                    <a:latin typeface="Cambria Math" panose="02040503050406030204" pitchFamily="18" charset="0"/>
                                  </a:rPr>
                                  <m:t>4</m:t>
                                </m:r>
                              </m:den>
                            </m:f>
                          </m:e>
                        </m:d>
                      </m:e>
                      <m:sup>
                        <m:r>
                          <a:rPr lang="en-US" sz="1100" b="0" i="1">
                            <a:latin typeface="Cambria Math" panose="02040503050406030204" pitchFamily="18" charset="0"/>
                          </a:rPr>
                          <m:t>4</m:t>
                        </m:r>
                      </m:sup>
                    </m:sSup>
                    <m:r>
                      <a:rPr lang="en-US" sz="1100" b="0" i="1">
                        <a:latin typeface="Cambria Math" panose="02040503050406030204" pitchFamily="18" charset="0"/>
                      </a:rPr>
                      <m:t>−1=</m:t>
                    </m:r>
                  </m:oMath>
                </m:oMathPara>
              </a14:m>
              <a:endParaRPr lang="en-US" sz="1100"/>
            </a:p>
          </xdr:txBody>
        </xdr:sp>
      </mc:Choice>
      <mc:Fallback xmlns="">
        <xdr:sp macro="" textlink="">
          <xdr:nvSpPr>
            <xdr:cNvPr id="53" name="TextBox 52">
              <a:extLst>
                <a:ext uri="{FF2B5EF4-FFF2-40B4-BE49-F238E27FC236}">
                  <a16:creationId xmlns:a16="http://schemas.microsoft.com/office/drawing/2014/main" id="{7F08FBD1-2BA6-5056-C1B6-51754D939081}"/>
                </a:ext>
              </a:extLst>
            </xdr:cNvPr>
            <xdr:cNvSpPr txBox="1"/>
          </xdr:nvSpPr>
          <xdr:spPr>
            <a:xfrm>
              <a:off x="13526559185" y="35691173"/>
              <a:ext cx="1738368"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𝑟_𝑒=(1+(20%)/4)^4−1=</a:t>
              </a:r>
              <a:endParaRPr lang="en-US" sz="1100"/>
            </a:p>
          </xdr:txBody>
        </xdr:sp>
      </mc:Fallback>
    </mc:AlternateContent>
    <xdr:clientData/>
  </xdr:oneCellAnchor>
  <xdr:oneCellAnchor>
    <xdr:from>
      <xdr:col>5</xdr:col>
      <xdr:colOff>563951</xdr:colOff>
      <xdr:row>429</xdr:row>
      <xdr:rowOff>186504</xdr:rowOff>
    </xdr:from>
    <xdr:ext cx="1456504" cy="656976"/>
    <xdr:pic>
      <xdr:nvPicPr>
        <xdr:cNvPr id="54" name="Picture 53">
          <a:extLst>
            <a:ext uri="{FF2B5EF4-FFF2-40B4-BE49-F238E27FC236}">
              <a16:creationId xmlns:a16="http://schemas.microsoft.com/office/drawing/2014/main" id="{BCC73F96-2F71-A647-B206-530E6D325BC4}"/>
            </a:ext>
          </a:extLst>
        </xdr:cNvPr>
        <xdr:cNvPicPr>
          <a:picLocks noChangeAspect="1"/>
        </xdr:cNvPicPr>
      </xdr:nvPicPr>
      <xdr:blipFill>
        <a:blip xmlns:r="http://schemas.openxmlformats.org/officeDocument/2006/relationships" r:embed="rId8"/>
        <a:stretch>
          <a:fillRect/>
        </a:stretch>
      </xdr:blipFill>
      <xdr:spPr>
        <a:xfrm>
          <a:off x="13526117238" y="33970280"/>
          <a:ext cx="1456504" cy="656976"/>
        </a:xfrm>
        <a:prstGeom prst="rect">
          <a:avLst/>
        </a:prstGeom>
      </xdr:spPr>
    </xdr:pic>
    <xdr:clientData/>
  </xdr:oneCellAnchor>
  <xdr:oneCellAnchor>
    <xdr:from>
      <xdr:col>4</xdr:col>
      <xdr:colOff>563951</xdr:colOff>
      <xdr:row>438</xdr:row>
      <xdr:rowOff>20160</xdr:rowOff>
    </xdr:from>
    <xdr:ext cx="1738368" cy="176523"/>
    <mc:AlternateContent xmlns:mc="http://schemas.openxmlformats.org/markup-compatibility/2006" xmlns:a14="http://schemas.microsoft.com/office/drawing/2010/main">
      <mc:Choice Requires="a14">
        <xdr:sp macro="" textlink="">
          <xdr:nvSpPr>
            <xdr:cNvPr id="55" name="TextBox 54">
              <a:extLst>
                <a:ext uri="{FF2B5EF4-FFF2-40B4-BE49-F238E27FC236}">
                  <a16:creationId xmlns:a16="http://schemas.microsoft.com/office/drawing/2014/main" id="{0181C919-42C0-8E48-9DC8-96F1B5850406}"/>
                </a:ext>
              </a:extLst>
            </xdr:cNvPr>
            <xdr:cNvSpPr txBox="1"/>
          </xdr:nvSpPr>
          <xdr:spPr>
            <a:xfrm>
              <a:off x="13526661318" y="35438062"/>
              <a:ext cx="1738368" cy="1765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24</m:t>
                            </m:r>
                            <m:r>
                              <a:rPr lang="en-US" sz="1100" b="0" i="1">
                                <a:latin typeface="Cambria Math" panose="02040503050406030204" pitchFamily="18" charset="0"/>
                              </a:rPr>
                              <m:t>%</m:t>
                            </m:r>
                          </m:e>
                        </m:d>
                      </m:e>
                      <m:sup>
                        <m:r>
                          <a:rPr lang="en-US" sz="1100" b="0" i="1">
                            <a:latin typeface="Cambria Math" panose="02040503050406030204" pitchFamily="18" charset="0"/>
                          </a:rPr>
                          <m:t>4</m:t>
                        </m:r>
                      </m:sup>
                    </m:sSup>
                    <m:r>
                      <a:rPr lang="en-US" sz="1100" b="0" i="1">
                        <a:latin typeface="Cambria Math" panose="02040503050406030204" pitchFamily="18" charset="0"/>
                      </a:rPr>
                      <m:t>−1=</m:t>
                    </m:r>
                  </m:oMath>
                </m:oMathPara>
              </a14:m>
              <a:endParaRPr lang="en-US" sz="1100"/>
            </a:p>
          </xdr:txBody>
        </xdr:sp>
      </mc:Choice>
      <mc:Fallback xmlns="">
        <xdr:sp macro="" textlink="">
          <xdr:nvSpPr>
            <xdr:cNvPr id="55" name="TextBox 54">
              <a:extLst>
                <a:ext uri="{FF2B5EF4-FFF2-40B4-BE49-F238E27FC236}">
                  <a16:creationId xmlns:a16="http://schemas.microsoft.com/office/drawing/2014/main" id="{0181C919-42C0-8E48-9DC8-96F1B5850406}"/>
                </a:ext>
              </a:extLst>
            </xdr:cNvPr>
            <xdr:cNvSpPr txBox="1"/>
          </xdr:nvSpPr>
          <xdr:spPr>
            <a:xfrm>
              <a:off x="13526661318" y="35438062"/>
              <a:ext cx="1738368" cy="1765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a:t>
              </a:r>
              <a:r>
                <a:rPr lang="he-IL" sz="1100" b="0" i="0">
                  <a:latin typeface="Cambria Math" panose="02040503050406030204" pitchFamily="18" charset="0"/>
                </a:rPr>
                <a:t>24</a:t>
              </a:r>
              <a:r>
                <a:rPr lang="en-US" sz="1100" b="0" i="0">
                  <a:latin typeface="Cambria Math" panose="02040503050406030204" pitchFamily="18" charset="0"/>
                </a:rPr>
                <a:t>%)^4−1=</a:t>
              </a:r>
              <a:endParaRPr lang="en-US" sz="1100"/>
            </a:p>
          </xdr:txBody>
        </xdr:sp>
      </mc:Fallback>
    </mc:AlternateContent>
    <xdr:clientData/>
  </xdr:oneCellAnchor>
  <xdr:oneCellAnchor>
    <xdr:from>
      <xdr:col>4</xdr:col>
      <xdr:colOff>666084</xdr:colOff>
      <xdr:row>439</xdr:row>
      <xdr:rowOff>82327</xdr:rowOff>
    </xdr:from>
    <xdr:ext cx="1738368" cy="354328"/>
    <mc:AlternateContent xmlns:mc="http://schemas.openxmlformats.org/markup-compatibility/2006" xmlns:a14="http://schemas.microsoft.com/office/drawing/2010/main">
      <mc:Choice Requires="a14">
        <xdr:sp macro="" textlink="">
          <xdr:nvSpPr>
            <xdr:cNvPr id="56" name="TextBox 55">
              <a:extLst>
                <a:ext uri="{FF2B5EF4-FFF2-40B4-BE49-F238E27FC236}">
                  <a16:creationId xmlns:a16="http://schemas.microsoft.com/office/drawing/2014/main" id="{0A556FA4-5342-054E-B170-FF17097AAF02}"/>
                </a:ext>
              </a:extLst>
            </xdr:cNvPr>
            <xdr:cNvSpPr txBox="1"/>
          </xdr:nvSpPr>
          <xdr:spPr>
            <a:xfrm>
              <a:off x="13526559185" y="35704495"/>
              <a:ext cx="1738368"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2</m:t>
                                </m:r>
                                <m:r>
                                  <a:rPr lang="he-IL" sz="1100" b="0" i="1">
                                    <a:latin typeface="Cambria Math" panose="02040503050406030204" pitchFamily="18" charset="0"/>
                                  </a:rPr>
                                  <m:t>4</m:t>
                                </m:r>
                                <m:r>
                                  <a:rPr lang="en-US" sz="1100" b="0" i="1">
                                    <a:latin typeface="Cambria Math" panose="02040503050406030204" pitchFamily="18" charset="0"/>
                                  </a:rPr>
                                  <m:t>%</m:t>
                                </m:r>
                              </m:num>
                              <m:den>
                                <m:r>
                                  <a:rPr lang="he-IL" sz="1100" b="0" i="1">
                                    <a:latin typeface="Cambria Math" panose="02040503050406030204" pitchFamily="18" charset="0"/>
                                  </a:rPr>
                                  <m:t>1</m:t>
                                </m:r>
                              </m:den>
                            </m:f>
                          </m:e>
                        </m:d>
                      </m:e>
                      <m:sup>
                        <m:r>
                          <a:rPr lang="he-IL" sz="1100" b="0" i="1">
                            <a:latin typeface="Cambria Math" panose="02040503050406030204" pitchFamily="18" charset="0"/>
                          </a:rPr>
                          <m:t>1</m:t>
                        </m:r>
                      </m:sup>
                    </m:sSup>
                    <m:r>
                      <a:rPr lang="en-US" sz="1100" b="0" i="1">
                        <a:latin typeface="Cambria Math" panose="02040503050406030204" pitchFamily="18" charset="0"/>
                      </a:rPr>
                      <m:t>−1=</m:t>
                    </m:r>
                  </m:oMath>
                </m:oMathPara>
              </a14:m>
              <a:endParaRPr lang="en-US" sz="1100"/>
            </a:p>
          </xdr:txBody>
        </xdr:sp>
      </mc:Choice>
      <mc:Fallback xmlns="">
        <xdr:sp macro="" textlink="">
          <xdr:nvSpPr>
            <xdr:cNvPr id="56" name="TextBox 55">
              <a:extLst>
                <a:ext uri="{FF2B5EF4-FFF2-40B4-BE49-F238E27FC236}">
                  <a16:creationId xmlns:a16="http://schemas.microsoft.com/office/drawing/2014/main" id="{0A556FA4-5342-054E-B170-FF17097AAF02}"/>
                </a:ext>
              </a:extLst>
            </xdr:cNvPr>
            <xdr:cNvSpPr txBox="1"/>
          </xdr:nvSpPr>
          <xdr:spPr>
            <a:xfrm>
              <a:off x="13526559185" y="35704495"/>
              <a:ext cx="1738368"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𝑟_𝑒=(1+(2</a:t>
              </a:r>
              <a:r>
                <a:rPr lang="he-IL" sz="1100" b="0" i="0">
                  <a:latin typeface="Cambria Math" panose="02040503050406030204" pitchFamily="18" charset="0"/>
                </a:rPr>
                <a:t>4</a:t>
              </a:r>
              <a:r>
                <a:rPr lang="en-US" sz="1100" b="0" i="0">
                  <a:latin typeface="Cambria Math" panose="02040503050406030204" pitchFamily="18" charset="0"/>
                </a:rPr>
                <a:t>%)/</a:t>
              </a:r>
              <a:r>
                <a:rPr lang="he-IL" sz="1100" b="0" i="0">
                  <a:latin typeface="Cambria Math" panose="02040503050406030204" pitchFamily="18" charset="0"/>
                </a:rPr>
                <a:t>1</a:t>
              </a:r>
              <a:r>
                <a:rPr lang="en-US" sz="1100" b="0" i="0">
                  <a:latin typeface="Cambria Math" panose="02040503050406030204" pitchFamily="18" charset="0"/>
                </a:rPr>
                <a:t>)^</a:t>
              </a:r>
              <a:r>
                <a:rPr lang="he-IL" sz="1100" b="0" i="0">
                  <a:latin typeface="Cambria Math" panose="02040503050406030204" pitchFamily="18" charset="0"/>
                </a:rPr>
                <a:t>1</a:t>
              </a:r>
              <a:r>
                <a:rPr lang="en-US" sz="1100" b="0" i="0">
                  <a:latin typeface="Cambria Math" panose="02040503050406030204" pitchFamily="18" charset="0"/>
                </a:rPr>
                <a:t>−1=</a:t>
              </a:r>
              <a:endParaRPr lang="en-US" sz="1100"/>
            </a:p>
          </xdr:txBody>
        </xdr:sp>
      </mc:Fallback>
    </mc:AlternateContent>
    <xdr:clientData/>
  </xdr:oneCellAnchor>
  <xdr:twoCellAnchor editAs="oneCell">
    <xdr:from>
      <xdr:col>0</xdr:col>
      <xdr:colOff>0</xdr:colOff>
      <xdr:row>2</xdr:row>
      <xdr:rowOff>0</xdr:rowOff>
    </xdr:from>
    <xdr:to>
      <xdr:col>7</xdr:col>
      <xdr:colOff>557898</xdr:colOff>
      <xdr:row>11</xdr:row>
      <xdr:rowOff>124632</xdr:rowOff>
    </xdr:to>
    <xdr:pic>
      <xdr:nvPicPr>
        <xdr:cNvPr id="15" name="Picture 14">
          <a:extLst>
            <a:ext uri="{FF2B5EF4-FFF2-40B4-BE49-F238E27FC236}">
              <a16:creationId xmlns:a16="http://schemas.microsoft.com/office/drawing/2014/main" id="{C5EB686F-B451-F10E-1CA0-1E814D2EF675}"/>
            </a:ext>
          </a:extLst>
        </xdr:cNvPr>
        <xdr:cNvPicPr>
          <a:picLocks noChangeAspect="1"/>
        </xdr:cNvPicPr>
      </xdr:nvPicPr>
      <xdr:blipFill>
        <a:blip xmlns:r="http://schemas.openxmlformats.org/officeDocument/2006/relationships" r:embed="rId9"/>
        <a:stretch>
          <a:fillRect/>
        </a:stretch>
      </xdr:blipFill>
      <xdr:spPr>
        <a:xfrm>
          <a:off x="13527126220" y="402683"/>
          <a:ext cx="6220934" cy="1936705"/>
        </a:xfrm>
        <a:prstGeom prst="rect">
          <a:avLst/>
        </a:prstGeom>
      </xdr:spPr>
    </xdr:pic>
    <xdr:clientData/>
  </xdr:twoCellAnchor>
  <xdr:twoCellAnchor>
    <xdr:from>
      <xdr:col>5</xdr:col>
      <xdr:colOff>503425</xdr:colOff>
      <xdr:row>47</xdr:row>
      <xdr:rowOff>18576</xdr:rowOff>
    </xdr:from>
    <xdr:to>
      <xdr:col>5</xdr:col>
      <xdr:colOff>760591</xdr:colOff>
      <xdr:row>51</xdr:row>
      <xdr:rowOff>200136</xdr:rowOff>
    </xdr:to>
    <xdr:sp macro="" textlink="">
      <xdr:nvSpPr>
        <xdr:cNvPr id="20" name="Left Brace 19">
          <a:extLst>
            <a:ext uri="{FF2B5EF4-FFF2-40B4-BE49-F238E27FC236}">
              <a16:creationId xmlns:a16="http://schemas.microsoft.com/office/drawing/2014/main" id="{8BB549B2-589E-5F7D-8678-CF1AE709E21B}"/>
            </a:ext>
          </a:extLst>
        </xdr:cNvPr>
        <xdr:cNvSpPr/>
      </xdr:nvSpPr>
      <xdr:spPr>
        <a:xfrm>
          <a:off x="13528544247" y="7669552"/>
          <a:ext cx="257166" cy="986925"/>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editAs="oneCell">
    <xdr:from>
      <xdr:col>0</xdr:col>
      <xdr:colOff>5163</xdr:colOff>
      <xdr:row>67</xdr:row>
      <xdr:rowOff>165203</xdr:rowOff>
    </xdr:from>
    <xdr:to>
      <xdr:col>9</xdr:col>
      <xdr:colOff>462156</xdr:colOff>
      <xdr:row>78</xdr:row>
      <xdr:rowOff>26857</xdr:rowOff>
    </xdr:to>
    <xdr:pic>
      <xdr:nvPicPr>
        <xdr:cNvPr id="21" name="Picture 20">
          <a:extLst>
            <a:ext uri="{FF2B5EF4-FFF2-40B4-BE49-F238E27FC236}">
              <a16:creationId xmlns:a16="http://schemas.microsoft.com/office/drawing/2014/main" id="{62D9125A-47C6-81D5-8D59-5331ACED5DE3}"/>
            </a:ext>
          </a:extLst>
        </xdr:cNvPr>
        <xdr:cNvPicPr>
          <a:picLocks noChangeAspect="1"/>
        </xdr:cNvPicPr>
      </xdr:nvPicPr>
      <xdr:blipFill>
        <a:blip xmlns:r="http://schemas.openxmlformats.org/officeDocument/2006/relationships" r:embed="rId10"/>
        <a:stretch>
          <a:fillRect/>
        </a:stretch>
      </xdr:blipFill>
      <xdr:spPr>
        <a:xfrm>
          <a:off x="13525554104" y="11843008"/>
          <a:ext cx="7772400" cy="2076410"/>
        </a:xfrm>
        <a:prstGeom prst="rect">
          <a:avLst/>
        </a:prstGeom>
      </xdr:spPr>
    </xdr:pic>
    <xdr:clientData/>
  </xdr:twoCellAnchor>
  <xdr:twoCellAnchor editAs="oneCell">
    <xdr:from>
      <xdr:col>0</xdr:col>
      <xdr:colOff>57354</xdr:colOff>
      <xdr:row>172</xdr:row>
      <xdr:rowOff>108179</xdr:rowOff>
    </xdr:from>
    <xdr:to>
      <xdr:col>7</xdr:col>
      <xdr:colOff>643194</xdr:colOff>
      <xdr:row>182</xdr:row>
      <xdr:rowOff>111570</xdr:rowOff>
    </xdr:to>
    <xdr:pic>
      <xdr:nvPicPr>
        <xdr:cNvPr id="22" name="Picture 21">
          <a:extLst>
            <a:ext uri="{FF2B5EF4-FFF2-40B4-BE49-F238E27FC236}">
              <a16:creationId xmlns:a16="http://schemas.microsoft.com/office/drawing/2014/main" id="{81BAA072-3FCE-E419-035A-08FE4A75C048}"/>
            </a:ext>
          </a:extLst>
        </xdr:cNvPr>
        <xdr:cNvPicPr>
          <a:picLocks noChangeAspect="1"/>
        </xdr:cNvPicPr>
      </xdr:nvPicPr>
      <xdr:blipFill>
        <a:blip xmlns:r="http://schemas.openxmlformats.org/officeDocument/2006/relationships" r:embed="rId11"/>
        <a:stretch>
          <a:fillRect/>
        </a:stretch>
      </xdr:blipFill>
      <xdr:spPr>
        <a:xfrm>
          <a:off x="13552116742" y="33521469"/>
          <a:ext cx="6255775" cy="2051779"/>
        </a:xfrm>
        <a:prstGeom prst="rect">
          <a:avLst/>
        </a:prstGeom>
      </xdr:spPr>
    </xdr:pic>
    <xdr:clientData/>
  </xdr:twoCellAnchor>
  <xdr:twoCellAnchor editAs="oneCell">
    <xdr:from>
      <xdr:col>0</xdr:col>
      <xdr:colOff>1</xdr:colOff>
      <xdr:row>198</xdr:row>
      <xdr:rowOff>139291</xdr:rowOff>
    </xdr:from>
    <xdr:to>
      <xdr:col>7</xdr:col>
      <xdr:colOff>519347</xdr:colOff>
      <xdr:row>207</xdr:row>
      <xdr:rowOff>180259</xdr:rowOff>
    </xdr:to>
    <xdr:pic>
      <xdr:nvPicPr>
        <xdr:cNvPr id="42" name="Picture 41">
          <a:extLst>
            <a:ext uri="{FF2B5EF4-FFF2-40B4-BE49-F238E27FC236}">
              <a16:creationId xmlns:a16="http://schemas.microsoft.com/office/drawing/2014/main" id="{3CF65895-A5CB-5E99-82EA-7490082B9B25}"/>
            </a:ext>
          </a:extLst>
        </xdr:cNvPr>
        <xdr:cNvPicPr>
          <a:picLocks noChangeAspect="1"/>
        </xdr:cNvPicPr>
      </xdr:nvPicPr>
      <xdr:blipFill>
        <a:blip xmlns:r="http://schemas.openxmlformats.org/officeDocument/2006/relationships" r:embed="rId12"/>
        <a:stretch>
          <a:fillRect/>
        </a:stretch>
      </xdr:blipFill>
      <xdr:spPr>
        <a:xfrm>
          <a:off x="13552240589" y="38902968"/>
          <a:ext cx="6189281" cy="1884516"/>
        </a:xfrm>
        <a:prstGeom prst="rect">
          <a:avLst/>
        </a:prstGeom>
      </xdr:spPr>
    </xdr:pic>
    <xdr:clientData/>
  </xdr:twoCellAnchor>
  <xdr:twoCellAnchor editAs="oneCell">
    <xdr:from>
      <xdr:col>0</xdr:col>
      <xdr:colOff>19538</xdr:colOff>
      <xdr:row>320</xdr:row>
      <xdr:rowOff>73268</xdr:rowOff>
    </xdr:from>
    <xdr:to>
      <xdr:col>8</xdr:col>
      <xdr:colOff>137643</xdr:colOff>
      <xdr:row>332</xdr:row>
      <xdr:rowOff>180731</xdr:rowOff>
    </xdr:to>
    <xdr:pic>
      <xdr:nvPicPr>
        <xdr:cNvPr id="45" name="Picture 44">
          <a:extLst>
            <a:ext uri="{FF2B5EF4-FFF2-40B4-BE49-F238E27FC236}">
              <a16:creationId xmlns:a16="http://schemas.microsoft.com/office/drawing/2014/main" id="{93059896-C1AC-8C9C-BC9C-F5D6A52F24C5}"/>
            </a:ext>
          </a:extLst>
        </xdr:cNvPr>
        <xdr:cNvPicPr>
          <a:picLocks noChangeAspect="1"/>
        </xdr:cNvPicPr>
      </xdr:nvPicPr>
      <xdr:blipFill>
        <a:blip xmlns:r="http://schemas.openxmlformats.org/officeDocument/2006/relationships" r:embed="rId13"/>
        <a:stretch>
          <a:fillRect/>
        </a:stretch>
      </xdr:blipFill>
      <xdr:spPr>
        <a:xfrm>
          <a:off x="13518250357" y="63944499"/>
          <a:ext cx="6604874" cy="2569309"/>
        </a:xfrm>
        <a:prstGeom prst="rect">
          <a:avLst/>
        </a:prstGeom>
      </xdr:spPr>
    </xdr:pic>
    <xdr:clientData/>
  </xdr:twoCellAnchor>
  <xdr:twoCellAnchor editAs="oneCell">
    <xdr:from>
      <xdr:col>9</xdr:col>
      <xdr:colOff>312462</xdr:colOff>
      <xdr:row>337</xdr:row>
      <xdr:rowOff>170960</xdr:rowOff>
    </xdr:from>
    <xdr:to>
      <xdr:col>12</xdr:col>
      <xdr:colOff>8793</xdr:colOff>
      <xdr:row>348</xdr:row>
      <xdr:rowOff>150447</xdr:rowOff>
    </xdr:to>
    <xdr:pic>
      <xdr:nvPicPr>
        <xdr:cNvPr id="46" name="Picture 45">
          <a:extLst>
            <a:ext uri="{FF2B5EF4-FFF2-40B4-BE49-F238E27FC236}">
              <a16:creationId xmlns:a16="http://schemas.microsoft.com/office/drawing/2014/main" id="{CED64FE4-10AE-3985-2D2D-6EC8B48EA2DE}"/>
            </a:ext>
          </a:extLst>
        </xdr:cNvPr>
        <xdr:cNvPicPr>
          <a:picLocks noChangeAspect="1"/>
        </xdr:cNvPicPr>
      </xdr:nvPicPr>
      <xdr:blipFill>
        <a:blip xmlns:r="http://schemas.openxmlformats.org/officeDocument/2006/relationships" r:embed="rId14"/>
        <a:stretch>
          <a:fillRect/>
        </a:stretch>
      </xdr:blipFill>
      <xdr:spPr>
        <a:xfrm>
          <a:off x="13515077207" y="67529806"/>
          <a:ext cx="2172831" cy="2236178"/>
        </a:xfrm>
        <a:prstGeom prst="rect">
          <a:avLst/>
        </a:prstGeom>
      </xdr:spPr>
    </xdr:pic>
    <xdr:clientData/>
  </xdr:twoCellAnchor>
  <xdr:twoCellAnchor>
    <xdr:from>
      <xdr:col>5</xdr:col>
      <xdr:colOff>722923</xdr:colOff>
      <xdr:row>349</xdr:row>
      <xdr:rowOff>122116</xdr:rowOff>
    </xdr:from>
    <xdr:to>
      <xdr:col>6</xdr:col>
      <xdr:colOff>312615</xdr:colOff>
      <xdr:row>349</xdr:row>
      <xdr:rowOff>122116</xdr:rowOff>
    </xdr:to>
    <xdr:cxnSp macro="">
      <xdr:nvCxnSpPr>
        <xdr:cNvPr id="48" name="Straight Connector 47">
          <a:extLst>
            <a:ext uri="{FF2B5EF4-FFF2-40B4-BE49-F238E27FC236}">
              <a16:creationId xmlns:a16="http://schemas.microsoft.com/office/drawing/2014/main" id="{E16FF07F-8625-38E8-0F94-1809F9E0EFBB}"/>
            </a:ext>
          </a:extLst>
        </xdr:cNvPr>
        <xdr:cNvCxnSpPr/>
      </xdr:nvCxnSpPr>
      <xdr:spPr>
        <a:xfrm flipH="1">
          <a:off x="13519726385" y="69942808"/>
          <a:ext cx="400538"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288192</xdr:colOff>
      <xdr:row>349</xdr:row>
      <xdr:rowOff>122116</xdr:rowOff>
    </xdr:from>
    <xdr:to>
      <xdr:col>6</xdr:col>
      <xdr:colOff>293077</xdr:colOff>
      <xdr:row>351</xdr:row>
      <xdr:rowOff>200269</xdr:rowOff>
    </xdr:to>
    <xdr:cxnSp macro="">
      <xdr:nvCxnSpPr>
        <xdr:cNvPr id="50" name="Straight Connector 49">
          <a:extLst>
            <a:ext uri="{FF2B5EF4-FFF2-40B4-BE49-F238E27FC236}">
              <a16:creationId xmlns:a16="http://schemas.microsoft.com/office/drawing/2014/main" id="{BDE4258F-673C-D1F0-6C47-398712F0B772}"/>
            </a:ext>
          </a:extLst>
        </xdr:cNvPr>
        <xdr:cNvCxnSpPr/>
      </xdr:nvCxnSpPr>
      <xdr:spPr>
        <a:xfrm flipH="1" flipV="1">
          <a:off x="13519745923" y="69942808"/>
          <a:ext cx="4885" cy="48846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0</xdr:colOff>
      <xdr:row>534</xdr:row>
      <xdr:rowOff>90713</xdr:rowOff>
    </xdr:from>
    <xdr:to>
      <xdr:col>9</xdr:col>
      <xdr:colOff>442686</xdr:colOff>
      <xdr:row>545</xdr:row>
      <xdr:rowOff>72319</xdr:rowOff>
    </xdr:to>
    <xdr:pic>
      <xdr:nvPicPr>
        <xdr:cNvPr id="59" name="Picture 58">
          <a:extLst>
            <a:ext uri="{FF2B5EF4-FFF2-40B4-BE49-F238E27FC236}">
              <a16:creationId xmlns:a16="http://schemas.microsoft.com/office/drawing/2014/main" id="{F0C12B36-A69B-FBD8-6871-F09993D3743B}"/>
            </a:ext>
          </a:extLst>
        </xdr:cNvPr>
        <xdr:cNvPicPr>
          <a:picLocks noChangeAspect="1"/>
        </xdr:cNvPicPr>
      </xdr:nvPicPr>
      <xdr:blipFill>
        <a:blip xmlns:r="http://schemas.openxmlformats.org/officeDocument/2006/relationships" r:embed="rId15"/>
        <a:stretch>
          <a:fillRect/>
        </a:stretch>
      </xdr:blipFill>
      <xdr:spPr>
        <a:xfrm>
          <a:off x="13566634695" y="108222142"/>
          <a:ext cx="7772400" cy="2243415"/>
        </a:xfrm>
        <a:prstGeom prst="rect">
          <a:avLst/>
        </a:prstGeom>
      </xdr:spPr>
    </xdr:pic>
    <xdr:clientData/>
  </xdr:twoCellAnchor>
  <xdr:twoCellAnchor>
    <xdr:from>
      <xdr:col>1</xdr:col>
      <xdr:colOff>189046</xdr:colOff>
      <xdr:row>554</xdr:row>
      <xdr:rowOff>96947</xdr:rowOff>
    </xdr:from>
    <xdr:to>
      <xdr:col>7</xdr:col>
      <xdr:colOff>222977</xdr:colOff>
      <xdr:row>554</xdr:row>
      <xdr:rowOff>101794</xdr:rowOff>
    </xdr:to>
    <xdr:cxnSp macro="">
      <xdr:nvCxnSpPr>
        <xdr:cNvPr id="61" name="Straight Arrow Connector 60">
          <a:extLst>
            <a:ext uri="{FF2B5EF4-FFF2-40B4-BE49-F238E27FC236}">
              <a16:creationId xmlns:a16="http://schemas.microsoft.com/office/drawing/2014/main" id="{48E2E479-98FA-0A38-F26B-80F01B972229}"/>
            </a:ext>
          </a:extLst>
        </xdr:cNvPr>
        <xdr:cNvCxnSpPr/>
      </xdr:nvCxnSpPr>
      <xdr:spPr>
        <a:xfrm flipV="1">
          <a:off x="13495175115" y="110252481"/>
          <a:ext cx="4871564" cy="484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504122</xdr:colOff>
      <xdr:row>562</xdr:row>
      <xdr:rowOff>29954</xdr:rowOff>
    </xdr:from>
    <xdr:ext cx="3204651" cy="254493"/>
    <mc:AlternateContent xmlns:mc="http://schemas.openxmlformats.org/markup-compatibility/2006" xmlns:a14="http://schemas.microsoft.com/office/drawing/2010/main">
      <mc:Choice Requires="a14">
        <xdr:sp macro="" textlink="">
          <xdr:nvSpPr>
            <xdr:cNvPr id="62" name="TextBox 61">
              <a:extLst>
                <a:ext uri="{FF2B5EF4-FFF2-40B4-BE49-F238E27FC236}">
                  <a16:creationId xmlns:a16="http://schemas.microsoft.com/office/drawing/2014/main" id="{88843DD8-D08B-927F-F64F-DB28EF9D12D3}"/>
                </a:ext>
              </a:extLst>
            </xdr:cNvPr>
            <xdr:cNvSpPr txBox="1"/>
          </xdr:nvSpPr>
          <xdr:spPr>
            <a:xfrm>
              <a:off x="13494888555" y="112832130"/>
              <a:ext cx="3204651"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𝐸</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1+12%</m:t>
                            </m:r>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2.5</m:t>
                            </m:r>
                          </m:den>
                        </m:f>
                      </m:sup>
                    </m:sSup>
                    <m:r>
                      <a:rPr lang="en-US" sz="1100" b="0" i="1">
                        <a:latin typeface="Cambria Math" panose="02040503050406030204" pitchFamily="18" charset="0"/>
                      </a:rPr>
                      <m:t>−1=</m:t>
                    </m:r>
                  </m:oMath>
                </m:oMathPara>
              </a14:m>
              <a:endParaRPr lang="en-US" sz="1100"/>
            </a:p>
          </xdr:txBody>
        </xdr:sp>
      </mc:Choice>
      <mc:Fallback xmlns="">
        <xdr:sp macro="" textlink="">
          <xdr:nvSpPr>
            <xdr:cNvPr id="62" name="TextBox 61">
              <a:extLst>
                <a:ext uri="{FF2B5EF4-FFF2-40B4-BE49-F238E27FC236}">
                  <a16:creationId xmlns:a16="http://schemas.microsoft.com/office/drawing/2014/main" id="{88843DD8-D08B-927F-F64F-DB28EF9D12D3}"/>
                </a:ext>
              </a:extLst>
            </xdr:cNvPr>
            <xdr:cNvSpPr txBox="1"/>
          </xdr:nvSpPr>
          <xdr:spPr>
            <a:xfrm>
              <a:off x="13494888555" y="112832130"/>
              <a:ext cx="3204651"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𝑟_𝐸 (𝑎𝑛𝑛𝑢𝑎𝑙)=(1+12%)^(1/2.5)−1=</a:t>
              </a:r>
              <a:endParaRPr lang="en-US" sz="1100"/>
            </a:p>
          </xdr:txBody>
        </xdr:sp>
      </mc:Fallback>
    </mc:AlternateContent>
    <xdr:clientData/>
  </xdr:oneCellAnchor>
  <xdr:twoCellAnchor editAs="oneCell">
    <xdr:from>
      <xdr:col>0</xdr:col>
      <xdr:colOff>232672</xdr:colOff>
      <xdr:row>567</xdr:row>
      <xdr:rowOff>150267</xdr:rowOff>
    </xdr:from>
    <xdr:to>
      <xdr:col>9</xdr:col>
      <xdr:colOff>695301</xdr:colOff>
      <xdr:row>579</xdr:row>
      <xdr:rowOff>61234</xdr:rowOff>
    </xdr:to>
    <xdr:pic>
      <xdr:nvPicPr>
        <xdr:cNvPr id="63" name="Picture 62">
          <a:extLst>
            <a:ext uri="{FF2B5EF4-FFF2-40B4-BE49-F238E27FC236}">
              <a16:creationId xmlns:a16="http://schemas.microsoft.com/office/drawing/2014/main" id="{A253722C-58B1-AF77-0860-E6F23765097B}"/>
            </a:ext>
          </a:extLst>
        </xdr:cNvPr>
        <xdr:cNvPicPr>
          <a:picLocks noChangeAspect="1"/>
        </xdr:cNvPicPr>
      </xdr:nvPicPr>
      <xdr:blipFill>
        <a:blip xmlns:r="http://schemas.openxmlformats.org/officeDocument/2006/relationships" r:embed="rId16"/>
        <a:stretch>
          <a:fillRect/>
        </a:stretch>
      </xdr:blipFill>
      <xdr:spPr>
        <a:xfrm>
          <a:off x="13493054699" y="113970382"/>
          <a:ext cx="7772400" cy="2354021"/>
        </a:xfrm>
        <a:prstGeom prst="rect">
          <a:avLst/>
        </a:prstGeom>
      </xdr:spPr>
    </xdr:pic>
    <xdr:clientData/>
  </xdr:twoCellAnchor>
  <xdr:twoCellAnchor>
    <xdr:from>
      <xdr:col>8</xdr:col>
      <xdr:colOff>473212</xdr:colOff>
      <xdr:row>586</xdr:row>
      <xdr:rowOff>115956</xdr:rowOff>
    </xdr:from>
    <xdr:to>
      <xdr:col>10</xdr:col>
      <xdr:colOff>182217</xdr:colOff>
      <xdr:row>588</xdr:row>
      <xdr:rowOff>78776</xdr:rowOff>
    </xdr:to>
    <xdr:cxnSp macro="">
      <xdr:nvCxnSpPr>
        <xdr:cNvPr id="64" name="Straight Connector 63">
          <a:extLst>
            <a:ext uri="{FF2B5EF4-FFF2-40B4-BE49-F238E27FC236}">
              <a16:creationId xmlns:a16="http://schemas.microsoft.com/office/drawing/2014/main" id="{4A384EBA-4462-8FA1-956B-8C6FCA378717}"/>
            </a:ext>
          </a:extLst>
        </xdr:cNvPr>
        <xdr:cNvCxnSpPr/>
      </xdr:nvCxnSpPr>
      <xdr:spPr>
        <a:xfrm flipH="1" flipV="1">
          <a:off x="13561761261" y="118165217"/>
          <a:ext cx="1365527" cy="371429"/>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160772</xdr:colOff>
      <xdr:row>586</xdr:row>
      <xdr:rowOff>93869</xdr:rowOff>
    </xdr:from>
    <xdr:to>
      <xdr:col>11</xdr:col>
      <xdr:colOff>414130</xdr:colOff>
      <xdr:row>586</xdr:row>
      <xdr:rowOff>113568</xdr:rowOff>
    </xdr:to>
    <xdr:cxnSp macro="">
      <xdr:nvCxnSpPr>
        <xdr:cNvPr id="66" name="Straight Connector 65">
          <a:extLst>
            <a:ext uri="{FF2B5EF4-FFF2-40B4-BE49-F238E27FC236}">
              <a16:creationId xmlns:a16="http://schemas.microsoft.com/office/drawing/2014/main" id="{01B2E05B-D057-16F0-55A5-1F03A5752074}"/>
            </a:ext>
          </a:extLst>
        </xdr:cNvPr>
        <xdr:cNvCxnSpPr/>
      </xdr:nvCxnSpPr>
      <xdr:spPr>
        <a:xfrm flipH="1" flipV="1">
          <a:off x="13560701087" y="118143130"/>
          <a:ext cx="1081619" cy="19699"/>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97768</xdr:colOff>
      <xdr:row>689</xdr:row>
      <xdr:rowOff>145823</xdr:rowOff>
    </xdr:from>
    <xdr:to>
      <xdr:col>7</xdr:col>
      <xdr:colOff>669488</xdr:colOff>
      <xdr:row>702</xdr:row>
      <xdr:rowOff>16409</xdr:rowOff>
    </xdr:to>
    <xdr:pic>
      <xdr:nvPicPr>
        <xdr:cNvPr id="71" name="Picture 70">
          <a:extLst>
            <a:ext uri="{FF2B5EF4-FFF2-40B4-BE49-F238E27FC236}">
              <a16:creationId xmlns:a16="http://schemas.microsoft.com/office/drawing/2014/main" id="{F42C5CAC-2044-30D8-D5CF-D679326645CC}"/>
            </a:ext>
          </a:extLst>
        </xdr:cNvPr>
        <xdr:cNvPicPr>
          <a:picLocks noChangeAspect="1"/>
        </xdr:cNvPicPr>
      </xdr:nvPicPr>
      <xdr:blipFill>
        <a:blip xmlns:r="http://schemas.openxmlformats.org/officeDocument/2006/relationships" r:embed="rId17"/>
        <a:stretch>
          <a:fillRect/>
        </a:stretch>
      </xdr:blipFill>
      <xdr:spPr>
        <a:xfrm>
          <a:off x="13488641598" y="138344545"/>
          <a:ext cx="6227886" cy="2507966"/>
        </a:xfrm>
        <a:prstGeom prst="rect">
          <a:avLst/>
        </a:prstGeom>
      </xdr:spPr>
    </xdr:pic>
    <xdr:clientData/>
  </xdr:twoCellAnchor>
  <xdr:twoCellAnchor editAs="oneCell">
    <xdr:from>
      <xdr:col>9</xdr:col>
      <xdr:colOff>350164</xdr:colOff>
      <xdr:row>711</xdr:row>
      <xdr:rowOff>156240</xdr:rowOff>
    </xdr:from>
    <xdr:to>
      <xdr:col>15</xdr:col>
      <xdr:colOff>218220</xdr:colOff>
      <xdr:row>717</xdr:row>
      <xdr:rowOff>70863</xdr:rowOff>
    </xdr:to>
    <xdr:pic>
      <xdr:nvPicPr>
        <xdr:cNvPr id="72" name="Picture 71">
          <a:extLst>
            <a:ext uri="{FF2B5EF4-FFF2-40B4-BE49-F238E27FC236}">
              <a16:creationId xmlns:a16="http://schemas.microsoft.com/office/drawing/2014/main" id="{DBCE0276-809A-7FF5-2039-9E09DFBDE1DE}"/>
            </a:ext>
          </a:extLst>
        </xdr:cNvPr>
        <xdr:cNvPicPr>
          <a:picLocks noChangeAspect="1"/>
        </xdr:cNvPicPr>
      </xdr:nvPicPr>
      <xdr:blipFill>
        <a:blip xmlns:r="http://schemas.openxmlformats.org/officeDocument/2006/relationships" r:embed="rId18"/>
        <a:stretch>
          <a:fillRect/>
        </a:stretch>
      </xdr:blipFill>
      <xdr:spPr>
        <a:xfrm>
          <a:off x="13516668776" y="143451960"/>
          <a:ext cx="4822624" cy="1137586"/>
        </a:xfrm>
        <a:prstGeom prst="rect">
          <a:avLst/>
        </a:prstGeom>
      </xdr:spPr>
    </xdr:pic>
    <xdr:clientData/>
  </xdr:twoCellAnchor>
  <xdr:twoCellAnchor editAs="oneCell">
    <xdr:from>
      <xdr:col>6</xdr:col>
      <xdr:colOff>386749</xdr:colOff>
      <xdr:row>719</xdr:row>
      <xdr:rowOff>156791</xdr:rowOff>
    </xdr:from>
    <xdr:to>
      <xdr:col>15</xdr:col>
      <xdr:colOff>727297</xdr:colOff>
      <xdr:row>725</xdr:row>
      <xdr:rowOff>142455</xdr:rowOff>
    </xdr:to>
    <xdr:pic>
      <xdr:nvPicPr>
        <xdr:cNvPr id="73" name="Picture 72">
          <a:extLst>
            <a:ext uri="{FF2B5EF4-FFF2-40B4-BE49-F238E27FC236}">
              <a16:creationId xmlns:a16="http://schemas.microsoft.com/office/drawing/2014/main" id="{37ADA9D0-1B8C-3533-14CA-2A51C80A726E}"/>
            </a:ext>
          </a:extLst>
        </xdr:cNvPr>
        <xdr:cNvPicPr>
          <a:picLocks noChangeAspect="1"/>
        </xdr:cNvPicPr>
      </xdr:nvPicPr>
      <xdr:blipFill>
        <a:blip xmlns:r="http://schemas.openxmlformats.org/officeDocument/2006/relationships" r:embed="rId19"/>
        <a:stretch>
          <a:fillRect/>
        </a:stretch>
      </xdr:blipFill>
      <xdr:spPr>
        <a:xfrm>
          <a:off x="13516159699" y="145083128"/>
          <a:ext cx="7772400" cy="1208626"/>
        </a:xfrm>
        <a:prstGeom prst="rect">
          <a:avLst/>
        </a:prstGeom>
      </xdr:spPr>
    </xdr:pic>
    <xdr:clientData/>
  </xdr:twoCellAnchor>
  <xdr:oneCellAnchor>
    <xdr:from>
      <xdr:col>1</xdr:col>
      <xdr:colOff>752593</xdr:colOff>
      <xdr:row>720</xdr:row>
      <xdr:rowOff>75886</xdr:rowOff>
    </xdr:from>
    <xdr:ext cx="3196232" cy="17376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7E62407D-C05B-7824-8EC2-940E786F3004}"/>
                </a:ext>
              </a:extLst>
            </xdr:cNvPr>
            <xdr:cNvSpPr txBox="1"/>
          </xdr:nvSpPr>
          <xdr:spPr>
            <a:xfrm>
              <a:off x="13524389077" y="145206051"/>
              <a:ext cx="3196232"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d>
                      <m:dPr>
                        <m:ctrlPr>
                          <a:rPr lang="he-IL" sz="1100" b="0" i="1">
                            <a:latin typeface="Cambria Math" panose="02040503050406030204" pitchFamily="18" charset="0"/>
                          </a:rPr>
                        </m:ctrlPr>
                      </m:dPr>
                      <m:e>
                        <m:r>
                          <a:rPr lang="he-IL" sz="1100" b="0" i="1">
                            <a:latin typeface="Cambria Math" panose="02040503050406030204" pitchFamily="18" charset="0"/>
                          </a:rPr>
                          <m:t>1+21.551%</m:t>
                        </m:r>
                      </m:e>
                    </m:d>
                    <m:r>
                      <a:rPr lang="he-IL" sz="1100" b="0" i="1">
                        <a:latin typeface="Cambria Math" panose="02040503050406030204" pitchFamily="18" charset="0"/>
                      </a:rPr>
                      <m:t>=</m:t>
                    </m:r>
                    <m:d>
                      <m:dPr>
                        <m:ctrlPr>
                          <a:rPr lang="he-IL" sz="1100" b="0" i="1">
                            <a:latin typeface="Cambria Math" panose="02040503050406030204" pitchFamily="18" charset="0"/>
                          </a:rPr>
                        </m:ctrlPr>
                      </m:dPr>
                      <m:e>
                        <m:r>
                          <a:rPr lang="he-IL"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e>
                    </m:d>
                    <m:r>
                      <a:rPr lang="en-US" sz="1100" b="0" i="1">
                        <a:latin typeface="Cambria Math" panose="02040503050406030204" pitchFamily="18" charset="0"/>
                      </a:rPr>
                      <m:t>∗(1+15%)</m:t>
                    </m:r>
                  </m:oMath>
                </m:oMathPara>
              </a14:m>
              <a:endParaRPr lang="en-US" sz="1100"/>
            </a:p>
          </xdr:txBody>
        </xdr:sp>
      </mc:Choice>
      <mc:Fallback xmlns="">
        <xdr:sp macro="" textlink="">
          <xdr:nvSpPr>
            <xdr:cNvPr id="74" name="TextBox 73">
              <a:extLst>
                <a:ext uri="{FF2B5EF4-FFF2-40B4-BE49-F238E27FC236}">
                  <a16:creationId xmlns:a16="http://schemas.microsoft.com/office/drawing/2014/main" id="{7E62407D-C05B-7824-8EC2-940E786F3004}"/>
                </a:ext>
              </a:extLst>
            </xdr:cNvPr>
            <xdr:cNvSpPr txBox="1"/>
          </xdr:nvSpPr>
          <xdr:spPr>
            <a:xfrm>
              <a:off x="13524389077" y="145206051"/>
              <a:ext cx="3196232"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(1+21.551%)=(1+</a:t>
              </a:r>
              <a:r>
                <a:rPr lang="en-US" sz="1100" b="0" i="0">
                  <a:latin typeface="Cambria Math" panose="02040503050406030204" pitchFamily="18" charset="0"/>
                </a:rPr>
                <a:t>𝑟_𝑟 )∗(1+15%)</a:t>
              </a:r>
              <a:endParaRPr lang="en-US" sz="1100"/>
            </a:p>
          </xdr:txBody>
        </xdr:sp>
      </mc:Fallback>
    </mc:AlternateContent>
    <xdr:clientData/>
  </xdr:oneCellAnchor>
  <xdr:oneCellAnchor>
    <xdr:from>
      <xdr:col>1</xdr:col>
      <xdr:colOff>742140</xdr:colOff>
      <xdr:row>722</xdr:row>
      <xdr:rowOff>154281</xdr:rowOff>
    </xdr:from>
    <xdr:ext cx="3196232" cy="328103"/>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7694AC3F-F6B0-9B87-F254-8141E27B64ED}"/>
                </a:ext>
              </a:extLst>
            </xdr:cNvPr>
            <xdr:cNvSpPr txBox="1"/>
          </xdr:nvSpPr>
          <xdr:spPr>
            <a:xfrm>
              <a:off x="13524399530" y="145692100"/>
              <a:ext cx="3196232" cy="328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1+21.551%</m:t>
                        </m:r>
                      </m:num>
                      <m:den>
                        <m:r>
                          <a:rPr lang="en-US" sz="1100" b="0" i="1">
                            <a:latin typeface="Cambria Math" panose="02040503050406030204" pitchFamily="18" charset="0"/>
                          </a:rPr>
                          <m:t>1+15%</m:t>
                        </m:r>
                      </m:den>
                    </m:f>
                  </m:oMath>
                </m:oMathPara>
              </a14:m>
              <a:endParaRPr lang="en-US" sz="1100"/>
            </a:p>
          </xdr:txBody>
        </xdr:sp>
      </mc:Choice>
      <mc:Fallback xmlns="">
        <xdr:sp macro="" textlink="">
          <xdr:nvSpPr>
            <xdr:cNvPr id="75" name="TextBox 74">
              <a:extLst>
                <a:ext uri="{FF2B5EF4-FFF2-40B4-BE49-F238E27FC236}">
                  <a16:creationId xmlns:a16="http://schemas.microsoft.com/office/drawing/2014/main" id="{7694AC3F-F6B0-9B87-F254-8141E27B64ED}"/>
                </a:ext>
              </a:extLst>
            </xdr:cNvPr>
            <xdr:cNvSpPr txBox="1"/>
          </xdr:nvSpPr>
          <xdr:spPr>
            <a:xfrm>
              <a:off x="13524399530" y="145692100"/>
              <a:ext cx="3196232" cy="328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1+𝑟_𝑟=(1+21.551%)/(1+15%)</a:t>
              </a:r>
              <a:endParaRPr lang="en-US" sz="1100"/>
            </a:p>
          </xdr:txBody>
        </xdr:sp>
      </mc:Fallback>
    </mc:AlternateContent>
    <xdr:clientData/>
  </xdr:oneCellAnchor>
  <xdr:oneCellAnchor>
    <xdr:from>
      <xdr:col>2</xdr:col>
      <xdr:colOff>386749</xdr:colOff>
      <xdr:row>725</xdr:row>
      <xdr:rowOff>133376</xdr:rowOff>
    </xdr:from>
    <xdr:ext cx="3196232" cy="328103"/>
    <mc:AlternateContent xmlns:mc="http://schemas.openxmlformats.org/markup-compatibility/2006" xmlns:a14="http://schemas.microsoft.com/office/drawing/2010/main">
      <mc:Choice Requires="a14">
        <xdr:sp macro="" textlink="">
          <xdr:nvSpPr>
            <xdr:cNvPr id="76" name="TextBox 75">
              <a:extLst>
                <a:ext uri="{FF2B5EF4-FFF2-40B4-BE49-F238E27FC236}">
                  <a16:creationId xmlns:a16="http://schemas.microsoft.com/office/drawing/2014/main" id="{DE2B8877-CE6E-6FB3-6128-002BA2BE45BB}"/>
                </a:ext>
              </a:extLst>
            </xdr:cNvPr>
            <xdr:cNvSpPr txBox="1"/>
          </xdr:nvSpPr>
          <xdr:spPr>
            <a:xfrm>
              <a:off x="13523929159" y="146282676"/>
              <a:ext cx="3196232" cy="328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1+21.551%</m:t>
                        </m:r>
                      </m:num>
                      <m:den>
                        <m:r>
                          <a:rPr lang="en-US" sz="1100" b="0" i="1">
                            <a:latin typeface="Cambria Math" panose="02040503050406030204" pitchFamily="18" charset="0"/>
                          </a:rPr>
                          <m:t>1+15%</m:t>
                        </m:r>
                      </m:den>
                    </m:f>
                    <m:r>
                      <a:rPr lang="en-US" sz="1100" b="0" i="0">
                        <a:latin typeface="Cambria Math" panose="02040503050406030204" pitchFamily="18" charset="0"/>
                      </a:rPr>
                      <m:t>−1=</m:t>
                    </m:r>
                  </m:oMath>
                </m:oMathPara>
              </a14:m>
              <a:endParaRPr lang="en-US" sz="1100"/>
            </a:p>
          </xdr:txBody>
        </xdr:sp>
      </mc:Choice>
      <mc:Fallback xmlns="">
        <xdr:sp macro="" textlink="">
          <xdr:nvSpPr>
            <xdr:cNvPr id="76" name="TextBox 75">
              <a:extLst>
                <a:ext uri="{FF2B5EF4-FFF2-40B4-BE49-F238E27FC236}">
                  <a16:creationId xmlns:a16="http://schemas.microsoft.com/office/drawing/2014/main" id="{DE2B8877-CE6E-6FB3-6128-002BA2BE45BB}"/>
                </a:ext>
              </a:extLst>
            </xdr:cNvPr>
            <xdr:cNvSpPr txBox="1"/>
          </xdr:nvSpPr>
          <xdr:spPr>
            <a:xfrm>
              <a:off x="13523929159" y="146282676"/>
              <a:ext cx="3196232" cy="328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𝑟_𝑟=(1+21.551%)/(1+15%)−1=</a:t>
              </a:r>
              <a:endParaRPr lang="en-US" sz="1100"/>
            </a:p>
          </xdr:txBody>
        </xdr:sp>
      </mc:Fallback>
    </mc:AlternateContent>
    <xdr:clientData/>
  </xdr:oneCellAnchor>
  <xdr:twoCellAnchor editAs="oneCell">
    <xdr:from>
      <xdr:col>0</xdr:col>
      <xdr:colOff>15679</xdr:colOff>
      <xdr:row>729</xdr:row>
      <xdr:rowOff>20905</xdr:rowOff>
    </xdr:from>
    <xdr:to>
      <xdr:col>9</xdr:col>
      <xdr:colOff>465980</xdr:colOff>
      <xdr:row>742</xdr:row>
      <xdr:rowOff>144769</xdr:rowOff>
    </xdr:to>
    <xdr:pic>
      <xdr:nvPicPr>
        <xdr:cNvPr id="77" name="Picture 76">
          <a:extLst>
            <a:ext uri="{FF2B5EF4-FFF2-40B4-BE49-F238E27FC236}">
              <a16:creationId xmlns:a16="http://schemas.microsoft.com/office/drawing/2014/main" id="{82D5ABE1-2162-B684-4125-C0DC1CD1C85D}"/>
            </a:ext>
          </a:extLst>
        </xdr:cNvPr>
        <xdr:cNvPicPr>
          <a:picLocks noChangeAspect="1"/>
        </xdr:cNvPicPr>
      </xdr:nvPicPr>
      <xdr:blipFill>
        <a:blip xmlns:r="http://schemas.openxmlformats.org/officeDocument/2006/relationships" r:embed="rId20"/>
        <a:stretch>
          <a:fillRect/>
        </a:stretch>
      </xdr:blipFill>
      <xdr:spPr>
        <a:xfrm>
          <a:off x="13521375584" y="146985514"/>
          <a:ext cx="7772400" cy="2773618"/>
        </a:xfrm>
        <a:prstGeom prst="rect">
          <a:avLst/>
        </a:prstGeom>
      </xdr:spPr>
    </xdr:pic>
    <xdr:clientData/>
  </xdr:twoCellAnchor>
  <xdr:twoCellAnchor editAs="oneCell">
    <xdr:from>
      <xdr:col>0</xdr:col>
      <xdr:colOff>182921</xdr:colOff>
      <xdr:row>750</xdr:row>
      <xdr:rowOff>156790</xdr:rowOff>
    </xdr:from>
    <xdr:to>
      <xdr:col>9</xdr:col>
      <xdr:colOff>633222</xdr:colOff>
      <xdr:row>755</xdr:row>
      <xdr:rowOff>152277</xdr:rowOff>
    </xdr:to>
    <xdr:pic>
      <xdr:nvPicPr>
        <xdr:cNvPr id="78" name="Picture 77">
          <a:extLst>
            <a:ext uri="{FF2B5EF4-FFF2-40B4-BE49-F238E27FC236}">
              <a16:creationId xmlns:a16="http://schemas.microsoft.com/office/drawing/2014/main" id="{7767D0FD-73EC-16C3-B512-64F393CA905F}"/>
            </a:ext>
          </a:extLst>
        </xdr:cNvPr>
        <xdr:cNvPicPr>
          <a:picLocks noChangeAspect="1"/>
        </xdr:cNvPicPr>
      </xdr:nvPicPr>
      <xdr:blipFill>
        <a:blip xmlns:r="http://schemas.openxmlformats.org/officeDocument/2006/relationships" r:embed="rId21"/>
        <a:stretch>
          <a:fillRect/>
        </a:stretch>
      </xdr:blipFill>
      <xdr:spPr>
        <a:xfrm>
          <a:off x="13521208342" y="151401769"/>
          <a:ext cx="7772400" cy="1014623"/>
        </a:xfrm>
        <a:prstGeom prst="rect">
          <a:avLst/>
        </a:prstGeom>
      </xdr:spPr>
    </xdr:pic>
    <xdr:clientData/>
  </xdr:twoCellAnchor>
  <xdr:twoCellAnchor>
    <xdr:from>
      <xdr:col>6</xdr:col>
      <xdr:colOff>503295</xdr:colOff>
      <xdr:row>584</xdr:row>
      <xdr:rowOff>0</xdr:rowOff>
    </xdr:from>
    <xdr:to>
      <xdr:col>6</xdr:col>
      <xdr:colOff>799628</xdr:colOff>
      <xdr:row>585</xdr:row>
      <xdr:rowOff>37630</xdr:rowOff>
    </xdr:to>
    <xdr:sp macro="" textlink="">
      <xdr:nvSpPr>
        <xdr:cNvPr id="79" name="Rounded Rectangle 78">
          <a:extLst>
            <a:ext uri="{FF2B5EF4-FFF2-40B4-BE49-F238E27FC236}">
              <a16:creationId xmlns:a16="http://schemas.microsoft.com/office/drawing/2014/main" id="{4B5AA04E-B0E6-F752-3332-B701286E8128}"/>
            </a:ext>
          </a:extLst>
        </xdr:cNvPr>
        <xdr:cNvSpPr/>
      </xdr:nvSpPr>
      <xdr:spPr>
        <a:xfrm>
          <a:off x="13557758001" y="116510741"/>
          <a:ext cx="296333" cy="23988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en-US" sz="1100"/>
            <a:t>1</a:t>
          </a:r>
        </a:p>
      </xdr:txBody>
    </xdr:sp>
    <xdr:clientData/>
  </xdr:twoCellAnchor>
  <xdr:twoCellAnchor>
    <xdr:from>
      <xdr:col>10</xdr:col>
      <xdr:colOff>333962</xdr:colOff>
      <xdr:row>584</xdr:row>
      <xdr:rowOff>183444</xdr:rowOff>
    </xdr:from>
    <xdr:to>
      <xdr:col>10</xdr:col>
      <xdr:colOff>630295</xdr:colOff>
      <xdr:row>586</xdr:row>
      <xdr:rowOff>18815</xdr:rowOff>
    </xdr:to>
    <xdr:sp macro="" textlink="">
      <xdr:nvSpPr>
        <xdr:cNvPr id="82" name="Rounded Rectangle 81">
          <a:extLst>
            <a:ext uri="{FF2B5EF4-FFF2-40B4-BE49-F238E27FC236}">
              <a16:creationId xmlns:a16="http://schemas.microsoft.com/office/drawing/2014/main" id="{C7FC34E6-88DD-2BEA-8471-894AD4D9DC0A}"/>
            </a:ext>
          </a:extLst>
        </xdr:cNvPr>
        <xdr:cNvSpPr/>
      </xdr:nvSpPr>
      <xdr:spPr>
        <a:xfrm>
          <a:off x="13554615927" y="116694185"/>
          <a:ext cx="296333" cy="23988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en-US" sz="1100"/>
            <a:t>2</a:t>
          </a:r>
        </a:p>
      </xdr:txBody>
    </xdr:sp>
    <xdr:clientData/>
  </xdr:twoCellAnchor>
  <xdr:twoCellAnchor>
    <xdr:from>
      <xdr:col>11</xdr:col>
      <xdr:colOff>410633</xdr:colOff>
      <xdr:row>586</xdr:row>
      <xdr:rowOff>81845</xdr:rowOff>
    </xdr:from>
    <xdr:to>
      <xdr:col>11</xdr:col>
      <xdr:colOff>413926</xdr:colOff>
      <xdr:row>587</xdr:row>
      <xdr:rowOff>174036</xdr:rowOff>
    </xdr:to>
    <xdr:cxnSp macro="">
      <xdr:nvCxnSpPr>
        <xdr:cNvPr id="83" name="Straight Connector 82">
          <a:extLst>
            <a:ext uri="{FF2B5EF4-FFF2-40B4-BE49-F238E27FC236}">
              <a16:creationId xmlns:a16="http://schemas.microsoft.com/office/drawing/2014/main" id="{8C9BF105-8E40-7451-B2B2-3408AA2016D8}"/>
            </a:ext>
          </a:extLst>
        </xdr:cNvPr>
        <xdr:cNvCxnSpPr/>
      </xdr:nvCxnSpPr>
      <xdr:spPr>
        <a:xfrm flipH="1">
          <a:off x="13554004444" y="116997104"/>
          <a:ext cx="3293" cy="294451"/>
        </a:xfrm>
        <a:prstGeom prst="line">
          <a:avLst/>
        </a:prstGeom>
        <a:ln>
          <a:headEnd type="none" w="med" len="med"/>
          <a:tailEnd type="arrow" w="med"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590467</xdr:colOff>
      <xdr:row>20</xdr:row>
      <xdr:rowOff>197922</xdr:rowOff>
    </xdr:from>
    <xdr:to>
      <xdr:col>5</xdr:col>
      <xdr:colOff>593766</xdr:colOff>
      <xdr:row>21</xdr:row>
      <xdr:rowOff>178130</xdr:rowOff>
    </xdr:to>
    <xdr:cxnSp macro="">
      <xdr:nvCxnSpPr>
        <xdr:cNvPr id="86" name="Straight Arrow Connector 85">
          <a:extLst>
            <a:ext uri="{FF2B5EF4-FFF2-40B4-BE49-F238E27FC236}">
              <a16:creationId xmlns:a16="http://schemas.microsoft.com/office/drawing/2014/main" id="{D8794A0C-377F-B4A3-0F70-B69CC5B9A39E}"/>
            </a:ext>
          </a:extLst>
        </xdr:cNvPr>
        <xdr:cNvCxnSpPr/>
      </xdr:nvCxnSpPr>
      <xdr:spPr>
        <a:xfrm flipV="1">
          <a:off x="13506750182" y="4288312"/>
          <a:ext cx="3299" cy="18472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415464</xdr:colOff>
      <xdr:row>750</xdr:row>
      <xdr:rowOff>66096</xdr:rowOff>
    </xdr:from>
    <xdr:to>
      <xdr:col>8</xdr:col>
      <xdr:colOff>221895</xdr:colOff>
      <xdr:row>752</xdr:row>
      <xdr:rowOff>14164</xdr:rowOff>
    </xdr:to>
    <xdr:sp macro="" textlink="">
      <xdr:nvSpPr>
        <xdr:cNvPr id="88" name="Rounded Rectangular Callout 87">
          <a:extLst>
            <a:ext uri="{FF2B5EF4-FFF2-40B4-BE49-F238E27FC236}">
              <a16:creationId xmlns:a16="http://schemas.microsoft.com/office/drawing/2014/main" id="{72B507F1-E7AE-1B9B-12EC-A1239987A962}"/>
            </a:ext>
          </a:extLst>
        </xdr:cNvPr>
        <xdr:cNvSpPr/>
      </xdr:nvSpPr>
      <xdr:spPr>
        <a:xfrm>
          <a:off x="13529763235" y="152607732"/>
          <a:ext cx="1458848" cy="354090"/>
        </a:xfrm>
        <a:prstGeom prst="wedgeRoundRectCallout">
          <a:avLst>
            <a:gd name="adj1" fmla="val -54244"/>
            <a:gd name="adj2" fmla="val 6326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ה-</a:t>
          </a:r>
          <a:r>
            <a:rPr lang="en-US" sz="1100"/>
            <a:t>PV</a:t>
          </a:r>
          <a:r>
            <a:rPr lang="he-IL" sz="1100"/>
            <a:t> של התקבולים</a:t>
          </a:r>
          <a:endParaRPr lang="en-US" sz="1100"/>
        </a:p>
      </xdr:txBody>
    </xdr:sp>
    <xdr:clientData/>
  </xdr:twoCellAnchor>
  <xdr:twoCellAnchor>
    <xdr:from>
      <xdr:col>6</xdr:col>
      <xdr:colOff>23606</xdr:colOff>
      <xdr:row>753</xdr:row>
      <xdr:rowOff>127472</xdr:rowOff>
    </xdr:from>
    <xdr:to>
      <xdr:col>8</xdr:col>
      <xdr:colOff>207731</xdr:colOff>
      <xdr:row>755</xdr:row>
      <xdr:rowOff>75540</xdr:rowOff>
    </xdr:to>
    <xdr:sp macro="" textlink="">
      <xdr:nvSpPr>
        <xdr:cNvPr id="89" name="Rounded Rectangular Callout 88">
          <a:extLst>
            <a:ext uri="{FF2B5EF4-FFF2-40B4-BE49-F238E27FC236}">
              <a16:creationId xmlns:a16="http://schemas.microsoft.com/office/drawing/2014/main" id="{3A161859-608E-174F-65D5-DF2A11C6E91D}"/>
            </a:ext>
          </a:extLst>
        </xdr:cNvPr>
        <xdr:cNvSpPr/>
      </xdr:nvSpPr>
      <xdr:spPr>
        <a:xfrm>
          <a:off x="13529777399" y="153278141"/>
          <a:ext cx="1836542" cy="354090"/>
        </a:xfrm>
        <a:prstGeom prst="wedgeRoundRectCallout">
          <a:avLst>
            <a:gd name="adj1" fmla="val -62658"/>
            <a:gd name="adj2" fmla="val 603"/>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סכום ההשקעה, בערך מוחלט</a:t>
          </a:r>
          <a:endParaRPr lang="en-US" sz="1100"/>
        </a:p>
      </xdr:txBody>
    </xdr:sp>
    <xdr:clientData/>
  </xdr:twoCellAnchor>
</xdr:wsDr>
</file>

<file path=xl/drawings/drawing11.xml><?xml version="1.0" encoding="utf-8"?>
<xdr:wsDr xmlns:xdr="http://schemas.openxmlformats.org/drawingml/2006/spreadsheetDrawing" xmlns:a="http://schemas.openxmlformats.org/drawingml/2006/main">
  <xdr:oneCellAnchor>
    <xdr:from>
      <xdr:col>1</xdr:col>
      <xdr:colOff>758964</xdr:colOff>
      <xdr:row>178</xdr:row>
      <xdr:rowOff>121435</xdr:rowOff>
    </xdr:from>
    <xdr:ext cx="2172647" cy="172227"/>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DF7974F-6C7F-F748-A8C0-85EACBB0AF75}"/>
                </a:ext>
              </a:extLst>
            </xdr:cNvPr>
            <xdr:cNvSpPr txBox="1"/>
          </xdr:nvSpPr>
          <xdr:spPr>
            <a:xfrm>
              <a:off x="13521501589" y="51785035"/>
              <a:ext cx="217264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𝑛</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2" name="TextBox 1">
              <a:extLst>
                <a:ext uri="{FF2B5EF4-FFF2-40B4-BE49-F238E27FC236}">
                  <a16:creationId xmlns:a16="http://schemas.microsoft.com/office/drawing/2014/main" id="{5DF7974F-6C7F-F748-A8C0-85EACBB0AF75}"/>
                </a:ext>
              </a:extLst>
            </xdr:cNvPr>
            <xdr:cNvSpPr txBox="1"/>
          </xdr:nvSpPr>
          <xdr:spPr>
            <a:xfrm>
              <a:off x="13521501589" y="51785035"/>
              <a:ext cx="217264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𝑟_𝑛=(1+𝑟)^𝑚−1</a:t>
              </a:r>
              <a:endParaRPr lang="en-US" sz="1100"/>
            </a:p>
          </xdr:txBody>
        </xdr:sp>
      </mc:Fallback>
    </mc:AlternateContent>
    <xdr:clientData/>
  </xdr:oneCellAnchor>
  <xdr:oneCellAnchor>
    <xdr:from>
      <xdr:col>1</xdr:col>
      <xdr:colOff>546455</xdr:colOff>
      <xdr:row>180</xdr:row>
      <xdr:rowOff>25299</xdr:rowOff>
    </xdr:from>
    <xdr:ext cx="2172647" cy="177228"/>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D33B7B0-BEEE-F647-9EA5-F18DBCB6969E}"/>
                </a:ext>
              </a:extLst>
            </xdr:cNvPr>
            <xdr:cNvSpPr txBox="1"/>
          </xdr:nvSpPr>
          <xdr:spPr>
            <a:xfrm>
              <a:off x="13539509863" y="36504954"/>
              <a:ext cx="2172647"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𝑛</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7%</m:t>
                            </m:r>
                          </m:e>
                        </m:d>
                      </m:e>
                      <m:sup>
                        <m:r>
                          <a:rPr lang="he-IL" sz="1100" b="0" i="1">
                            <a:latin typeface="Cambria Math" panose="02040503050406030204" pitchFamily="18" charset="0"/>
                          </a:rPr>
                          <m:t>3</m:t>
                        </m:r>
                      </m:sup>
                    </m:sSup>
                    <m:r>
                      <a:rPr lang="en-US" sz="1100" b="0" i="1">
                        <a:latin typeface="Cambria Math" panose="02040503050406030204" pitchFamily="18" charset="0"/>
                      </a:rPr>
                      <m:t>−1</m:t>
                    </m:r>
                    <m:r>
                      <a:rPr lang="he-IL" sz="1100" b="0" i="1">
                        <a:latin typeface="Cambria Math" panose="02040503050406030204" pitchFamily="18" charset="0"/>
                      </a:rPr>
                      <m:t>=</m:t>
                    </m:r>
                  </m:oMath>
                </m:oMathPara>
              </a14:m>
              <a:endParaRPr lang="en-US" sz="1100"/>
            </a:p>
          </xdr:txBody>
        </xdr:sp>
      </mc:Choice>
      <mc:Fallback xmlns="">
        <xdr:sp macro="" textlink="">
          <xdr:nvSpPr>
            <xdr:cNvPr id="3" name="TextBox 2">
              <a:extLst>
                <a:ext uri="{FF2B5EF4-FFF2-40B4-BE49-F238E27FC236}">
                  <a16:creationId xmlns:a16="http://schemas.microsoft.com/office/drawing/2014/main" id="{9D33B7B0-BEEE-F647-9EA5-F18DBCB6969E}"/>
                </a:ext>
              </a:extLst>
            </xdr:cNvPr>
            <xdr:cNvSpPr txBox="1"/>
          </xdr:nvSpPr>
          <xdr:spPr>
            <a:xfrm>
              <a:off x="13539509863" y="36504954"/>
              <a:ext cx="2172647"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𝑟_𝑛=(1+</a:t>
              </a:r>
              <a:r>
                <a:rPr lang="he-IL" sz="1100" b="0" i="0">
                  <a:latin typeface="Cambria Math" panose="02040503050406030204" pitchFamily="18" charset="0"/>
                </a:rPr>
                <a:t>7%)</a:t>
              </a:r>
              <a:r>
                <a:rPr lang="en-US" sz="1100" b="0" i="0">
                  <a:latin typeface="Cambria Math" panose="02040503050406030204" pitchFamily="18" charset="0"/>
                </a:rPr>
                <a:t>^</a:t>
              </a:r>
              <a:r>
                <a:rPr lang="he-IL" sz="1100" b="0" i="0">
                  <a:latin typeface="Cambria Math" panose="02040503050406030204" pitchFamily="18" charset="0"/>
                </a:rPr>
                <a:t>3</a:t>
              </a:r>
              <a:r>
                <a:rPr lang="en-US" sz="1100" b="0" i="0">
                  <a:latin typeface="Cambria Math" panose="02040503050406030204" pitchFamily="18" charset="0"/>
                </a:rPr>
                <a:t>−1</a:t>
              </a:r>
              <a:r>
                <a:rPr lang="he-IL" sz="1100" b="0" i="0">
                  <a:latin typeface="Cambria Math" panose="02040503050406030204" pitchFamily="18" charset="0"/>
                </a:rPr>
                <a:t>=</a:t>
              </a:r>
              <a:endParaRPr lang="en-US" sz="1100"/>
            </a:p>
          </xdr:txBody>
        </xdr:sp>
      </mc:Fallback>
    </mc:AlternateContent>
    <xdr:clientData/>
  </xdr:oneCellAnchor>
  <xdr:oneCellAnchor>
    <xdr:from>
      <xdr:col>1</xdr:col>
      <xdr:colOff>491430</xdr:colOff>
      <xdr:row>186</xdr:row>
      <xdr:rowOff>26008</xdr:rowOff>
    </xdr:from>
    <xdr:ext cx="3729130" cy="1737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268EFB2-685A-AB40-9DBC-29B1CFF3D799}"/>
                </a:ext>
              </a:extLst>
            </xdr:cNvPr>
            <xdr:cNvSpPr txBox="1"/>
          </xdr:nvSpPr>
          <xdr:spPr>
            <a:xfrm>
              <a:off x="13538008405" y="37720922"/>
              <a:ext cx="3729130"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ea typeface="Cambria Math" panose="02040503050406030204" pitchFamily="18" charset="0"/>
                      </a:rPr>
                      <m:t>𝜋</m:t>
                    </m:r>
                    <m:r>
                      <a:rPr lang="he-IL" sz="1100" b="0" i="1">
                        <a:latin typeface="Cambria Math" panose="02040503050406030204" pitchFamily="18" charset="0"/>
                        <a:ea typeface="Cambria Math" panose="02040503050406030204" pitchFamily="18" charset="0"/>
                      </a:rPr>
                      <m:t>(3 </m:t>
                    </m:r>
                    <m:r>
                      <a:rPr lang="en-US" sz="1100" b="0" i="1">
                        <a:latin typeface="Cambria Math" panose="02040503050406030204" pitchFamily="18" charset="0"/>
                        <a:ea typeface="Cambria Math" panose="02040503050406030204" pitchFamily="18" charset="0"/>
                      </a:rPr>
                      <m:t>𝑦𝑒𝑎𝑟𝑠</m:t>
                    </m:r>
                    <m:r>
                      <a:rPr lang="en-US" sz="1100" b="0" i="1">
                        <a:latin typeface="Cambria Math" panose="02040503050406030204" pitchFamily="18" charset="0"/>
                        <a:ea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1+5%</m:t>
                        </m:r>
                      </m:e>
                    </m:d>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1+3%</m:t>
                        </m:r>
                      </m:e>
                    </m:d>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1+0%</m:t>
                        </m:r>
                      </m:e>
                    </m:d>
                    <m:r>
                      <a:rPr lang="en-US" sz="1100" b="0" i="1">
                        <a:latin typeface="Cambria Math" panose="02040503050406030204" pitchFamily="18" charset="0"/>
                      </a:rPr>
                      <m:t>−1=</m:t>
                    </m:r>
                  </m:oMath>
                </m:oMathPara>
              </a14:m>
              <a:endParaRPr lang="en-US" sz="1100"/>
            </a:p>
          </xdr:txBody>
        </xdr:sp>
      </mc:Choice>
      <mc:Fallback xmlns="">
        <xdr:sp macro="" textlink="">
          <xdr:nvSpPr>
            <xdr:cNvPr id="4" name="TextBox 3">
              <a:extLst>
                <a:ext uri="{FF2B5EF4-FFF2-40B4-BE49-F238E27FC236}">
                  <a16:creationId xmlns:a16="http://schemas.microsoft.com/office/drawing/2014/main" id="{A268EFB2-685A-AB40-9DBC-29B1CFF3D799}"/>
                </a:ext>
              </a:extLst>
            </xdr:cNvPr>
            <xdr:cNvSpPr txBox="1"/>
          </xdr:nvSpPr>
          <xdr:spPr>
            <a:xfrm>
              <a:off x="13538008405" y="37720922"/>
              <a:ext cx="3729130"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(3 </a:t>
              </a:r>
              <a:r>
                <a:rPr lang="en-US" sz="1100" b="0" i="0">
                  <a:latin typeface="Cambria Math" panose="02040503050406030204" pitchFamily="18" charset="0"/>
                  <a:ea typeface="Cambria Math" panose="02040503050406030204" pitchFamily="18" charset="0"/>
                </a:rPr>
                <a:t>𝑦𝑒𝑎𝑟𝑠)</a:t>
              </a:r>
              <a:r>
                <a:rPr lang="he-IL" sz="1100" b="0" i="0">
                  <a:latin typeface="Cambria Math" panose="02040503050406030204" pitchFamily="18" charset="0"/>
                  <a:ea typeface="Cambria Math" panose="02040503050406030204" pitchFamily="18" charset="0"/>
                </a:rPr>
                <a:t>=</a:t>
              </a:r>
              <a:r>
                <a:rPr lang="en-US" sz="1100" b="0" i="0">
                  <a:latin typeface="Cambria Math" panose="02040503050406030204" pitchFamily="18" charset="0"/>
                </a:rPr>
                <a:t>(1+5%)∗(1+3%)∗(1+0%)−1=</a:t>
              </a:r>
              <a:endParaRPr lang="en-US" sz="1100"/>
            </a:p>
          </xdr:txBody>
        </xdr:sp>
      </mc:Fallback>
    </mc:AlternateContent>
    <xdr:clientData/>
  </xdr:oneCellAnchor>
  <xdr:oneCellAnchor>
    <xdr:from>
      <xdr:col>0</xdr:col>
      <xdr:colOff>1501636</xdr:colOff>
      <xdr:row>195</xdr:row>
      <xdr:rowOff>129375</xdr:rowOff>
    </xdr:from>
    <xdr:ext cx="2466321" cy="34765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E517293-256A-A749-A71A-39CD645B0E12}"/>
                </a:ext>
              </a:extLst>
            </xdr:cNvPr>
            <xdr:cNvSpPr txBox="1"/>
          </xdr:nvSpPr>
          <xdr:spPr>
            <a:xfrm>
              <a:off x="13522205143" y="55247375"/>
              <a:ext cx="2466321" cy="3476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𝑛</m:t>
                            </m:r>
                          </m:sub>
                        </m:sSub>
                      </m:num>
                      <m:den>
                        <m:r>
                          <a:rPr lang="en-US" sz="1100" b="0" i="1">
                            <a:latin typeface="Cambria Math" panose="02040503050406030204" pitchFamily="18" charset="0"/>
                          </a:rPr>
                          <m:t>1+%</m:t>
                        </m:r>
                        <m:r>
                          <a:rPr lang="en-US" sz="1100" b="0" i="1">
                            <a:latin typeface="Cambria Math" panose="02040503050406030204" pitchFamily="18" charset="0"/>
                          </a:rPr>
                          <m:t>𝑖𝑛𝑓𝑙𝑎𝑡𝑖𝑜𝑛</m:t>
                        </m:r>
                      </m:den>
                    </m:f>
                    <m:r>
                      <a:rPr lang="en-US" sz="1100" b="0" i="1">
                        <a:latin typeface="Cambria Math" panose="02040503050406030204" pitchFamily="18" charset="0"/>
                      </a:rPr>
                      <m:t>−1</m:t>
                    </m:r>
                  </m:oMath>
                </m:oMathPara>
              </a14:m>
              <a:endParaRPr lang="en-US" sz="1100"/>
            </a:p>
          </xdr:txBody>
        </xdr:sp>
      </mc:Choice>
      <mc:Fallback xmlns="">
        <xdr:sp macro="" textlink="">
          <xdr:nvSpPr>
            <xdr:cNvPr id="5" name="TextBox 4">
              <a:extLst>
                <a:ext uri="{FF2B5EF4-FFF2-40B4-BE49-F238E27FC236}">
                  <a16:creationId xmlns:a16="http://schemas.microsoft.com/office/drawing/2014/main" id="{5E517293-256A-A749-A71A-39CD645B0E12}"/>
                </a:ext>
              </a:extLst>
            </xdr:cNvPr>
            <xdr:cNvSpPr txBox="1"/>
          </xdr:nvSpPr>
          <xdr:spPr>
            <a:xfrm>
              <a:off x="13522205143" y="55247375"/>
              <a:ext cx="2466321" cy="3476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𝑟_𝑟=(1+𝑟_𝑛)/(1+%𝑖𝑛𝑓𝑙𝑎𝑡𝑖𝑜𝑛)−1</a:t>
              </a:r>
              <a:endParaRPr lang="en-US" sz="1100"/>
            </a:p>
          </xdr:txBody>
        </xdr:sp>
      </mc:Fallback>
    </mc:AlternateContent>
    <xdr:clientData/>
  </xdr:oneCellAnchor>
  <xdr:oneCellAnchor>
    <xdr:from>
      <xdr:col>1</xdr:col>
      <xdr:colOff>528970</xdr:colOff>
      <xdr:row>198</xdr:row>
      <xdr:rowOff>150910</xdr:rowOff>
    </xdr:from>
    <xdr:ext cx="2466321" cy="328103"/>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E3B23181-D7E3-8340-89DA-4D8BD0ABF3C2}"/>
                </a:ext>
              </a:extLst>
            </xdr:cNvPr>
            <xdr:cNvSpPr txBox="1"/>
          </xdr:nvSpPr>
          <xdr:spPr>
            <a:xfrm>
              <a:off x="13521437909" y="55878510"/>
              <a:ext cx="2466321" cy="328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r>
                      <a:rPr lang="en-US" sz="1100" b="0" i="1">
                        <a:latin typeface="Cambria Math" panose="02040503050406030204" pitchFamily="18" charset="0"/>
                      </a:rPr>
                      <m:t>(3</m:t>
                    </m:r>
                    <m:r>
                      <a:rPr lang="en-US" sz="1100" b="0" i="1">
                        <a:latin typeface="Cambria Math" panose="02040503050406030204" pitchFamily="18" charset="0"/>
                      </a:rPr>
                      <m:t>𝑦𝑒𝑎𝑟𝑠</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1+22.504%</m:t>
                        </m:r>
                      </m:num>
                      <m:den>
                        <m:r>
                          <a:rPr lang="en-US" sz="1100" b="0" i="1">
                            <a:latin typeface="Cambria Math" panose="02040503050406030204" pitchFamily="18" charset="0"/>
                          </a:rPr>
                          <m:t>1+8.15%</m:t>
                        </m:r>
                      </m:den>
                    </m:f>
                    <m:r>
                      <a:rPr lang="en-US" sz="1100" b="0" i="1">
                        <a:latin typeface="Cambria Math" panose="02040503050406030204" pitchFamily="18" charset="0"/>
                      </a:rPr>
                      <m:t>−1=</m:t>
                    </m:r>
                  </m:oMath>
                </m:oMathPara>
              </a14:m>
              <a:endParaRPr lang="en-US" sz="1100"/>
            </a:p>
          </xdr:txBody>
        </xdr:sp>
      </mc:Choice>
      <mc:Fallback xmlns="">
        <xdr:sp macro="" textlink="">
          <xdr:nvSpPr>
            <xdr:cNvPr id="6" name="TextBox 5">
              <a:extLst>
                <a:ext uri="{FF2B5EF4-FFF2-40B4-BE49-F238E27FC236}">
                  <a16:creationId xmlns:a16="http://schemas.microsoft.com/office/drawing/2014/main" id="{E3B23181-D7E3-8340-89DA-4D8BD0ABF3C2}"/>
                </a:ext>
              </a:extLst>
            </xdr:cNvPr>
            <xdr:cNvSpPr txBox="1"/>
          </xdr:nvSpPr>
          <xdr:spPr>
            <a:xfrm>
              <a:off x="13521437909" y="55878510"/>
              <a:ext cx="2466321" cy="328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𝑟_𝑟 (3𝑦𝑒𝑎𝑟𝑠)=(1+22.504%)/(1+8.15%)−1=</a:t>
              </a:r>
              <a:endParaRPr lang="en-US" sz="1100"/>
            </a:p>
          </xdr:txBody>
        </xdr:sp>
      </mc:Fallback>
    </mc:AlternateContent>
    <xdr:clientData/>
  </xdr:oneCellAnchor>
  <xdr:oneCellAnchor>
    <xdr:from>
      <xdr:col>1</xdr:col>
      <xdr:colOff>354182</xdr:colOff>
      <xdr:row>202</xdr:row>
      <xdr:rowOff>151794</xdr:rowOff>
    </xdr:from>
    <xdr:ext cx="2967030" cy="25237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7EA2018-DCAF-8440-BC0E-2BE920984F34}"/>
                </a:ext>
              </a:extLst>
            </xdr:cNvPr>
            <xdr:cNvSpPr txBox="1"/>
          </xdr:nvSpPr>
          <xdr:spPr>
            <a:xfrm>
              <a:off x="13521111988" y="56692194"/>
              <a:ext cx="2967030" cy="2523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1+13.273%</m:t>
                            </m:r>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3</m:t>
                            </m:r>
                          </m:den>
                        </m:f>
                      </m:sup>
                    </m:sSup>
                    <m:r>
                      <a:rPr lang="en-US" sz="1100" b="0" i="1">
                        <a:latin typeface="Cambria Math" panose="02040503050406030204" pitchFamily="18" charset="0"/>
                      </a:rPr>
                      <m:t>−1=</m:t>
                    </m:r>
                  </m:oMath>
                </m:oMathPara>
              </a14:m>
              <a:endParaRPr lang="en-US" sz="1100"/>
            </a:p>
          </xdr:txBody>
        </xdr:sp>
      </mc:Choice>
      <mc:Fallback xmlns="">
        <xdr:sp macro="" textlink="">
          <xdr:nvSpPr>
            <xdr:cNvPr id="7" name="TextBox 6">
              <a:extLst>
                <a:ext uri="{FF2B5EF4-FFF2-40B4-BE49-F238E27FC236}">
                  <a16:creationId xmlns:a16="http://schemas.microsoft.com/office/drawing/2014/main" id="{C7EA2018-DCAF-8440-BC0E-2BE920984F34}"/>
                </a:ext>
              </a:extLst>
            </xdr:cNvPr>
            <xdr:cNvSpPr txBox="1"/>
          </xdr:nvSpPr>
          <xdr:spPr>
            <a:xfrm>
              <a:off x="13521111988" y="56692194"/>
              <a:ext cx="2967030" cy="2523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𝑟_𝑟 (𝑎𝑛𝑛𝑢𝑎𝑙)=(1+13.273%)^(1/3)−1=</a:t>
              </a:r>
              <a:endParaRPr lang="en-US" sz="1100"/>
            </a:p>
          </xdr:txBody>
        </xdr:sp>
      </mc:Fallback>
    </mc:AlternateContent>
    <xdr:clientData/>
  </xdr:oneCellAnchor>
  <xdr:twoCellAnchor editAs="oneCell">
    <xdr:from>
      <xdr:col>0</xdr:col>
      <xdr:colOff>16282</xdr:colOff>
      <xdr:row>54</xdr:row>
      <xdr:rowOff>29011</xdr:rowOff>
    </xdr:from>
    <xdr:to>
      <xdr:col>7</xdr:col>
      <xdr:colOff>470996</xdr:colOff>
      <xdr:row>64</xdr:row>
      <xdr:rowOff>82262</xdr:rowOff>
    </xdr:to>
    <xdr:pic>
      <xdr:nvPicPr>
        <xdr:cNvPr id="8" name="Picture 7">
          <a:extLst>
            <a:ext uri="{FF2B5EF4-FFF2-40B4-BE49-F238E27FC236}">
              <a16:creationId xmlns:a16="http://schemas.microsoft.com/office/drawing/2014/main" id="{734A9593-A966-8C5F-8574-918EB184F68C}"/>
            </a:ext>
          </a:extLst>
        </xdr:cNvPr>
        <xdr:cNvPicPr>
          <a:picLocks noChangeAspect="1"/>
        </xdr:cNvPicPr>
      </xdr:nvPicPr>
      <xdr:blipFill>
        <a:blip xmlns:r="http://schemas.openxmlformats.org/officeDocument/2006/relationships" r:embed="rId1"/>
        <a:stretch>
          <a:fillRect/>
        </a:stretch>
      </xdr:blipFill>
      <xdr:spPr>
        <a:xfrm>
          <a:off x="13545280620" y="1038498"/>
          <a:ext cx="6371611" cy="2072226"/>
        </a:xfrm>
        <a:prstGeom prst="rect">
          <a:avLst/>
        </a:prstGeom>
      </xdr:spPr>
    </xdr:pic>
    <xdr:clientData/>
  </xdr:twoCellAnchor>
  <xdr:twoCellAnchor>
    <xdr:from>
      <xdr:col>5</xdr:col>
      <xdr:colOff>87086</xdr:colOff>
      <xdr:row>76</xdr:row>
      <xdr:rowOff>105229</xdr:rowOff>
    </xdr:from>
    <xdr:to>
      <xdr:col>5</xdr:col>
      <xdr:colOff>787400</xdr:colOff>
      <xdr:row>79</xdr:row>
      <xdr:rowOff>87086</xdr:rowOff>
    </xdr:to>
    <xdr:cxnSp macro="">
      <xdr:nvCxnSpPr>
        <xdr:cNvPr id="10" name="Straight Arrow Connector 9">
          <a:extLst>
            <a:ext uri="{FF2B5EF4-FFF2-40B4-BE49-F238E27FC236}">
              <a16:creationId xmlns:a16="http://schemas.microsoft.com/office/drawing/2014/main" id="{1CF97E78-1877-4277-FD1A-CA8667702DFC}"/>
            </a:ext>
          </a:extLst>
        </xdr:cNvPr>
        <xdr:cNvCxnSpPr/>
      </xdr:nvCxnSpPr>
      <xdr:spPr>
        <a:xfrm flipH="1">
          <a:off x="13549793286" y="5591629"/>
          <a:ext cx="700314" cy="59145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1</xdr:colOff>
      <xdr:row>89</xdr:row>
      <xdr:rowOff>83457</xdr:rowOff>
    </xdr:from>
    <xdr:to>
      <xdr:col>7</xdr:col>
      <xdr:colOff>644788</xdr:colOff>
      <xdr:row>93</xdr:row>
      <xdr:rowOff>43543</xdr:rowOff>
    </xdr:to>
    <xdr:pic>
      <xdr:nvPicPr>
        <xdr:cNvPr id="11" name="Picture 10">
          <a:extLst>
            <a:ext uri="{FF2B5EF4-FFF2-40B4-BE49-F238E27FC236}">
              <a16:creationId xmlns:a16="http://schemas.microsoft.com/office/drawing/2014/main" id="{29DB10BF-3B53-EE6C-D04C-FF46E43D9BB4}"/>
            </a:ext>
          </a:extLst>
        </xdr:cNvPr>
        <xdr:cNvPicPr>
          <a:picLocks noChangeAspect="1"/>
        </xdr:cNvPicPr>
      </xdr:nvPicPr>
      <xdr:blipFill>
        <a:blip xmlns:r="http://schemas.openxmlformats.org/officeDocument/2006/relationships" r:embed="rId2"/>
        <a:stretch>
          <a:fillRect/>
        </a:stretch>
      </xdr:blipFill>
      <xdr:spPr>
        <a:xfrm>
          <a:off x="13548281269" y="8211457"/>
          <a:ext cx="6562987" cy="772886"/>
        </a:xfrm>
        <a:prstGeom prst="rect">
          <a:avLst/>
        </a:prstGeom>
      </xdr:spPr>
    </xdr:pic>
    <xdr:clientData/>
  </xdr:twoCellAnchor>
  <xdr:oneCellAnchor>
    <xdr:from>
      <xdr:col>2</xdr:col>
      <xdr:colOff>780143</xdr:colOff>
      <xdr:row>98</xdr:row>
      <xdr:rowOff>185055</xdr:rowOff>
    </xdr:from>
    <xdr:ext cx="2822169" cy="309572"/>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2ADCF17-ADAA-478E-E957-01CA5F719A15}"/>
                </a:ext>
              </a:extLst>
            </xdr:cNvPr>
            <xdr:cNvSpPr txBox="1"/>
          </xdr:nvSpPr>
          <xdr:spPr>
            <a:xfrm>
              <a:off x="13549536516" y="10141855"/>
              <a:ext cx="2822169" cy="3095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kern="1200">
                            <a:latin typeface="Cambria Math" panose="02040503050406030204" pitchFamily="18" charset="0"/>
                          </a:rPr>
                        </m:ctrlPr>
                      </m:sSubPr>
                      <m:e>
                        <m:r>
                          <a:rPr lang="en-US" sz="1100" b="0" i="1" kern="1200">
                            <a:latin typeface="Cambria Math" panose="02040503050406030204" pitchFamily="18" charset="0"/>
                          </a:rPr>
                          <m:t>1+</m:t>
                        </m:r>
                        <m:r>
                          <a:rPr lang="en-US" sz="1100" b="0" i="1" kern="1200">
                            <a:latin typeface="Cambria Math" panose="02040503050406030204" pitchFamily="18" charset="0"/>
                          </a:rPr>
                          <m:t>𝑟</m:t>
                        </m:r>
                      </m:e>
                      <m:sub>
                        <m:r>
                          <a:rPr lang="en-US" sz="1100" b="0" i="1" kern="1200">
                            <a:latin typeface="Cambria Math" panose="02040503050406030204" pitchFamily="18" charset="0"/>
                          </a:rPr>
                          <m:t>𝑒</m:t>
                        </m:r>
                      </m:sub>
                    </m:sSub>
                    <m:r>
                      <a:rPr lang="en-US" sz="1100" b="0" i="1" kern="1200">
                        <a:latin typeface="Cambria Math" panose="02040503050406030204" pitchFamily="18" charset="0"/>
                      </a:rPr>
                      <m:t>=</m:t>
                    </m:r>
                    <m:sSup>
                      <m:sSupPr>
                        <m:ctrlPr>
                          <a:rPr lang="en-US" sz="1100" b="0" i="1" kern="1200">
                            <a:latin typeface="Cambria Math" panose="02040503050406030204" pitchFamily="18" charset="0"/>
                          </a:rPr>
                        </m:ctrlPr>
                      </m:sSupPr>
                      <m:e>
                        <m:d>
                          <m:dPr>
                            <m:ctrlPr>
                              <a:rPr lang="en-US" sz="1100" b="0" i="1" kern="1200">
                                <a:latin typeface="Cambria Math" panose="02040503050406030204" pitchFamily="18" charset="0"/>
                              </a:rPr>
                            </m:ctrlPr>
                          </m:dPr>
                          <m:e>
                            <m:r>
                              <a:rPr lang="en-US" sz="1100" b="0" i="1" kern="1200">
                                <a:latin typeface="Cambria Math" panose="02040503050406030204" pitchFamily="18" charset="0"/>
                              </a:rPr>
                              <m:t>1+</m:t>
                            </m:r>
                            <m:f>
                              <m:fPr>
                                <m:ctrlPr>
                                  <a:rPr lang="en-US" sz="1100" b="0" i="1" kern="1200">
                                    <a:latin typeface="Cambria Math" panose="02040503050406030204" pitchFamily="18" charset="0"/>
                                  </a:rPr>
                                </m:ctrlPr>
                              </m:fPr>
                              <m:num>
                                <m:sSub>
                                  <m:sSubPr>
                                    <m:ctrlPr>
                                      <a:rPr lang="en-US" sz="1100" b="0" i="1" kern="1200">
                                        <a:latin typeface="Cambria Math" panose="02040503050406030204" pitchFamily="18" charset="0"/>
                                      </a:rPr>
                                    </m:ctrlPr>
                                  </m:sSubPr>
                                  <m:e>
                                    <m:r>
                                      <a:rPr lang="en-US" sz="1100" b="0" i="1" kern="1200">
                                        <a:latin typeface="Cambria Math" panose="02040503050406030204" pitchFamily="18" charset="0"/>
                                      </a:rPr>
                                      <m:t>𝑟</m:t>
                                    </m:r>
                                  </m:e>
                                  <m:sub>
                                    <m:r>
                                      <a:rPr lang="en-US" sz="1100" b="0" i="1" kern="1200">
                                        <a:latin typeface="Cambria Math" panose="02040503050406030204" pitchFamily="18" charset="0"/>
                                      </a:rPr>
                                      <m:t>𝑠</m:t>
                                    </m:r>
                                  </m:sub>
                                </m:sSub>
                              </m:num>
                              <m:den>
                                <m:r>
                                  <a:rPr lang="en-US" sz="1100" b="0" i="1" kern="1200">
                                    <a:latin typeface="Cambria Math" panose="02040503050406030204" pitchFamily="18" charset="0"/>
                                  </a:rPr>
                                  <m:t>𝑚</m:t>
                                </m:r>
                              </m:den>
                            </m:f>
                          </m:e>
                        </m:d>
                      </m:e>
                      <m:sup>
                        <m:r>
                          <a:rPr lang="en-US" sz="1100" b="0" i="1" kern="1200">
                            <a:latin typeface="Cambria Math" panose="02040503050406030204" pitchFamily="18" charset="0"/>
                          </a:rPr>
                          <m:t>𝑛</m:t>
                        </m:r>
                      </m:sup>
                    </m:sSup>
                  </m:oMath>
                </m:oMathPara>
              </a14:m>
              <a:endParaRPr lang="en-US" sz="1100" kern="1200"/>
            </a:p>
          </xdr:txBody>
        </xdr:sp>
      </mc:Choice>
      <mc:Fallback xmlns="">
        <xdr:sp macro="" textlink="">
          <xdr:nvSpPr>
            <xdr:cNvPr id="12" name="TextBox 11">
              <a:extLst>
                <a:ext uri="{FF2B5EF4-FFF2-40B4-BE49-F238E27FC236}">
                  <a16:creationId xmlns:a16="http://schemas.microsoft.com/office/drawing/2014/main" id="{72ADCF17-ADAA-478E-E957-01CA5F719A15}"/>
                </a:ext>
              </a:extLst>
            </xdr:cNvPr>
            <xdr:cNvSpPr txBox="1"/>
          </xdr:nvSpPr>
          <xdr:spPr>
            <a:xfrm>
              <a:off x="13549536516" y="10141855"/>
              <a:ext cx="2822169" cy="3095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kern="1200">
                  <a:latin typeface="Cambria Math" panose="02040503050406030204" pitchFamily="18" charset="0"/>
                </a:rPr>
                <a:t>〖1+𝑟〗_𝑒=(1+𝑟_𝑠/𝑚)^𝑛</a:t>
              </a:r>
              <a:endParaRPr lang="en-US" sz="1100" kern="1200"/>
            </a:p>
          </xdr:txBody>
        </xdr:sp>
      </mc:Fallback>
    </mc:AlternateContent>
    <xdr:clientData/>
  </xdr:oneCellAnchor>
  <xdr:oneCellAnchor>
    <xdr:from>
      <xdr:col>2</xdr:col>
      <xdr:colOff>776515</xdr:colOff>
      <xdr:row>109</xdr:row>
      <xdr:rowOff>148770</xdr:rowOff>
    </xdr:from>
    <xdr:ext cx="2822169" cy="354328"/>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397630E-0D42-7BAF-6DD6-7D6A22141A54}"/>
                </a:ext>
              </a:extLst>
            </xdr:cNvPr>
            <xdr:cNvSpPr txBox="1"/>
          </xdr:nvSpPr>
          <xdr:spPr>
            <a:xfrm>
              <a:off x="13549540144" y="12340770"/>
              <a:ext cx="2822169"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kern="1200">
                            <a:latin typeface="Cambria Math" panose="02040503050406030204" pitchFamily="18" charset="0"/>
                          </a:rPr>
                        </m:ctrlPr>
                      </m:sSubPr>
                      <m:e>
                        <m:r>
                          <a:rPr lang="en-US" sz="1100" b="0" i="1" kern="1200">
                            <a:latin typeface="Cambria Math" panose="02040503050406030204" pitchFamily="18" charset="0"/>
                          </a:rPr>
                          <m:t>1+</m:t>
                        </m:r>
                        <m:r>
                          <a:rPr lang="en-US" sz="1100" b="0" i="1" kern="1200">
                            <a:latin typeface="Cambria Math" panose="02040503050406030204" pitchFamily="18" charset="0"/>
                          </a:rPr>
                          <m:t>𝑟</m:t>
                        </m:r>
                      </m:e>
                      <m:sub>
                        <m:r>
                          <a:rPr lang="en-US" sz="1100" b="0" i="1" kern="1200">
                            <a:latin typeface="Cambria Math" panose="02040503050406030204" pitchFamily="18" charset="0"/>
                          </a:rPr>
                          <m:t>𝑒</m:t>
                        </m:r>
                      </m:sub>
                    </m:sSub>
                    <m:r>
                      <a:rPr lang="en-US" sz="1100" b="0" i="1" kern="1200">
                        <a:latin typeface="Cambria Math" panose="02040503050406030204" pitchFamily="18" charset="0"/>
                      </a:rPr>
                      <m:t>=</m:t>
                    </m:r>
                    <m:sSup>
                      <m:sSupPr>
                        <m:ctrlPr>
                          <a:rPr lang="en-US" sz="1100" b="0" i="1" kern="1200">
                            <a:latin typeface="Cambria Math" panose="02040503050406030204" pitchFamily="18" charset="0"/>
                          </a:rPr>
                        </m:ctrlPr>
                      </m:sSupPr>
                      <m:e>
                        <m:d>
                          <m:dPr>
                            <m:ctrlPr>
                              <a:rPr lang="en-US" sz="1100" b="0" i="1" kern="1200">
                                <a:latin typeface="Cambria Math" panose="02040503050406030204" pitchFamily="18" charset="0"/>
                              </a:rPr>
                            </m:ctrlPr>
                          </m:dPr>
                          <m:e>
                            <m:r>
                              <a:rPr lang="en-US" sz="1100" b="0" i="1" kern="1200">
                                <a:latin typeface="Cambria Math" panose="02040503050406030204" pitchFamily="18" charset="0"/>
                              </a:rPr>
                              <m:t>1+</m:t>
                            </m:r>
                            <m:f>
                              <m:fPr>
                                <m:ctrlPr>
                                  <a:rPr lang="en-US" sz="1100" b="0" i="1" kern="1200">
                                    <a:latin typeface="Cambria Math" panose="02040503050406030204" pitchFamily="18" charset="0"/>
                                  </a:rPr>
                                </m:ctrlPr>
                              </m:fPr>
                              <m:num>
                                <m:r>
                                  <a:rPr lang="he-IL" sz="1100" b="0" i="1" kern="1200">
                                    <a:latin typeface="Cambria Math" panose="02040503050406030204" pitchFamily="18" charset="0"/>
                                  </a:rPr>
                                  <m:t>18%</m:t>
                                </m:r>
                              </m:num>
                              <m:den>
                                <m:r>
                                  <a:rPr lang="he-IL" sz="1100" b="0" i="1" kern="1200">
                                    <a:latin typeface="Cambria Math" panose="02040503050406030204" pitchFamily="18" charset="0"/>
                                  </a:rPr>
                                  <m:t>4</m:t>
                                </m:r>
                              </m:den>
                            </m:f>
                          </m:e>
                        </m:d>
                      </m:e>
                      <m:sup>
                        <m:r>
                          <a:rPr lang="he-IL" sz="1100" b="0" i="1" kern="1200">
                            <a:latin typeface="Cambria Math" panose="02040503050406030204" pitchFamily="18" charset="0"/>
                          </a:rPr>
                          <m:t>4</m:t>
                        </m:r>
                      </m:sup>
                    </m:sSup>
                  </m:oMath>
                </m:oMathPara>
              </a14:m>
              <a:endParaRPr lang="en-US" sz="1100" kern="1200"/>
            </a:p>
          </xdr:txBody>
        </xdr:sp>
      </mc:Choice>
      <mc:Fallback xmlns="">
        <xdr:sp macro="" textlink="">
          <xdr:nvSpPr>
            <xdr:cNvPr id="13" name="TextBox 12">
              <a:extLst>
                <a:ext uri="{FF2B5EF4-FFF2-40B4-BE49-F238E27FC236}">
                  <a16:creationId xmlns:a16="http://schemas.microsoft.com/office/drawing/2014/main" id="{5397630E-0D42-7BAF-6DD6-7D6A22141A54}"/>
                </a:ext>
              </a:extLst>
            </xdr:cNvPr>
            <xdr:cNvSpPr txBox="1"/>
          </xdr:nvSpPr>
          <xdr:spPr>
            <a:xfrm>
              <a:off x="13549540144" y="12340770"/>
              <a:ext cx="2822169"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kern="1200">
                  <a:latin typeface="Cambria Math" panose="02040503050406030204" pitchFamily="18" charset="0"/>
                </a:rPr>
                <a:t>〖1+𝑟〗_𝑒=(1+(</a:t>
              </a:r>
              <a:r>
                <a:rPr lang="he-IL" sz="1100" b="0" i="0" kern="1200">
                  <a:latin typeface="Cambria Math" panose="02040503050406030204" pitchFamily="18" charset="0"/>
                </a:rPr>
                <a:t>18%</a:t>
              </a:r>
              <a:r>
                <a:rPr lang="en-US" sz="1100" b="0" i="0" kern="1200">
                  <a:latin typeface="Cambria Math" panose="02040503050406030204" pitchFamily="18" charset="0"/>
                </a:rPr>
                <a:t>)/</a:t>
              </a:r>
              <a:r>
                <a:rPr lang="he-IL" sz="1100" b="0" i="0" kern="1200">
                  <a:latin typeface="Cambria Math" panose="02040503050406030204" pitchFamily="18" charset="0"/>
                </a:rPr>
                <a:t>4</a:t>
              </a:r>
              <a:r>
                <a:rPr lang="en-US" sz="1100" b="0" i="0" kern="1200">
                  <a:latin typeface="Cambria Math" panose="02040503050406030204" pitchFamily="18" charset="0"/>
                </a:rPr>
                <a:t>)^</a:t>
              </a:r>
              <a:r>
                <a:rPr lang="he-IL" sz="1100" b="0" i="0" kern="1200">
                  <a:latin typeface="Cambria Math" panose="02040503050406030204" pitchFamily="18" charset="0"/>
                </a:rPr>
                <a:t>4</a:t>
              </a:r>
              <a:endParaRPr lang="en-US" sz="1100" kern="1200"/>
            </a:p>
          </xdr:txBody>
        </xdr:sp>
      </mc:Fallback>
    </mc:AlternateContent>
    <xdr:clientData/>
  </xdr:oneCellAnchor>
  <xdr:oneCellAnchor>
    <xdr:from>
      <xdr:col>2</xdr:col>
      <xdr:colOff>776515</xdr:colOff>
      <xdr:row>111</xdr:row>
      <xdr:rowOff>116113</xdr:rowOff>
    </xdr:from>
    <xdr:ext cx="2822169" cy="354328"/>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023EC883-F8CD-D946-4097-24DF299F8AF7}"/>
                </a:ext>
              </a:extLst>
            </xdr:cNvPr>
            <xdr:cNvSpPr txBox="1"/>
          </xdr:nvSpPr>
          <xdr:spPr>
            <a:xfrm>
              <a:off x="13549540144" y="12714513"/>
              <a:ext cx="2822169"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kern="1200">
                            <a:latin typeface="Cambria Math" panose="02040503050406030204" pitchFamily="18" charset="0"/>
                          </a:rPr>
                        </m:ctrlPr>
                      </m:sSubPr>
                      <m:e>
                        <m:r>
                          <a:rPr lang="en-US" sz="1100" b="0" i="1" kern="1200">
                            <a:latin typeface="Cambria Math" panose="02040503050406030204" pitchFamily="18" charset="0"/>
                          </a:rPr>
                          <m:t>𝑟</m:t>
                        </m:r>
                      </m:e>
                      <m:sub>
                        <m:r>
                          <a:rPr lang="en-US" sz="1100" b="0" i="1" kern="1200">
                            <a:latin typeface="Cambria Math" panose="02040503050406030204" pitchFamily="18" charset="0"/>
                          </a:rPr>
                          <m:t>𝑒</m:t>
                        </m:r>
                      </m:sub>
                    </m:sSub>
                    <m:r>
                      <a:rPr lang="en-US" sz="1100" b="0" i="1" kern="1200">
                        <a:latin typeface="Cambria Math" panose="02040503050406030204" pitchFamily="18" charset="0"/>
                      </a:rPr>
                      <m:t>=</m:t>
                    </m:r>
                    <m:sSup>
                      <m:sSupPr>
                        <m:ctrlPr>
                          <a:rPr lang="en-US" sz="1100" b="0" i="1" kern="1200">
                            <a:latin typeface="Cambria Math" panose="02040503050406030204" pitchFamily="18" charset="0"/>
                          </a:rPr>
                        </m:ctrlPr>
                      </m:sSupPr>
                      <m:e>
                        <m:d>
                          <m:dPr>
                            <m:ctrlPr>
                              <a:rPr lang="en-US" sz="1100" b="0" i="1" kern="1200">
                                <a:latin typeface="Cambria Math" panose="02040503050406030204" pitchFamily="18" charset="0"/>
                              </a:rPr>
                            </m:ctrlPr>
                          </m:dPr>
                          <m:e>
                            <m:r>
                              <a:rPr lang="en-US" sz="1100" b="0" i="1" kern="1200">
                                <a:latin typeface="Cambria Math" panose="02040503050406030204" pitchFamily="18" charset="0"/>
                              </a:rPr>
                              <m:t>1+</m:t>
                            </m:r>
                            <m:f>
                              <m:fPr>
                                <m:ctrlPr>
                                  <a:rPr lang="en-US" sz="1100" b="0" i="1" kern="1200">
                                    <a:latin typeface="Cambria Math" panose="02040503050406030204" pitchFamily="18" charset="0"/>
                                  </a:rPr>
                                </m:ctrlPr>
                              </m:fPr>
                              <m:num>
                                <m:r>
                                  <a:rPr lang="he-IL" sz="1100" b="0" i="1" kern="1200">
                                    <a:latin typeface="Cambria Math" panose="02040503050406030204" pitchFamily="18" charset="0"/>
                                  </a:rPr>
                                  <m:t>18%</m:t>
                                </m:r>
                              </m:num>
                              <m:den>
                                <m:r>
                                  <a:rPr lang="he-IL" sz="1100" b="0" i="1" kern="1200">
                                    <a:latin typeface="Cambria Math" panose="02040503050406030204" pitchFamily="18" charset="0"/>
                                  </a:rPr>
                                  <m:t>4</m:t>
                                </m:r>
                              </m:den>
                            </m:f>
                          </m:e>
                        </m:d>
                      </m:e>
                      <m:sup>
                        <m:r>
                          <a:rPr lang="he-IL" sz="1100" b="0" i="1" kern="1200">
                            <a:latin typeface="Cambria Math" panose="02040503050406030204" pitchFamily="18" charset="0"/>
                          </a:rPr>
                          <m:t>4</m:t>
                        </m:r>
                      </m:sup>
                    </m:sSup>
                    <m:r>
                      <a:rPr lang="en-US" sz="1100" b="0" i="1" kern="1200">
                        <a:latin typeface="Cambria Math" panose="02040503050406030204" pitchFamily="18" charset="0"/>
                      </a:rPr>
                      <m:t>−1=19.25%</m:t>
                    </m:r>
                  </m:oMath>
                </m:oMathPara>
              </a14:m>
              <a:endParaRPr lang="en-US" sz="1100" kern="1200"/>
            </a:p>
          </xdr:txBody>
        </xdr:sp>
      </mc:Choice>
      <mc:Fallback xmlns="">
        <xdr:sp macro="" textlink="">
          <xdr:nvSpPr>
            <xdr:cNvPr id="14" name="TextBox 13">
              <a:extLst>
                <a:ext uri="{FF2B5EF4-FFF2-40B4-BE49-F238E27FC236}">
                  <a16:creationId xmlns:a16="http://schemas.microsoft.com/office/drawing/2014/main" id="{023EC883-F8CD-D946-4097-24DF299F8AF7}"/>
                </a:ext>
              </a:extLst>
            </xdr:cNvPr>
            <xdr:cNvSpPr txBox="1"/>
          </xdr:nvSpPr>
          <xdr:spPr>
            <a:xfrm>
              <a:off x="13549540144" y="12714513"/>
              <a:ext cx="2822169"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kern="1200">
                  <a:latin typeface="Cambria Math" panose="02040503050406030204" pitchFamily="18" charset="0"/>
                </a:rPr>
                <a:t>𝑟_𝑒=(1+(</a:t>
              </a:r>
              <a:r>
                <a:rPr lang="he-IL" sz="1100" b="0" i="0" kern="1200">
                  <a:latin typeface="Cambria Math" panose="02040503050406030204" pitchFamily="18" charset="0"/>
                </a:rPr>
                <a:t>18%</a:t>
              </a:r>
              <a:r>
                <a:rPr lang="en-US" sz="1100" b="0" i="0" kern="1200">
                  <a:latin typeface="Cambria Math" panose="02040503050406030204" pitchFamily="18" charset="0"/>
                </a:rPr>
                <a:t>)/</a:t>
              </a:r>
              <a:r>
                <a:rPr lang="he-IL" sz="1100" b="0" i="0" kern="1200">
                  <a:latin typeface="Cambria Math" panose="02040503050406030204" pitchFamily="18" charset="0"/>
                </a:rPr>
                <a:t>4</a:t>
              </a:r>
              <a:r>
                <a:rPr lang="en-US" sz="1100" b="0" i="0" kern="1200">
                  <a:latin typeface="Cambria Math" panose="02040503050406030204" pitchFamily="18" charset="0"/>
                </a:rPr>
                <a:t>)^</a:t>
              </a:r>
              <a:r>
                <a:rPr lang="he-IL" sz="1100" b="0" i="0" kern="1200">
                  <a:latin typeface="Cambria Math" panose="02040503050406030204" pitchFamily="18" charset="0"/>
                </a:rPr>
                <a:t>4</a:t>
              </a:r>
              <a:r>
                <a:rPr lang="en-US" sz="1100" b="0" i="0" kern="1200">
                  <a:latin typeface="Cambria Math" panose="02040503050406030204" pitchFamily="18" charset="0"/>
                </a:rPr>
                <a:t>−1=19.25%</a:t>
              </a:r>
              <a:endParaRPr lang="en-US" sz="1100" kern="1200"/>
            </a:p>
          </xdr:txBody>
        </xdr:sp>
      </mc:Fallback>
    </mc:AlternateContent>
    <xdr:clientData/>
  </xdr:oneCellAnchor>
  <xdr:twoCellAnchor editAs="oneCell">
    <xdr:from>
      <xdr:col>0</xdr:col>
      <xdr:colOff>0</xdr:colOff>
      <xdr:row>115</xdr:row>
      <xdr:rowOff>61687</xdr:rowOff>
    </xdr:from>
    <xdr:to>
      <xdr:col>7</xdr:col>
      <xdr:colOff>609600</xdr:colOff>
      <xdr:row>119</xdr:row>
      <xdr:rowOff>138739</xdr:rowOff>
    </xdr:to>
    <xdr:pic>
      <xdr:nvPicPr>
        <xdr:cNvPr id="15" name="Picture 14">
          <a:extLst>
            <a:ext uri="{FF2B5EF4-FFF2-40B4-BE49-F238E27FC236}">
              <a16:creationId xmlns:a16="http://schemas.microsoft.com/office/drawing/2014/main" id="{5B6375F4-61FD-8AB7-D1D1-AEB789A07516}"/>
            </a:ext>
          </a:extLst>
        </xdr:cNvPr>
        <xdr:cNvPicPr>
          <a:picLocks noChangeAspect="1"/>
        </xdr:cNvPicPr>
      </xdr:nvPicPr>
      <xdr:blipFill>
        <a:blip xmlns:r="http://schemas.openxmlformats.org/officeDocument/2006/relationships" r:embed="rId3"/>
        <a:stretch>
          <a:fillRect/>
        </a:stretch>
      </xdr:blipFill>
      <xdr:spPr>
        <a:xfrm>
          <a:off x="13548316457" y="13472887"/>
          <a:ext cx="6527800" cy="889852"/>
        </a:xfrm>
        <a:prstGeom prst="rect">
          <a:avLst/>
        </a:prstGeom>
      </xdr:spPr>
    </xdr:pic>
    <xdr:clientData/>
  </xdr:twoCellAnchor>
  <xdr:twoCellAnchor>
    <xdr:from>
      <xdr:col>1</xdr:col>
      <xdr:colOff>257629</xdr:colOff>
      <xdr:row>124</xdr:row>
      <xdr:rowOff>141514</xdr:rowOff>
    </xdr:from>
    <xdr:to>
      <xdr:col>7</xdr:col>
      <xdr:colOff>674914</xdr:colOff>
      <xdr:row>124</xdr:row>
      <xdr:rowOff>145143</xdr:rowOff>
    </xdr:to>
    <xdr:cxnSp macro="">
      <xdr:nvCxnSpPr>
        <xdr:cNvPr id="17" name="Straight Arrow Connector 16">
          <a:extLst>
            <a:ext uri="{FF2B5EF4-FFF2-40B4-BE49-F238E27FC236}">
              <a16:creationId xmlns:a16="http://schemas.microsoft.com/office/drawing/2014/main" id="{4B08CCCF-E016-EBA7-86C3-5A591DE7A69D}"/>
            </a:ext>
          </a:extLst>
        </xdr:cNvPr>
        <xdr:cNvCxnSpPr/>
      </xdr:nvCxnSpPr>
      <xdr:spPr>
        <a:xfrm>
          <a:off x="13548251143" y="15381514"/>
          <a:ext cx="5508171" cy="3629"/>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435430</xdr:colOff>
      <xdr:row>122</xdr:row>
      <xdr:rowOff>36286</xdr:rowOff>
    </xdr:from>
    <xdr:to>
      <xdr:col>6</xdr:col>
      <xdr:colOff>439058</xdr:colOff>
      <xdr:row>122</xdr:row>
      <xdr:rowOff>185059</xdr:rowOff>
    </xdr:to>
    <xdr:sp macro="" textlink="">
      <xdr:nvSpPr>
        <xdr:cNvPr id="20" name="Left Bracket 19">
          <a:extLst>
            <a:ext uri="{FF2B5EF4-FFF2-40B4-BE49-F238E27FC236}">
              <a16:creationId xmlns:a16="http://schemas.microsoft.com/office/drawing/2014/main" id="{20C59E5E-4A0A-BBEA-2248-50DF2D3686AF}"/>
            </a:ext>
          </a:extLst>
        </xdr:cNvPr>
        <xdr:cNvSpPr/>
      </xdr:nvSpPr>
      <xdr:spPr>
        <a:xfrm rot="5400000">
          <a:off x="13550145255" y="14115144"/>
          <a:ext cx="148773" cy="1658257"/>
        </a:xfrm>
        <a:prstGeom prst="leftBracket">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kern="1200"/>
        </a:p>
      </xdr:txBody>
    </xdr:sp>
    <xdr:clientData/>
  </xdr:twoCellAnchor>
  <xdr:twoCellAnchor>
    <xdr:from>
      <xdr:col>2</xdr:col>
      <xdr:colOff>424542</xdr:colOff>
      <xdr:row>122</xdr:row>
      <xdr:rowOff>32658</xdr:rowOff>
    </xdr:from>
    <xdr:to>
      <xdr:col>4</xdr:col>
      <xdr:colOff>377372</xdr:colOff>
      <xdr:row>122</xdr:row>
      <xdr:rowOff>185057</xdr:rowOff>
    </xdr:to>
    <xdr:sp macro="" textlink="">
      <xdr:nvSpPr>
        <xdr:cNvPr id="21" name="Left Bracket 20">
          <a:extLst>
            <a:ext uri="{FF2B5EF4-FFF2-40B4-BE49-F238E27FC236}">
              <a16:creationId xmlns:a16="http://schemas.microsoft.com/office/drawing/2014/main" id="{AC169BB9-0E0E-8C0C-DE87-97F2C9E96FED}"/>
            </a:ext>
          </a:extLst>
        </xdr:cNvPr>
        <xdr:cNvSpPr/>
      </xdr:nvSpPr>
      <xdr:spPr>
        <a:xfrm rot="5400000">
          <a:off x="13551834357" y="14153243"/>
          <a:ext cx="152399" cy="1607458"/>
        </a:xfrm>
        <a:prstGeom prst="leftBracket">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kern="1200"/>
        </a:p>
      </xdr:txBody>
    </xdr:sp>
    <xdr:clientData/>
  </xdr:twoCellAnchor>
  <xdr:twoCellAnchor editAs="oneCell">
    <xdr:from>
      <xdr:col>0</xdr:col>
      <xdr:colOff>7257</xdr:colOff>
      <xdr:row>215</xdr:row>
      <xdr:rowOff>181428</xdr:rowOff>
    </xdr:from>
    <xdr:to>
      <xdr:col>7</xdr:col>
      <xdr:colOff>511874</xdr:colOff>
      <xdr:row>225</xdr:row>
      <xdr:rowOff>10885</xdr:rowOff>
    </xdr:to>
    <xdr:pic>
      <xdr:nvPicPr>
        <xdr:cNvPr id="23" name="Picture 22">
          <a:extLst>
            <a:ext uri="{FF2B5EF4-FFF2-40B4-BE49-F238E27FC236}">
              <a16:creationId xmlns:a16="http://schemas.microsoft.com/office/drawing/2014/main" id="{F589613B-6461-0E49-8043-A8EA83BA3C0F}"/>
            </a:ext>
          </a:extLst>
        </xdr:cNvPr>
        <xdr:cNvPicPr>
          <a:picLocks noChangeAspect="1"/>
        </xdr:cNvPicPr>
      </xdr:nvPicPr>
      <xdr:blipFill>
        <a:blip xmlns:r="http://schemas.openxmlformats.org/officeDocument/2006/relationships" r:embed="rId4"/>
        <a:stretch>
          <a:fillRect/>
        </a:stretch>
      </xdr:blipFill>
      <xdr:spPr>
        <a:xfrm>
          <a:off x="13548414183" y="31532285"/>
          <a:ext cx="6422817" cy="1861457"/>
        </a:xfrm>
        <a:prstGeom prst="rect">
          <a:avLst/>
        </a:prstGeom>
      </xdr:spPr>
    </xdr:pic>
    <xdr:clientData/>
  </xdr:twoCellAnchor>
  <xdr:twoCellAnchor>
    <xdr:from>
      <xdr:col>4</xdr:col>
      <xdr:colOff>415494</xdr:colOff>
      <xdr:row>235</xdr:row>
      <xdr:rowOff>101914</xdr:rowOff>
    </xdr:from>
    <xdr:to>
      <xdr:col>5</xdr:col>
      <xdr:colOff>31358</xdr:colOff>
      <xdr:row>235</xdr:row>
      <xdr:rowOff>105833</xdr:rowOff>
    </xdr:to>
    <xdr:cxnSp macro="">
      <xdr:nvCxnSpPr>
        <xdr:cNvPr id="25" name="Straight Connector 24">
          <a:extLst>
            <a:ext uri="{FF2B5EF4-FFF2-40B4-BE49-F238E27FC236}">
              <a16:creationId xmlns:a16="http://schemas.microsoft.com/office/drawing/2014/main" id="{A21FFA2F-5ECD-5592-23CA-45B94CE750C5}"/>
            </a:ext>
          </a:extLst>
        </xdr:cNvPr>
        <xdr:cNvCxnSpPr/>
      </xdr:nvCxnSpPr>
      <xdr:spPr>
        <a:xfrm>
          <a:off x="13546588272" y="35614877"/>
          <a:ext cx="442932" cy="3919"/>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411574</xdr:colOff>
      <xdr:row>235</xdr:row>
      <xdr:rowOff>105834</xdr:rowOff>
    </xdr:from>
    <xdr:to>
      <xdr:col>4</xdr:col>
      <xdr:colOff>415494</xdr:colOff>
      <xdr:row>240</xdr:row>
      <xdr:rowOff>43117</xdr:rowOff>
    </xdr:to>
    <xdr:cxnSp macro="">
      <xdr:nvCxnSpPr>
        <xdr:cNvPr id="26" name="Straight Connector 25">
          <a:extLst>
            <a:ext uri="{FF2B5EF4-FFF2-40B4-BE49-F238E27FC236}">
              <a16:creationId xmlns:a16="http://schemas.microsoft.com/office/drawing/2014/main" id="{83D3F0CE-476E-2BB4-3B16-3D894B0A7689}"/>
            </a:ext>
          </a:extLst>
        </xdr:cNvPr>
        <xdr:cNvCxnSpPr/>
      </xdr:nvCxnSpPr>
      <xdr:spPr>
        <a:xfrm flipH="1">
          <a:off x="13547031204" y="35618797"/>
          <a:ext cx="3920" cy="956419"/>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1</xdr:colOff>
      <xdr:row>256</xdr:row>
      <xdr:rowOff>86234</xdr:rowOff>
    </xdr:from>
    <xdr:to>
      <xdr:col>6</xdr:col>
      <xdr:colOff>493890</xdr:colOff>
      <xdr:row>264</xdr:row>
      <xdr:rowOff>179712</xdr:rowOff>
    </xdr:to>
    <xdr:pic>
      <xdr:nvPicPr>
        <xdr:cNvPr id="28" name="Picture 27">
          <a:extLst>
            <a:ext uri="{FF2B5EF4-FFF2-40B4-BE49-F238E27FC236}">
              <a16:creationId xmlns:a16="http://schemas.microsoft.com/office/drawing/2014/main" id="{7C0908EB-1A0B-13DF-6C8A-B3F1737C1C47}"/>
            </a:ext>
          </a:extLst>
        </xdr:cNvPr>
        <xdr:cNvPicPr>
          <a:picLocks noChangeAspect="1"/>
        </xdr:cNvPicPr>
      </xdr:nvPicPr>
      <xdr:blipFill>
        <a:blip xmlns:r="http://schemas.openxmlformats.org/officeDocument/2006/relationships" r:embed="rId5"/>
        <a:stretch>
          <a:fillRect/>
        </a:stretch>
      </xdr:blipFill>
      <xdr:spPr>
        <a:xfrm>
          <a:off x="13545298672" y="39879567"/>
          <a:ext cx="5507253" cy="1724095"/>
        </a:xfrm>
        <a:prstGeom prst="rect">
          <a:avLst/>
        </a:prstGeom>
      </xdr:spPr>
    </xdr:pic>
    <xdr:clientData/>
  </xdr:twoCellAnchor>
  <xdr:twoCellAnchor editAs="oneCell">
    <xdr:from>
      <xdr:col>0</xdr:col>
      <xdr:colOff>0</xdr:colOff>
      <xdr:row>280</xdr:row>
      <xdr:rowOff>43118</xdr:rowOff>
    </xdr:from>
    <xdr:to>
      <xdr:col>7</xdr:col>
      <xdr:colOff>729075</xdr:colOff>
      <xdr:row>290</xdr:row>
      <xdr:rowOff>35990</xdr:rowOff>
    </xdr:to>
    <xdr:pic>
      <xdr:nvPicPr>
        <xdr:cNvPr id="29" name="Picture 28">
          <a:extLst>
            <a:ext uri="{FF2B5EF4-FFF2-40B4-BE49-F238E27FC236}">
              <a16:creationId xmlns:a16="http://schemas.microsoft.com/office/drawing/2014/main" id="{9F626E73-4A17-69EE-9946-77223156FE9C}"/>
            </a:ext>
          </a:extLst>
        </xdr:cNvPr>
        <xdr:cNvPicPr>
          <a:picLocks noChangeAspect="1"/>
        </xdr:cNvPicPr>
      </xdr:nvPicPr>
      <xdr:blipFill>
        <a:blip xmlns:r="http://schemas.openxmlformats.org/officeDocument/2006/relationships" r:embed="rId6"/>
        <a:stretch>
          <a:fillRect/>
        </a:stretch>
      </xdr:blipFill>
      <xdr:spPr>
        <a:xfrm>
          <a:off x="13544161944" y="44728303"/>
          <a:ext cx="6643982" cy="2031144"/>
        </a:xfrm>
        <a:prstGeom prst="rect">
          <a:avLst/>
        </a:prstGeom>
      </xdr:spPr>
    </xdr:pic>
    <xdr:clientData/>
  </xdr:twoCellAnchor>
  <xdr:twoCellAnchor editAs="oneCell">
    <xdr:from>
      <xdr:col>0</xdr:col>
      <xdr:colOff>0</xdr:colOff>
      <xdr:row>301</xdr:row>
      <xdr:rowOff>204107</xdr:rowOff>
    </xdr:from>
    <xdr:to>
      <xdr:col>5</xdr:col>
      <xdr:colOff>741913</xdr:colOff>
      <xdr:row>309</xdr:row>
      <xdr:rowOff>90734</xdr:rowOff>
    </xdr:to>
    <xdr:pic>
      <xdr:nvPicPr>
        <xdr:cNvPr id="30" name="Picture 29">
          <a:extLst>
            <a:ext uri="{FF2B5EF4-FFF2-40B4-BE49-F238E27FC236}">
              <a16:creationId xmlns:a16="http://schemas.microsoft.com/office/drawing/2014/main" id="{8E433B54-DCDB-BEB5-A8E9-D813E2C26BE8}"/>
            </a:ext>
          </a:extLst>
        </xdr:cNvPr>
        <xdr:cNvPicPr>
          <a:picLocks noChangeAspect="1"/>
        </xdr:cNvPicPr>
      </xdr:nvPicPr>
      <xdr:blipFill>
        <a:blip xmlns:r="http://schemas.openxmlformats.org/officeDocument/2006/relationships" r:embed="rId7"/>
        <a:stretch>
          <a:fillRect/>
        </a:stretch>
      </xdr:blipFill>
      <xdr:spPr>
        <a:xfrm>
          <a:off x="13530810026" y="49649872"/>
          <a:ext cx="4921250" cy="1519484"/>
        </a:xfrm>
        <a:prstGeom prst="rect">
          <a:avLst/>
        </a:prstGeom>
      </xdr:spPr>
    </xdr:pic>
    <xdr:clientData/>
  </xdr:twoCellAnchor>
  <xdr:twoCellAnchor editAs="oneCell">
    <xdr:from>
      <xdr:col>0</xdr:col>
      <xdr:colOff>0</xdr:colOff>
      <xdr:row>3</xdr:row>
      <xdr:rowOff>16424</xdr:rowOff>
    </xdr:from>
    <xdr:to>
      <xdr:col>7</xdr:col>
      <xdr:colOff>503365</xdr:colOff>
      <xdr:row>13</xdr:row>
      <xdr:rowOff>1</xdr:rowOff>
    </xdr:to>
    <xdr:pic>
      <xdr:nvPicPr>
        <xdr:cNvPr id="9" name="Picture 8">
          <a:extLst>
            <a:ext uri="{FF2B5EF4-FFF2-40B4-BE49-F238E27FC236}">
              <a16:creationId xmlns:a16="http://schemas.microsoft.com/office/drawing/2014/main" id="{37DDF41E-EE55-3336-C9C5-5159FFFB09BA}"/>
            </a:ext>
          </a:extLst>
        </xdr:cNvPr>
        <xdr:cNvPicPr>
          <a:picLocks noChangeAspect="1"/>
        </xdr:cNvPicPr>
      </xdr:nvPicPr>
      <xdr:blipFill>
        <a:blip xmlns:r="http://schemas.openxmlformats.org/officeDocument/2006/relationships" r:embed="rId8"/>
        <a:stretch>
          <a:fillRect/>
        </a:stretch>
      </xdr:blipFill>
      <xdr:spPr>
        <a:xfrm>
          <a:off x="13536640126" y="624053"/>
          <a:ext cx="6415434" cy="2009008"/>
        </a:xfrm>
        <a:prstGeom prst="rect">
          <a:avLst/>
        </a:prstGeom>
      </xdr:spPr>
    </xdr:pic>
    <xdr:clientData/>
  </xdr:twoCellAnchor>
  <xdr:twoCellAnchor>
    <xdr:from>
      <xdr:col>0</xdr:col>
      <xdr:colOff>405086</xdr:colOff>
      <xdr:row>16</xdr:row>
      <xdr:rowOff>104008</xdr:rowOff>
    </xdr:from>
    <xdr:to>
      <xdr:col>7</xdr:col>
      <xdr:colOff>520042</xdr:colOff>
      <xdr:row>16</xdr:row>
      <xdr:rowOff>114956</xdr:rowOff>
    </xdr:to>
    <xdr:cxnSp macro="">
      <xdr:nvCxnSpPr>
        <xdr:cNvPr id="18" name="Straight Arrow Connector 17">
          <a:extLst>
            <a:ext uri="{FF2B5EF4-FFF2-40B4-BE49-F238E27FC236}">
              <a16:creationId xmlns:a16="http://schemas.microsoft.com/office/drawing/2014/main" id="{9EFE8E9D-D879-E07C-1929-240473F0CB20}"/>
            </a:ext>
          </a:extLst>
        </xdr:cNvPr>
        <xdr:cNvCxnSpPr/>
      </xdr:nvCxnSpPr>
      <xdr:spPr>
        <a:xfrm>
          <a:off x="13536623449" y="3344698"/>
          <a:ext cx="6027025" cy="1094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366767</xdr:colOff>
      <xdr:row>16</xdr:row>
      <xdr:rowOff>38317</xdr:rowOff>
    </xdr:from>
    <xdr:to>
      <xdr:col>6</xdr:col>
      <xdr:colOff>454353</xdr:colOff>
      <xdr:row>17</xdr:row>
      <xdr:rowOff>120429</xdr:rowOff>
    </xdr:to>
    <xdr:sp macro="" textlink="">
      <xdr:nvSpPr>
        <xdr:cNvPr id="19" name="Left Brace 18">
          <a:extLst>
            <a:ext uri="{FF2B5EF4-FFF2-40B4-BE49-F238E27FC236}">
              <a16:creationId xmlns:a16="http://schemas.microsoft.com/office/drawing/2014/main" id="{A4DB49DD-A4D8-AF02-E562-2F58441184A4}"/>
            </a:ext>
          </a:extLst>
        </xdr:cNvPr>
        <xdr:cNvSpPr/>
      </xdr:nvSpPr>
      <xdr:spPr>
        <a:xfrm rot="16200000">
          <a:off x="13537907134" y="2964244"/>
          <a:ext cx="284655" cy="914181"/>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3</xdr:col>
      <xdr:colOff>175171</xdr:colOff>
      <xdr:row>16</xdr:row>
      <xdr:rowOff>32843</xdr:rowOff>
    </xdr:from>
    <xdr:to>
      <xdr:col>4</xdr:col>
      <xdr:colOff>476248</xdr:colOff>
      <xdr:row>17</xdr:row>
      <xdr:rowOff>104008</xdr:rowOff>
    </xdr:to>
    <xdr:sp macro="" textlink="">
      <xdr:nvSpPr>
        <xdr:cNvPr id="22" name="Left Brace 21">
          <a:extLst>
            <a:ext uri="{FF2B5EF4-FFF2-40B4-BE49-F238E27FC236}">
              <a16:creationId xmlns:a16="http://schemas.microsoft.com/office/drawing/2014/main" id="{96D4BAD7-7A08-FBE1-5B37-CC681DF022C5}"/>
            </a:ext>
          </a:extLst>
        </xdr:cNvPr>
        <xdr:cNvSpPr/>
      </xdr:nvSpPr>
      <xdr:spPr>
        <a:xfrm rot="16200000">
          <a:off x="13539650647" y="2846551"/>
          <a:ext cx="273708" cy="1127672"/>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4</xdr:col>
      <xdr:colOff>448879</xdr:colOff>
      <xdr:row>14</xdr:row>
      <xdr:rowOff>60141</xdr:rowOff>
    </xdr:from>
    <xdr:to>
      <xdr:col>5</xdr:col>
      <xdr:colOff>322974</xdr:colOff>
      <xdr:row>15</xdr:row>
      <xdr:rowOff>16422</xdr:rowOff>
    </xdr:to>
    <xdr:sp macro="" textlink="">
      <xdr:nvSpPr>
        <xdr:cNvPr id="24" name="Freeform 23">
          <a:extLst>
            <a:ext uri="{FF2B5EF4-FFF2-40B4-BE49-F238E27FC236}">
              <a16:creationId xmlns:a16="http://schemas.microsoft.com/office/drawing/2014/main" id="{9066BB25-9A01-38B7-E304-9AE8DAC48C24}"/>
            </a:ext>
          </a:extLst>
        </xdr:cNvPr>
        <xdr:cNvSpPr/>
      </xdr:nvSpPr>
      <xdr:spPr>
        <a:xfrm>
          <a:off x="13538550345" y="2895744"/>
          <a:ext cx="700689" cy="158825"/>
        </a:xfrm>
        <a:custGeom>
          <a:avLst/>
          <a:gdLst>
            <a:gd name="connsiteX0" fmla="*/ 700689 w 700689"/>
            <a:gd name="connsiteY0" fmla="*/ 142403 h 158825"/>
            <a:gd name="connsiteX1" fmla="*/ 437931 w 700689"/>
            <a:gd name="connsiteY1" fmla="*/ 75 h 158825"/>
            <a:gd name="connsiteX2" fmla="*/ 0 w 700689"/>
            <a:gd name="connsiteY2" fmla="*/ 158825 h 158825"/>
          </a:gdLst>
          <a:ahLst/>
          <a:cxnLst>
            <a:cxn ang="0">
              <a:pos x="connsiteX0" y="connsiteY0"/>
            </a:cxn>
            <a:cxn ang="0">
              <a:pos x="connsiteX1" y="connsiteY1"/>
            </a:cxn>
            <a:cxn ang="0">
              <a:pos x="connsiteX2" y="connsiteY2"/>
            </a:cxn>
          </a:cxnLst>
          <a:rect l="l" t="t" r="r" b="b"/>
          <a:pathLst>
            <a:path w="700689" h="158825">
              <a:moveTo>
                <a:pt x="700689" y="142403"/>
              </a:moveTo>
              <a:cubicBezTo>
                <a:pt x="627700" y="69870"/>
                <a:pt x="554712" y="-2662"/>
                <a:pt x="437931" y="75"/>
              </a:cubicBezTo>
              <a:cubicBezTo>
                <a:pt x="321150" y="2812"/>
                <a:pt x="160575" y="80818"/>
                <a:pt x="0" y="158825"/>
              </a:cubicBezTo>
            </a:path>
          </a:pathLst>
        </a:cu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4</xdr:col>
      <xdr:colOff>717111</xdr:colOff>
      <xdr:row>34</xdr:row>
      <xdr:rowOff>153275</xdr:rowOff>
    </xdr:from>
    <xdr:to>
      <xdr:col>5</xdr:col>
      <xdr:colOff>71164</xdr:colOff>
      <xdr:row>36</xdr:row>
      <xdr:rowOff>71164</xdr:rowOff>
    </xdr:to>
    <xdr:cxnSp macro="">
      <xdr:nvCxnSpPr>
        <xdr:cNvPr id="31" name="Straight Arrow Connector 30">
          <a:extLst>
            <a:ext uri="{FF2B5EF4-FFF2-40B4-BE49-F238E27FC236}">
              <a16:creationId xmlns:a16="http://schemas.microsoft.com/office/drawing/2014/main" id="{E5660FD3-ADA9-E1F5-A1DA-628F2A709394}"/>
            </a:ext>
          </a:extLst>
        </xdr:cNvPr>
        <xdr:cNvCxnSpPr/>
      </xdr:nvCxnSpPr>
      <xdr:spPr>
        <a:xfrm>
          <a:off x="13538802155" y="7039741"/>
          <a:ext cx="180647" cy="3229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596681</xdr:colOff>
      <xdr:row>34</xdr:row>
      <xdr:rowOff>98534</xdr:rowOff>
    </xdr:from>
    <xdr:to>
      <xdr:col>4</xdr:col>
      <xdr:colOff>98535</xdr:colOff>
      <xdr:row>34</xdr:row>
      <xdr:rowOff>98534</xdr:rowOff>
    </xdr:to>
    <xdr:cxnSp macro="">
      <xdr:nvCxnSpPr>
        <xdr:cNvPr id="32" name="Straight Arrow Connector 31">
          <a:extLst>
            <a:ext uri="{FF2B5EF4-FFF2-40B4-BE49-F238E27FC236}">
              <a16:creationId xmlns:a16="http://schemas.microsoft.com/office/drawing/2014/main" id="{7A06C24B-AA12-3613-CF75-8EC7C64AE7FF}"/>
            </a:ext>
          </a:extLst>
        </xdr:cNvPr>
        <xdr:cNvCxnSpPr/>
      </xdr:nvCxnSpPr>
      <xdr:spPr>
        <a:xfrm>
          <a:off x="13539601378" y="6985000"/>
          <a:ext cx="328449"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147801</xdr:colOff>
      <xdr:row>160</xdr:row>
      <xdr:rowOff>43793</xdr:rowOff>
    </xdr:from>
    <xdr:to>
      <xdr:col>7</xdr:col>
      <xdr:colOff>457338</xdr:colOff>
      <xdr:row>169</xdr:row>
      <xdr:rowOff>21896</xdr:rowOff>
    </xdr:to>
    <xdr:pic>
      <xdr:nvPicPr>
        <xdr:cNvPr id="34" name="Picture 33">
          <a:extLst>
            <a:ext uri="{FF2B5EF4-FFF2-40B4-BE49-F238E27FC236}">
              <a16:creationId xmlns:a16="http://schemas.microsoft.com/office/drawing/2014/main" id="{F29EF53B-FEEB-006B-E14E-586EF99E31A9}"/>
            </a:ext>
          </a:extLst>
        </xdr:cNvPr>
        <xdr:cNvPicPr>
          <a:picLocks noChangeAspect="1"/>
        </xdr:cNvPicPr>
      </xdr:nvPicPr>
      <xdr:blipFill>
        <a:blip xmlns:r="http://schemas.openxmlformats.org/officeDocument/2006/relationships" r:embed="rId9"/>
        <a:stretch>
          <a:fillRect/>
        </a:stretch>
      </xdr:blipFill>
      <xdr:spPr>
        <a:xfrm>
          <a:off x="13536686153" y="32472586"/>
          <a:ext cx="6221606" cy="180099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3</xdr:col>
      <xdr:colOff>588669</xdr:colOff>
      <xdr:row>16</xdr:row>
      <xdr:rowOff>117842</xdr:rowOff>
    </xdr:from>
    <xdr:ext cx="1626836" cy="34015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312EC3A-8452-8447-838B-F6AC85437819}"/>
                </a:ext>
              </a:extLst>
            </xdr:cNvPr>
            <xdr:cNvSpPr txBox="1"/>
          </xdr:nvSpPr>
          <xdr:spPr>
            <a:xfrm>
              <a:off x="13520414295" y="3800842"/>
              <a:ext cx="1626836"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𝑅</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2" name="TextBox 1">
              <a:extLst>
                <a:ext uri="{FF2B5EF4-FFF2-40B4-BE49-F238E27FC236}">
                  <a16:creationId xmlns:a16="http://schemas.microsoft.com/office/drawing/2014/main" id="{9312EC3A-8452-8447-838B-F6AC85437819}"/>
                </a:ext>
              </a:extLst>
            </xdr:cNvPr>
            <xdr:cNvSpPr txBox="1"/>
          </xdr:nvSpPr>
          <xdr:spPr>
            <a:xfrm>
              <a:off x="13520414295" y="3800842"/>
              <a:ext cx="1626836"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𝑟_𝑒=(1+𝑅/𝑛)^𝑚−1</a:t>
              </a:r>
              <a:endParaRPr lang="en-US" sz="1100"/>
            </a:p>
          </xdr:txBody>
        </xdr:sp>
      </mc:Fallback>
    </mc:AlternateContent>
    <xdr:clientData/>
  </xdr:oneCellAnchor>
  <xdr:oneCellAnchor>
    <xdr:from>
      <xdr:col>2</xdr:col>
      <xdr:colOff>637727</xdr:colOff>
      <xdr:row>18</xdr:row>
      <xdr:rowOff>117842</xdr:rowOff>
    </xdr:from>
    <xdr:ext cx="2362673" cy="354328"/>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2E71C91-D122-1D4B-80E5-0073C8F23AB5}"/>
                </a:ext>
              </a:extLst>
            </xdr:cNvPr>
            <xdr:cNvSpPr txBox="1"/>
          </xdr:nvSpPr>
          <xdr:spPr>
            <a:xfrm>
              <a:off x="13520454900" y="4207242"/>
              <a:ext cx="2362673"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he-IL" sz="1100" b="0" i="1">
                                    <a:latin typeface="Cambria Math" panose="02040503050406030204" pitchFamily="18" charset="0"/>
                                  </a:rPr>
                                </m:ctrlPr>
                              </m:fPr>
                              <m:num>
                                <m:r>
                                  <a:rPr lang="he-IL" sz="1100" b="0" i="1">
                                    <a:latin typeface="Cambria Math" panose="02040503050406030204" pitchFamily="18" charset="0"/>
                                  </a:rPr>
                                  <m:t>20%</m:t>
                                </m:r>
                              </m:num>
                              <m:den>
                                <m:r>
                                  <a:rPr lang="he-IL" sz="1100" b="0" i="1">
                                    <a:latin typeface="Cambria Math" panose="02040503050406030204" pitchFamily="18" charset="0"/>
                                  </a:rPr>
                                  <m:t>4</m:t>
                                </m:r>
                              </m:den>
                            </m:f>
                          </m:e>
                        </m:d>
                      </m:e>
                      <m:sup>
                        <m:r>
                          <a:rPr lang="he-IL" sz="1100" b="0" i="1">
                            <a:latin typeface="Cambria Math" panose="02040503050406030204" pitchFamily="18" charset="0"/>
                          </a:rPr>
                          <m:t>4</m:t>
                        </m:r>
                      </m:sup>
                    </m:sSup>
                    <m:r>
                      <a:rPr lang="en-US" sz="1100" b="0" i="1">
                        <a:latin typeface="Cambria Math" panose="02040503050406030204" pitchFamily="18" charset="0"/>
                      </a:rPr>
                      <m:t>−1</m:t>
                    </m:r>
                    <m:r>
                      <a:rPr lang="he-IL" sz="1100" b="0" i="1">
                        <a:latin typeface="Cambria Math" panose="02040503050406030204" pitchFamily="18" charset="0"/>
                      </a:rPr>
                      <m:t>=21.55%</m:t>
                    </m:r>
                  </m:oMath>
                </m:oMathPara>
              </a14:m>
              <a:endParaRPr lang="en-US" sz="1100"/>
            </a:p>
          </xdr:txBody>
        </xdr:sp>
      </mc:Choice>
      <mc:Fallback xmlns="">
        <xdr:sp macro="" textlink="">
          <xdr:nvSpPr>
            <xdr:cNvPr id="3" name="TextBox 2">
              <a:extLst>
                <a:ext uri="{FF2B5EF4-FFF2-40B4-BE49-F238E27FC236}">
                  <a16:creationId xmlns:a16="http://schemas.microsoft.com/office/drawing/2014/main" id="{D2E71C91-D122-1D4B-80E5-0073C8F23AB5}"/>
                </a:ext>
              </a:extLst>
            </xdr:cNvPr>
            <xdr:cNvSpPr txBox="1"/>
          </xdr:nvSpPr>
          <xdr:spPr>
            <a:xfrm>
              <a:off x="13520454900" y="4207242"/>
              <a:ext cx="2362673"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a:t>
              </a:r>
              <a:r>
                <a:rPr lang="he-IL" sz="1100" b="0" i="0">
                  <a:latin typeface="Cambria Math" panose="02040503050406030204" pitchFamily="18" charset="0"/>
                </a:rPr>
                <a:t>(20%)/4)</a:t>
              </a:r>
              <a:r>
                <a:rPr lang="en-US" sz="1100" b="0" i="0">
                  <a:latin typeface="Cambria Math" panose="02040503050406030204" pitchFamily="18" charset="0"/>
                </a:rPr>
                <a:t>^</a:t>
              </a:r>
              <a:r>
                <a:rPr lang="he-IL" sz="1100" b="0" i="0">
                  <a:latin typeface="Cambria Math" panose="02040503050406030204" pitchFamily="18" charset="0"/>
                </a:rPr>
                <a:t>4</a:t>
              </a:r>
              <a:r>
                <a:rPr lang="en-US" sz="1100" b="0" i="0">
                  <a:latin typeface="Cambria Math" panose="02040503050406030204" pitchFamily="18" charset="0"/>
                </a:rPr>
                <a:t>−1</a:t>
              </a:r>
              <a:r>
                <a:rPr lang="he-IL" sz="1100" b="0" i="0">
                  <a:latin typeface="Cambria Math" panose="02040503050406030204" pitchFamily="18" charset="0"/>
                </a:rPr>
                <a:t>=21.55%</a:t>
              </a:r>
              <a:endParaRPr lang="en-US" sz="1100"/>
            </a:p>
          </xdr:txBody>
        </xdr:sp>
      </mc:Fallback>
    </mc:AlternateContent>
    <xdr:clientData/>
  </xdr:oneCellAnchor>
  <xdr:oneCellAnchor>
    <xdr:from>
      <xdr:col>2</xdr:col>
      <xdr:colOff>327040</xdr:colOff>
      <xdr:row>25</xdr:row>
      <xdr:rowOff>30631</xdr:rowOff>
    </xdr:from>
    <xdr:ext cx="2362673" cy="35432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BF40832-A9AD-AF43-A31C-44BEABAC27E4}"/>
                </a:ext>
              </a:extLst>
            </xdr:cNvPr>
            <xdr:cNvSpPr txBox="1"/>
          </xdr:nvSpPr>
          <xdr:spPr>
            <a:xfrm>
              <a:off x="13520765587" y="5567831"/>
              <a:ext cx="2362673"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he-IL" sz="1100" b="0" i="1">
                                    <a:latin typeface="Cambria Math" panose="02040503050406030204" pitchFamily="18" charset="0"/>
                                  </a:rPr>
                                </m:ctrlPr>
                              </m:fPr>
                              <m:num>
                                <m:r>
                                  <a:rPr lang="he-IL" sz="1100" b="0" i="1">
                                    <a:latin typeface="Cambria Math" panose="02040503050406030204" pitchFamily="18" charset="0"/>
                                  </a:rPr>
                                  <m:t>19%</m:t>
                                </m:r>
                              </m:num>
                              <m:den>
                                <m:r>
                                  <a:rPr lang="he-IL" sz="1100" b="0" i="1">
                                    <a:latin typeface="Cambria Math" panose="02040503050406030204" pitchFamily="18" charset="0"/>
                                  </a:rPr>
                                  <m:t>12</m:t>
                                </m:r>
                              </m:den>
                            </m:f>
                          </m:e>
                        </m:d>
                      </m:e>
                      <m:sup>
                        <m:r>
                          <a:rPr lang="he-IL" sz="1100" b="0" i="1">
                            <a:latin typeface="Cambria Math" panose="02040503050406030204" pitchFamily="18" charset="0"/>
                          </a:rPr>
                          <m:t>12</m:t>
                        </m:r>
                      </m:sup>
                    </m:sSup>
                    <m:r>
                      <a:rPr lang="en-US" sz="1100" b="0" i="1">
                        <a:latin typeface="Cambria Math" panose="02040503050406030204" pitchFamily="18" charset="0"/>
                      </a:rPr>
                      <m:t>−1</m:t>
                    </m:r>
                    <m:r>
                      <a:rPr lang="he-IL" sz="1100" b="0" i="1">
                        <a:latin typeface="Cambria Math" panose="02040503050406030204" pitchFamily="18" charset="0"/>
                      </a:rPr>
                      <m:t>=20.75%</m:t>
                    </m:r>
                  </m:oMath>
                </m:oMathPara>
              </a14:m>
              <a:endParaRPr lang="en-US" sz="1100"/>
            </a:p>
          </xdr:txBody>
        </xdr:sp>
      </mc:Choice>
      <mc:Fallback xmlns="">
        <xdr:sp macro="" textlink="">
          <xdr:nvSpPr>
            <xdr:cNvPr id="4" name="TextBox 3">
              <a:extLst>
                <a:ext uri="{FF2B5EF4-FFF2-40B4-BE49-F238E27FC236}">
                  <a16:creationId xmlns:a16="http://schemas.microsoft.com/office/drawing/2014/main" id="{4BF40832-A9AD-AF43-A31C-44BEABAC27E4}"/>
                </a:ext>
              </a:extLst>
            </xdr:cNvPr>
            <xdr:cNvSpPr txBox="1"/>
          </xdr:nvSpPr>
          <xdr:spPr>
            <a:xfrm>
              <a:off x="13520765587" y="5567831"/>
              <a:ext cx="2362673"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a:t>
              </a:r>
              <a:r>
                <a:rPr lang="he-IL" sz="1100" b="0" i="0">
                  <a:latin typeface="Cambria Math" panose="02040503050406030204" pitchFamily="18" charset="0"/>
                </a:rPr>
                <a:t>(19%)/12)</a:t>
              </a:r>
              <a:r>
                <a:rPr lang="en-US" sz="1100" b="0" i="0">
                  <a:latin typeface="Cambria Math" panose="02040503050406030204" pitchFamily="18" charset="0"/>
                </a:rPr>
                <a:t>^</a:t>
              </a:r>
              <a:r>
                <a:rPr lang="he-IL" sz="1100" b="0" i="0">
                  <a:latin typeface="Cambria Math" panose="02040503050406030204" pitchFamily="18" charset="0"/>
                </a:rPr>
                <a:t>12</a:t>
              </a:r>
              <a:r>
                <a:rPr lang="en-US" sz="1100" b="0" i="0">
                  <a:latin typeface="Cambria Math" panose="02040503050406030204" pitchFamily="18" charset="0"/>
                </a:rPr>
                <a:t>−1</a:t>
              </a:r>
              <a:r>
                <a:rPr lang="he-IL" sz="1100" b="0" i="0">
                  <a:latin typeface="Cambria Math" panose="02040503050406030204" pitchFamily="18" charset="0"/>
                </a:rPr>
                <a:t>=20.75%</a:t>
              </a:r>
              <a:endParaRPr lang="en-US" sz="1100"/>
            </a:p>
          </xdr:txBody>
        </xdr:sp>
      </mc:Fallback>
    </mc:AlternateContent>
    <xdr:clientData/>
  </xdr:oneCellAnchor>
  <xdr:oneCellAnchor>
    <xdr:from>
      <xdr:col>2</xdr:col>
      <xdr:colOff>610475</xdr:colOff>
      <xdr:row>31</xdr:row>
      <xdr:rowOff>112391</xdr:rowOff>
    </xdr:from>
    <xdr:ext cx="2362673" cy="172227"/>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73B0B21-C9E0-954C-AC41-2D68C6B782AF}"/>
                </a:ext>
              </a:extLst>
            </xdr:cNvPr>
            <xdr:cNvSpPr txBox="1"/>
          </xdr:nvSpPr>
          <xdr:spPr>
            <a:xfrm>
              <a:off x="13520482152" y="6894191"/>
              <a:ext cx="236267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r>
                      <a:rPr lang="he-IL" sz="1100" b="0" i="1">
                        <a:latin typeface="Cambria Math" panose="02040503050406030204" pitchFamily="18" charset="0"/>
                      </a:rPr>
                      <m:t>21%</m:t>
                    </m:r>
                  </m:oMath>
                </m:oMathPara>
              </a14:m>
              <a:endParaRPr lang="en-US" sz="1100"/>
            </a:p>
          </xdr:txBody>
        </xdr:sp>
      </mc:Choice>
      <mc:Fallback xmlns="">
        <xdr:sp macro="" textlink="">
          <xdr:nvSpPr>
            <xdr:cNvPr id="5" name="TextBox 4">
              <a:extLst>
                <a:ext uri="{FF2B5EF4-FFF2-40B4-BE49-F238E27FC236}">
                  <a16:creationId xmlns:a16="http://schemas.microsoft.com/office/drawing/2014/main" id="{073B0B21-C9E0-954C-AC41-2D68C6B782AF}"/>
                </a:ext>
              </a:extLst>
            </xdr:cNvPr>
            <xdr:cNvSpPr txBox="1"/>
          </xdr:nvSpPr>
          <xdr:spPr>
            <a:xfrm>
              <a:off x="13520482152" y="6894191"/>
              <a:ext cx="236267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a:t>
              </a:r>
              <a:r>
                <a:rPr lang="he-IL" sz="1100" b="0" i="0">
                  <a:latin typeface="Cambria Math" panose="02040503050406030204" pitchFamily="18" charset="0"/>
                </a:rPr>
                <a:t>21%</a:t>
              </a:r>
              <a:endParaRPr lang="en-US" sz="1100"/>
            </a:p>
          </xdr:txBody>
        </xdr:sp>
      </mc:Fallback>
    </mc:AlternateContent>
    <xdr:clientData/>
  </xdr:oneCellAnchor>
  <xdr:oneCellAnchor>
    <xdr:from>
      <xdr:col>2</xdr:col>
      <xdr:colOff>610475</xdr:colOff>
      <xdr:row>37</xdr:row>
      <xdr:rowOff>112391</xdr:rowOff>
    </xdr:from>
    <xdr:ext cx="2362673" cy="31797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2FE0530-2550-C94B-A1EF-0FD8CF6E2222}"/>
                </a:ext>
              </a:extLst>
            </xdr:cNvPr>
            <xdr:cNvSpPr txBox="1"/>
          </xdr:nvSpPr>
          <xdr:spPr>
            <a:xfrm>
              <a:off x="13520482152" y="8138791"/>
              <a:ext cx="2362673" cy="3179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he-IL" sz="1100" b="0" i="1">
                            <a:latin typeface="Cambria Math" panose="02040503050406030204" pitchFamily="18" charset="0"/>
                          </a:rPr>
                        </m:ctrlPr>
                      </m:fPr>
                      <m:num>
                        <m:r>
                          <a:rPr lang="en-US" sz="1100" b="0" i="1">
                            <a:latin typeface="Cambria Math" panose="02040503050406030204" pitchFamily="18" charset="0"/>
                          </a:rPr>
                          <m:t>1</m:t>
                        </m:r>
                      </m:num>
                      <m:den>
                        <m:r>
                          <a:rPr lang="he-IL" sz="1100" b="0" i="1">
                            <a:latin typeface="Cambria Math" panose="02040503050406030204" pitchFamily="18" charset="0"/>
                          </a:rPr>
                          <m:t>1−</m:t>
                        </m:r>
                        <m:r>
                          <a:rPr lang="en-US" sz="1100" b="0" i="1">
                            <a:latin typeface="Cambria Math" panose="02040503050406030204" pitchFamily="18" charset="0"/>
                          </a:rPr>
                          <m:t>𝑑</m:t>
                        </m:r>
                      </m:den>
                    </m:f>
                    <m:r>
                      <a:rPr lang="en-US" sz="1100" b="0" i="1">
                        <a:latin typeface="Cambria Math" panose="02040503050406030204" pitchFamily="18" charset="0"/>
                      </a:rPr>
                      <m:t>−1</m:t>
                    </m:r>
                  </m:oMath>
                </m:oMathPara>
              </a14:m>
              <a:endParaRPr lang="en-US" sz="1100"/>
            </a:p>
          </xdr:txBody>
        </xdr:sp>
      </mc:Choice>
      <mc:Fallback xmlns="">
        <xdr:sp macro="" textlink="">
          <xdr:nvSpPr>
            <xdr:cNvPr id="6" name="TextBox 5">
              <a:extLst>
                <a:ext uri="{FF2B5EF4-FFF2-40B4-BE49-F238E27FC236}">
                  <a16:creationId xmlns:a16="http://schemas.microsoft.com/office/drawing/2014/main" id="{82FE0530-2550-C94B-A1EF-0FD8CF6E2222}"/>
                </a:ext>
              </a:extLst>
            </xdr:cNvPr>
            <xdr:cNvSpPr txBox="1"/>
          </xdr:nvSpPr>
          <xdr:spPr>
            <a:xfrm>
              <a:off x="13520482152" y="8138791"/>
              <a:ext cx="2362673" cy="3179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a:t>
              </a:r>
              <a:r>
                <a:rPr lang="he-IL" sz="1100" b="0" i="0">
                  <a:latin typeface="Cambria Math" panose="02040503050406030204" pitchFamily="18" charset="0"/>
                </a:rPr>
                <a:t>/(1−</a:t>
              </a:r>
              <a:r>
                <a:rPr lang="en-US" sz="1100" b="0" i="0">
                  <a:latin typeface="Cambria Math" panose="02040503050406030204" pitchFamily="18" charset="0"/>
                </a:rPr>
                <a:t>𝑑</a:t>
              </a:r>
              <a:r>
                <a:rPr lang="he-IL" sz="1100" b="0" i="0">
                  <a:latin typeface="Cambria Math" panose="02040503050406030204" pitchFamily="18" charset="0"/>
                </a:rPr>
                <a:t>)</a:t>
              </a:r>
              <a:r>
                <a:rPr lang="en-US" sz="1100" b="0" i="0">
                  <a:latin typeface="Cambria Math" panose="02040503050406030204" pitchFamily="18" charset="0"/>
                </a:rPr>
                <a:t>−1</a:t>
              </a:r>
              <a:endParaRPr lang="en-US" sz="1100"/>
            </a:p>
          </xdr:txBody>
        </xdr:sp>
      </mc:Fallback>
    </mc:AlternateContent>
    <xdr:clientData/>
  </xdr:oneCellAnchor>
  <xdr:oneCellAnchor>
    <xdr:from>
      <xdr:col>2</xdr:col>
      <xdr:colOff>163522</xdr:colOff>
      <xdr:row>39</xdr:row>
      <xdr:rowOff>166897</xdr:rowOff>
    </xdr:from>
    <xdr:ext cx="2362673" cy="32464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87F9BF4-60CE-FB49-BEC1-D4118B793DE0}"/>
                </a:ext>
              </a:extLst>
            </xdr:cNvPr>
            <xdr:cNvSpPr txBox="1"/>
          </xdr:nvSpPr>
          <xdr:spPr>
            <a:xfrm>
              <a:off x="13520929105" y="8599697"/>
              <a:ext cx="2362673"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he-IL" sz="1100" b="0" i="1">
                            <a:latin typeface="Cambria Math" panose="02040503050406030204" pitchFamily="18" charset="0"/>
                          </a:rPr>
                        </m:ctrlPr>
                      </m:fPr>
                      <m:num>
                        <m:r>
                          <a:rPr lang="en-US" sz="1100" b="0" i="1">
                            <a:latin typeface="Cambria Math" panose="02040503050406030204" pitchFamily="18" charset="0"/>
                          </a:rPr>
                          <m:t>1</m:t>
                        </m:r>
                      </m:num>
                      <m:den>
                        <m:r>
                          <a:rPr lang="he-IL" sz="1100" b="0" i="1">
                            <a:latin typeface="Cambria Math" panose="02040503050406030204" pitchFamily="18" charset="0"/>
                          </a:rPr>
                          <m:t>1−</m:t>
                        </m:r>
                        <m:r>
                          <a:rPr lang="en-US" sz="1100" b="0" i="1">
                            <a:latin typeface="Cambria Math" panose="02040503050406030204" pitchFamily="18" charset="0"/>
                          </a:rPr>
                          <m:t>18%</m:t>
                        </m:r>
                      </m:den>
                    </m:f>
                    <m:r>
                      <a:rPr lang="en-US" sz="1100" b="0" i="1">
                        <a:latin typeface="Cambria Math" panose="02040503050406030204" pitchFamily="18" charset="0"/>
                      </a:rPr>
                      <m:t>−1=21.95%</m:t>
                    </m:r>
                  </m:oMath>
                </m:oMathPara>
              </a14:m>
              <a:endParaRPr lang="en-US" sz="1100"/>
            </a:p>
          </xdr:txBody>
        </xdr:sp>
      </mc:Choice>
      <mc:Fallback xmlns="">
        <xdr:sp macro="" textlink="">
          <xdr:nvSpPr>
            <xdr:cNvPr id="7" name="TextBox 6">
              <a:extLst>
                <a:ext uri="{FF2B5EF4-FFF2-40B4-BE49-F238E27FC236}">
                  <a16:creationId xmlns:a16="http://schemas.microsoft.com/office/drawing/2014/main" id="{587F9BF4-60CE-FB49-BEC1-D4118B793DE0}"/>
                </a:ext>
              </a:extLst>
            </xdr:cNvPr>
            <xdr:cNvSpPr txBox="1"/>
          </xdr:nvSpPr>
          <xdr:spPr>
            <a:xfrm>
              <a:off x="13520929105" y="8599697"/>
              <a:ext cx="2362673"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a:t>
              </a:r>
              <a:r>
                <a:rPr lang="he-IL" sz="1100" b="0" i="0">
                  <a:latin typeface="Cambria Math" panose="02040503050406030204" pitchFamily="18" charset="0"/>
                </a:rPr>
                <a:t>/(1−</a:t>
              </a:r>
              <a:r>
                <a:rPr lang="en-US" sz="1100" b="0" i="0">
                  <a:latin typeface="Cambria Math" panose="02040503050406030204" pitchFamily="18" charset="0"/>
                </a:rPr>
                <a:t>18%</a:t>
              </a:r>
              <a:r>
                <a:rPr lang="he-IL" sz="1100" b="0" i="0">
                  <a:latin typeface="Cambria Math" panose="02040503050406030204" pitchFamily="18" charset="0"/>
                </a:rPr>
                <a:t>)</a:t>
              </a:r>
              <a:r>
                <a:rPr lang="en-US" sz="1100" b="0" i="0">
                  <a:latin typeface="Cambria Math" panose="02040503050406030204" pitchFamily="18" charset="0"/>
                </a:rPr>
                <a:t>−1=21.95%</a:t>
              </a:r>
              <a:endParaRPr lang="en-US" sz="1100"/>
            </a:p>
          </xdr:txBody>
        </xdr:sp>
      </mc:Fallback>
    </mc:AlternateContent>
    <xdr:clientData/>
  </xdr:oneCellAnchor>
  <xdr:oneCellAnchor>
    <xdr:from>
      <xdr:col>3</xdr:col>
      <xdr:colOff>0</xdr:colOff>
      <xdr:row>459</xdr:row>
      <xdr:rowOff>201674</xdr:rowOff>
    </xdr:from>
    <xdr:ext cx="1626836" cy="34015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81866DE-DAC9-6F4E-83E2-D5741A376EDC}"/>
                </a:ext>
              </a:extLst>
            </xdr:cNvPr>
            <xdr:cNvSpPr txBox="1"/>
          </xdr:nvSpPr>
          <xdr:spPr>
            <a:xfrm>
              <a:off x="13521002964" y="70635874"/>
              <a:ext cx="1626836"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𝑅</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8" name="TextBox 7">
              <a:extLst>
                <a:ext uri="{FF2B5EF4-FFF2-40B4-BE49-F238E27FC236}">
                  <a16:creationId xmlns:a16="http://schemas.microsoft.com/office/drawing/2014/main" id="{081866DE-DAC9-6F4E-83E2-D5741A376EDC}"/>
                </a:ext>
              </a:extLst>
            </xdr:cNvPr>
            <xdr:cNvSpPr txBox="1"/>
          </xdr:nvSpPr>
          <xdr:spPr>
            <a:xfrm>
              <a:off x="13521002964" y="70635874"/>
              <a:ext cx="1626836"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𝑟_𝑒=(1+𝑅/𝑛)^𝑚−1</a:t>
              </a:r>
              <a:endParaRPr lang="en-US" sz="1100"/>
            </a:p>
          </xdr:txBody>
        </xdr:sp>
      </mc:Fallback>
    </mc:AlternateContent>
    <xdr:clientData/>
  </xdr:oneCellAnchor>
  <xdr:oneCellAnchor>
    <xdr:from>
      <xdr:col>1</xdr:col>
      <xdr:colOff>724938</xdr:colOff>
      <xdr:row>462</xdr:row>
      <xdr:rowOff>5451</xdr:rowOff>
    </xdr:from>
    <xdr:ext cx="2613403" cy="355034"/>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0733908-2C11-4C49-A5B0-E87CBEB9C3E5}"/>
                </a:ext>
              </a:extLst>
            </xdr:cNvPr>
            <xdr:cNvSpPr txBox="1"/>
          </xdr:nvSpPr>
          <xdr:spPr>
            <a:xfrm>
              <a:off x="13520942459" y="71049251"/>
              <a:ext cx="2613403" cy="35503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he-IL" sz="1100" b="0" i="1">
                                    <a:latin typeface="Cambria Math" panose="02040503050406030204" pitchFamily="18" charset="0"/>
                                  </a:rPr>
                                  <m:t>17%</m:t>
                                </m:r>
                              </m:num>
                              <m:den>
                                <m:r>
                                  <a:rPr lang="he-IL" sz="1100" b="0" i="1">
                                    <a:latin typeface="Cambria Math" panose="02040503050406030204" pitchFamily="18" charset="0"/>
                                  </a:rPr>
                                  <m:t>12</m:t>
                                </m:r>
                              </m:den>
                            </m:f>
                          </m:e>
                        </m:d>
                      </m:e>
                      <m:sup>
                        <m:r>
                          <a:rPr lang="he-IL" sz="1100" b="0" i="1">
                            <a:latin typeface="Cambria Math" panose="02040503050406030204" pitchFamily="18" charset="0"/>
                          </a:rPr>
                          <m:t>8</m:t>
                        </m:r>
                      </m:sup>
                    </m:sSup>
                    <m:r>
                      <a:rPr lang="en-US" sz="1100" b="0" i="1">
                        <a:latin typeface="Cambria Math" panose="02040503050406030204" pitchFamily="18" charset="0"/>
                      </a:rPr>
                      <m:t>−1</m:t>
                    </m:r>
                    <m:r>
                      <a:rPr lang="he-IL" sz="1100" b="0" i="1">
                        <a:latin typeface="Cambria Math" panose="02040503050406030204" pitchFamily="18" charset="0"/>
                      </a:rPr>
                      <m:t>=11.91%</m:t>
                    </m:r>
                  </m:oMath>
                </m:oMathPara>
              </a14:m>
              <a:endParaRPr lang="en-US" sz="1100"/>
            </a:p>
          </xdr:txBody>
        </xdr:sp>
      </mc:Choice>
      <mc:Fallback xmlns="">
        <xdr:sp macro="" textlink="">
          <xdr:nvSpPr>
            <xdr:cNvPr id="9" name="TextBox 8">
              <a:extLst>
                <a:ext uri="{FF2B5EF4-FFF2-40B4-BE49-F238E27FC236}">
                  <a16:creationId xmlns:a16="http://schemas.microsoft.com/office/drawing/2014/main" id="{C0733908-2C11-4C49-A5B0-E87CBEB9C3E5}"/>
                </a:ext>
              </a:extLst>
            </xdr:cNvPr>
            <xdr:cNvSpPr txBox="1"/>
          </xdr:nvSpPr>
          <xdr:spPr>
            <a:xfrm>
              <a:off x="13520942459" y="71049251"/>
              <a:ext cx="2613403" cy="35503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a:t>
              </a:r>
              <a:r>
                <a:rPr lang="he-IL" sz="1100" b="0" i="0">
                  <a:latin typeface="Cambria Math" panose="02040503050406030204" pitchFamily="18" charset="0"/>
                </a:rPr>
                <a:t>17%</a:t>
              </a:r>
              <a:r>
                <a:rPr lang="en-US" sz="1100" b="0" i="0">
                  <a:latin typeface="Cambria Math" panose="02040503050406030204" pitchFamily="18" charset="0"/>
                </a:rPr>
                <a:t>)/</a:t>
              </a:r>
              <a:r>
                <a:rPr lang="he-IL" sz="1100" b="0" i="0">
                  <a:latin typeface="Cambria Math" panose="02040503050406030204" pitchFamily="18" charset="0"/>
                </a:rPr>
                <a:t>12)</a:t>
              </a:r>
              <a:r>
                <a:rPr lang="en-US" sz="1100" b="0" i="0">
                  <a:latin typeface="Cambria Math" panose="02040503050406030204" pitchFamily="18" charset="0"/>
                </a:rPr>
                <a:t>^</a:t>
              </a:r>
              <a:r>
                <a:rPr lang="he-IL" sz="1100" b="0" i="0">
                  <a:latin typeface="Cambria Math" panose="02040503050406030204" pitchFamily="18" charset="0"/>
                </a:rPr>
                <a:t>8</a:t>
              </a:r>
              <a:r>
                <a:rPr lang="en-US" sz="1100" b="0" i="0">
                  <a:latin typeface="Cambria Math" panose="02040503050406030204" pitchFamily="18" charset="0"/>
                </a:rPr>
                <a:t>−1</a:t>
              </a:r>
              <a:r>
                <a:rPr lang="he-IL" sz="1100" b="0" i="0">
                  <a:latin typeface="Cambria Math" panose="02040503050406030204" pitchFamily="18" charset="0"/>
                </a:rPr>
                <a:t>=11.91%</a:t>
              </a:r>
              <a:endParaRPr lang="en-US" sz="1100"/>
            </a:p>
          </xdr:txBody>
        </xdr:sp>
      </mc:Fallback>
    </mc:AlternateContent>
    <xdr:clientData/>
  </xdr:oneCellAnchor>
  <xdr:twoCellAnchor>
    <xdr:from>
      <xdr:col>0</xdr:col>
      <xdr:colOff>534164</xdr:colOff>
      <xdr:row>48</xdr:row>
      <xdr:rowOff>125365</xdr:rowOff>
    </xdr:from>
    <xdr:to>
      <xdr:col>7</xdr:col>
      <xdr:colOff>381546</xdr:colOff>
      <xdr:row>48</xdr:row>
      <xdr:rowOff>136267</xdr:rowOff>
    </xdr:to>
    <xdr:cxnSp macro="">
      <xdr:nvCxnSpPr>
        <xdr:cNvPr id="10" name="Straight Arrow Connector 9">
          <a:extLst>
            <a:ext uri="{FF2B5EF4-FFF2-40B4-BE49-F238E27FC236}">
              <a16:creationId xmlns:a16="http://schemas.microsoft.com/office/drawing/2014/main" id="{2F04B46F-BF37-A349-81CA-CF6B0E230324}"/>
            </a:ext>
          </a:extLst>
        </xdr:cNvPr>
        <xdr:cNvCxnSpPr/>
      </xdr:nvCxnSpPr>
      <xdr:spPr>
        <a:xfrm>
          <a:off x="13518831954" y="10386965"/>
          <a:ext cx="5740182" cy="10902"/>
        </a:xfrm>
        <a:prstGeom prst="straightConnector1">
          <a:avLst/>
        </a:prstGeom>
        <a:ln w="19050" cap="flat" cmpd="sng" algn="ctr">
          <a:solidFill>
            <a:schemeClr val="dk1"/>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xdr:col>
      <xdr:colOff>346114</xdr:colOff>
      <xdr:row>48</xdr:row>
      <xdr:rowOff>62683</xdr:rowOff>
    </xdr:from>
    <xdr:to>
      <xdr:col>5</xdr:col>
      <xdr:colOff>449677</xdr:colOff>
      <xdr:row>49</xdr:row>
      <xdr:rowOff>160794</xdr:rowOff>
    </xdr:to>
    <xdr:sp macro="" textlink="">
      <xdr:nvSpPr>
        <xdr:cNvPr id="11" name="Left Brace 10">
          <a:extLst>
            <a:ext uri="{FF2B5EF4-FFF2-40B4-BE49-F238E27FC236}">
              <a16:creationId xmlns:a16="http://schemas.microsoft.com/office/drawing/2014/main" id="{53E28D8D-B03F-1E45-A0D4-F7122439F011}"/>
            </a:ext>
          </a:extLst>
        </xdr:cNvPr>
        <xdr:cNvSpPr/>
      </xdr:nvSpPr>
      <xdr:spPr>
        <a:xfrm rot="16200000">
          <a:off x="13520754099" y="9985007"/>
          <a:ext cx="301311" cy="979863"/>
        </a:xfrm>
        <a:prstGeom prst="leftBrace">
          <a:avLst/>
        </a:prstGeom>
      </xdr:spPr>
      <xdr:style>
        <a:lnRef idx="3">
          <a:schemeClr val="accent1"/>
        </a:lnRef>
        <a:fillRef idx="0">
          <a:schemeClr val="accent1"/>
        </a:fillRef>
        <a:effectRef idx="2">
          <a:schemeClr val="accent1"/>
        </a:effectRef>
        <a:fontRef idx="minor">
          <a:schemeClr val="tx1"/>
        </a:fontRef>
      </xdr:style>
      <xdr:txBody>
        <a:bodyPr vertOverflow="clip" horzOverflow="clip" rtlCol="0" anchor="t"/>
        <a:lstStyle/>
        <a:p>
          <a:pPr algn="r" rtl="1"/>
          <a:endParaRPr lang="en-US" sz="1100"/>
        </a:p>
      </xdr:txBody>
    </xdr:sp>
    <xdr:clientData/>
  </xdr:twoCellAnchor>
  <xdr:oneCellAnchor>
    <xdr:from>
      <xdr:col>4</xdr:col>
      <xdr:colOff>305236</xdr:colOff>
      <xdr:row>54</xdr:row>
      <xdr:rowOff>70858</xdr:rowOff>
    </xdr:from>
    <xdr:ext cx="1626836" cy="340158"/>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3C1D7070-E355-914B-96F7-55E7FB75DB74}"/>
                </a:ext>
              </a:extLst>
            </xdr:cNvPr>
            <xdr:cNvSpPr txBox="1"/>
          </xdr:nvSpPr>
          <xdr:spPr>
            <a:xfrm>
              <a:off x="13519808728" y="11551658"/>
              <a:ext cx="1626836"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𝑅</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12" name="TextBox 11">
              <a:extLst>
                <a:ext uri="{FF2B5EF4-FFF2-40B4-BE49-F238E27FC236}">
                  <a16:creationId xmlns:a16="http://schemas.microsoft.com/office/drawing/2014/main" id="{3C1D7070-E355-914B-96F7-55E7FB75DB74}"/>
                </a:ext>
              </a:extLst>
            </xdr:cNvPr>
            <xdr:cNvSpPr txBox="1"/>
          </xdr:nvSpPr>
          <xdr:spPr>
            <a:xfrm>
              <a:off x="13519808728" y="11551658"/>
              <a:ext cx="1626836"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𝑟_𝑒=(1+𝑅/𝑛)^𝑚−1</a:t>
              </a:r>
              <a:endParaRPr lang="en-US" sz="1100"/>
            </a:p>
          </xdr:txBody>
        </xdr:sp>
      </mc:Fallback>
    </mc:AlternateContent>
    <xdr:clientData/>
  </xdr:oneCellAnchor>
  <xdr:oneCellAnchor>
    <xdr:from>
      <xdr:col>3</xdr:col>
      <xdr:colOff>228928</xdr:colOff>
      <xdr:row>56</xdr:row>
      <xdr:rowOff>92660</xdr:rowOff>
    </xdr:from>
    <xdr:ext cx="2673359" cy="35811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27BE7BFD-C832-5F46-8B7D-5B6BECE52151}"/>
                </a:ext>
              </a:extLst>
            </xdr:cNvPr>
            <xdr:cNvSpPr txBox="1"/>
          </xdr:nvSpPr>
          <xdr:spPr>
            <a:xfrm>
              <a:off x="13519727513" y="11979860"/>
              <a:ext cx="2673359" cy="35811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15%</m:t>
                                </m:r>
                              </m:num>
                              <m:den>
                                <m:r>
                                  <a:rPr lang="en-US" sz="1100" b="0" i="1">
                                    <a:latin typeface="Cambria Math" panose="02040503050406030204" pitchFamily="18" charset="0"/>
                                  </a:rPr>
                                  <m:t>12</m:t>
                                </m:r>
                              </m:den>
                            </m:f>
                          </m:e>
                        </m:d>
                      </m:e>
                      <m:sup>
                        <m:r>
                          <a:rPr lang="he-IL" sz="1100" b="0" i="1">
                            <a:latin typeface="Cambria Math" panose="02040503050406030204" pitchFamily="18" charset="0"/>
                          </a:rPr>
                          <m:t>1</m:t>
                        </m:r>
                      </m:sup>
                    </m:sSup>
                    <m:r>
                      <a:rPr lang="en-US" sz="1100" b="0" i="1">
                        <a:latin typeface="Cambria Math" panose="02040503050406030204" pitchFamily="18" charset="0"/>
                      </a:rPr>
                      <m:t>−1=</m:t>
                    </m:r>
                    <m:r>
                      <a:rPr lang="en-US" sz="1100" b="0" i="0">
                        <a:latin typeface="Cambria Math" panose="02040503050406030204" pitchFamily="18" charset="0"/>
                      </a:rPr>
                      <m:t>1.25%</m:t>
                    </m:r>
                  </m:oMath>
                </m:oMathPara>
              </a14:m>
              <a:endParaRPr lang="en-US" sz="1100"/>
            </a:p>
          </xdr:txBody>
        </xdr:sp>
      </mc:Choice>
      <mc:Fallback xmlns="">
        <xdr:sp macro="" textlink="">
          <xdr:nvSpPr>
            <xdr:cNvPr id="13" name="TextBox 12">
              <a:extLst>
                <a:ext uri="{FF2B5EF4-FFF2-40B4-BE49-F238E27FC236}">
                  <a16:creationId xmlns:a16="http://schemas.microsoft.com/office/drawing/2014/main" id="{27BE7BFD-C832-5F46-8B7D-5B6BECE52151}"/>
                </a:ext>
              </a:extLst>
            </xdr:cNvPr>
            <xdr:cNvSpPr txBox="1"/>
          </xdr:nvSpPr>
          <xdr:spPr>
            <a:xfrm>
              <a:off x="13519727513" y="11979860"/>
              <a:ext cx="2673359" cy="35811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𝑟_𝑒=(1+(15%)/12)^</a:t>
              </a:r>
              <a:r>
                <a:rPr lang="he-IL" sz="1100" b="0" i="0">
                  <a:latin typeface="Cambria Math" panose="02040503050406030204" pitchFamily="18" charset="0"/>
                </a:rPr>
                <a:t>1</a:t>
              </a:r>
              <a:r>
                <a:rPr lang="en-US" sz="1100" b="0" i="0">
                  <a:latin typeface="Cambria Math" panose="02040503050406030204" pitchFamily="18" charset="0"/>
                </a:rPr>
                <a:t>−1=1.25%</a:t>
              </a:r>
              <a:endParaRPr lang="en-US" sz="1100"/>
            </a:p>
          </xdr:txBody>
        </xdr:sp>
      </mc:Fallback>
    </mc:AlternateContent>
    <xdr:clientData/>
  </xdr:oneCellAnchor>
  <xdr:twoCellAnchor>
    <xdr:from>
      <xdr:col>5</xdr:col>
      <xdr:colOff>517812</xdr:colOff>
      <xdr:row>53</xdr:row>
      <xdr:rowOff>10901</xdr:rowOff>
    </xdr:from>
    <xdr:to>
      <xdr:col>5</xdr:col>
      <xdr:colOff>523262</xdr:colOff>
      <xdr:row>54</xdr:row>
      <xdr:rowOff>65408</xdr:rowOff>
    </xdr:to>
    <xdr:cxnSp macro="">
      <xdr:nvCxnSpPr>
        <xdr:cNvPr id="14" name="Straight Arrow Connector 13">
          <a:extLst>
            <a:ext uri="{FF2B5EF4-FFF2-40B4-BE49-F238E27FC236}">
              <a16:creationId xmlns:a16="http://schemas.microsoft.com/office/drawing/2014/main" id="{8DC87DD5-E21F-7B49-9449-64E49A26731E}"/>
            </a:ext>
          </a:extLst>
        </xdr:cNvPr>
        <xdr:cNvCxnSpPr/>
      </xdr:nvCxnSpPr>
      <xdr:spPr>
        <a:xfrm>
          <a:off x="13520341238" y="11288501"/>
          <a:ext cx="5450" cy="2577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321587</xdr:colOff>
      <xdr:row>48</xdr:row>
      <xdr:rowOff>73583</xdr:rowOff>
    </xdr:from>
    <xdr:to>
      <xdr:col>3</xdr:col>
      <xdr:colOff>457854</xdr:colOff>
      <xdr:row>49</xdr:row>
      <xdr:rowOff>158068</xdr:rowOff>
    </xdr:to>
    <xdr:sp macro="" textlink="">
      <xdr:nvSpPr>
        <xdr:cNvPr id="15" name="Left Brace 14">
          <a:extLst>
            <a:ext uri="{FF2B5EF4-FFF2-40B4-BE49-F238E27FC236}">
              <a16:creationId xmlns:a16="http://schemas.microsoft.com/office/drawing/2014/main" id="{0DF582AF-7D39-304B-8C8A-40D31A080932}"/>
            </a:ext>
          </a:extLst>
        </xdr:cNvPr>
        <xdr:cNvSpPr/>
      </xdr:nvSpPr>
      <xdr:spPr>
        <a:xfrm rot="16200000">
          <a:off x="13522921737" y="9585392"/>
          <a:ext cx="287685" cy="1787267"/>
        </a:xfrm>
        <a:prstGeom prst="leftBrace">
          <a:avLst/>
        </a:prstGeom>
      </xdr:spPr>
      <xdr:style>
        <a:lnRef idx="3">
          <a:schemeClr val="accent1"/>
        </a:lnRef>
        <a:fillRef idx="0">
          <a:schemeClr val="accent1"/>
        </a:fillRef>
        <a:effectRef idx="2">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4</xdr:col>
      <xdr:colOff>812146</xdr:colOff>
      <xdr:row>50</xdr:row>
      <xdr:rowOff>38155</xdr:rowOff>
    </xdr:from>
    <xdr:to>
      <xdr:col>4</xdr:col>
      <xdr:colOff>812146</xdr:colOff>
      <xdr:row>53</xdr:row>
      <xdr:rowOff>27253</xdr:rowOff>
    </xdr:to>
    <xdr:cxnSp macro="">
      <xdr:nvCxnSpPr>
        <xdr:cNvPr id="16" name="Straight Connector 15">
          <a:extLst>
            <a:ext uri="{FF2B5EF4-FFF2-40B4-BE49-F238E27FC236}">
              <a16:creationId xmlns:a16="http://schemas.microsoft.com/office/drawing/2014/main" id="{5BC90EB2-6704-1C46-973F-3FFE6B60ECDC}"/>
            </a:ext>
          </a:extLst>
        </xdr:cNvPr>
        <xdr:cNvCxnSpPr/>
      </xdr:nvCxnSpPr>
      <xdr:spPr>
        <a:xfrm>
          <a:off x="13520928654" y="10706155"/>
          <a:ext cx="0" cy="598698"/>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337940</xdr:colOff>
      <xdr:row>49</xdr:row>
      <xdr:rowOff>49056</xdr:rowOff>
    </xdr:from>
    <xdr:to>
      <xdr:col>4</xdr:col>
      <xdr:colOff>343390</xdr:colOff>
      <xdr:row>53</xdr:row>
      <xdr:rowOff>43605</xdr:rowOff>
    </xdr:to>
    <xdr:cxnSp macro="">
      <xdr:nvCxnSpPr>
        <xdr:cNvPr id="17" name="Straight Connector 16">
          <a:extLst>
            <a:ext uri="{FF2B5EF4-FFF2-40B4-BE49-F238E27FC236}">
              <a16:creationId xmlns:a16="http://schemas.microsoft.com/office/drawing/2014/main" id="{32C66006-751E-2E4F-AF47-07ABD0A86170}"/>
            </a:ext>
          </a:extLst>
        </xdr:cNvPr>
        <xdr:cNvCxnSpPr/>
      </xdr:nvCxnSpPr>
      <xdr:spPr>
        <a:xfrm flipH="1" flipV="1">
          <a:off x="13521397410" y="10513856"/>
          <a:ext cx="5450" cy="807349"/>
        </a:xfrm>
        <a:prstGeom prst="line">
          <a:avLst/>
        </a:prstGeom>
        <a:ln w="19050" cap="flat" cmpd="sng" algn="ctr">
          <a:solidFill>
            <a:schemeClr val="accent1"/>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xdr:col>
      <xdr:colOff>343391</xdr:colOff>
      <xdr:row>53</xdr:row>
      <xdr:rowOff>27253</xdr:rowOff>
    </xdr:from>
    <xdr:to>
      <xdr:col>5</xdr:col>
      <xdr:colOff>1</xdr:colOff>
      <xdr:row>53</xdr:row>
      <xdr:rowOff>27253</xdr:rowOff>
    </xdr:to>
    <xdr:cxnSp macro="">
      <xdr:nvCxnSpPr>
        <xdr:cNvPr id="18" name="Straight Connector 17">
          <a:extLst>
            <a:ext uri="{FF2B5EF4-FFF2-40B4-BE49-F238E27FC236}">
              <a16:creationId xmlns:a16="http://schemas.microsoft.com/office/drawing/2014/main" id="{552AFC6C-AEC2-3849-A15F-AA20C5029670}"/>
            </a:ext>
          </a:extLst>
        </xdr:cNvPr>
        <xdr:cNvCxnSpPr/>
      </xdr:nvCxnSpPr>
      <xdr:spPr>
        <a:xfrm>
          <a:off x="13520864499" y="11304853"/>
          <a:ext cx="532910" cy="0"/>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3</xdr:col>
      <xdr:colOff>517811</xdr:colOff>
      <xdr:row>46</xdr:row>
      <xdr:rowOff>125364</xdr:rowOff>
    </xdr:from>
    <xdr:to>
      <xdr:col>3</xdr:col>
      <xdr:colOff>773991</xdr:colOff>
      <xdr:row>47</xdr:row>
      <xdr:rowOff>87210</xdr:rowOff>
    </xdr:to>
    <xdr:cxnSp macro="">
      <xdr:nvCxnSpPr>
        <xdr:cNvPr id="19" name="Straight Connector 18">
          <a:extLst>
            <a:ext uri="{FF2B5EF4-FFF2-40B4-BE49-F238E27FC236}">
              <a16:creationId xmlns:a16="http://schemas.microsoft.com/office/drawing/2014/main" id="{05397610-463E-EE4D-938A-C2B32DB6B86A}"/>
            </a:ext>
          </a:extLst>
        </xdr:cNvPr>
        <xdr:cNvCxnSpPr/>
      </xdr:nvCxnSpPr>
      <xdr:spPr>
        <a:xfrm>
          <a:off x="13521855809" y="9980564"/>
          <a:ext cx="256180" cy="165046"/>
        </a:xfrm>
        <a:prstGeom prst="line">
          <a:avLst/>
        </a:prstGeom>
        <a:ln w="19050" cap="flat" cmpd="sng" algn="ctr">
          <a:solidFill>
            <a:schemeClr val="accent1"/>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xdr:col>
      <xdr:colOff>408799</xdr:colOff>
      <xdr:row>53</xdr:row>
      <xdr:rowOff>32703</xdr:rowOff>
    </xdr:from>
    <xdr:to>
      <xdr:col>2</xdr:col>
      <xdr:colOff>414250</xdr:colOff>
      <xdr:row>54</xdr:row>
      <xdr:rowOff>158069</xdr:rowOff>
    </xdr:to>
    <xdr:cxnSp macro="">
      <xdr:nvCxnSpPr>
        <xdr:cNvPr id="20" name="Straight Connector 19">
          <a:extLst>
            <a:ext uri="{FF2B5EF4-FFF2-40B4-BE49-F238E27FC236}">
              <a16:creationId xmlns:a16="http://schemas.microsoft.com/office/drawing/2014/main" id="{5BBEC511-1A6B-2D4F-B17F-DD560668F931}"/>
            </a:ext>
          </a:extLst>
        </xdr:cNvPr>
        <xdr:cNvCxnSpPr/>
      </xdr:nvCxnSpPr>
      <xdr:spPr>
        <a:xfrm flipH="1">
          <a:off x="13523041050" y="11310303"/>
          <a:ext cx="5451" cy="328566"/>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1</xdr:col>
      <xdr:colOff>305236</xdr:colOff>
      <xdr:row>54</xdr:row>
      <xdr:rowOff>152619</xdr:rowOff>
    </xdr:from>
    <xdr:to>
      <xdr:col>2</xdr:col>
      <xdr:colOff>397898</xdr:colOff>
      <xdr:row>54</xdr:row>
      <xdr:rowOff>158069</xdr:rowOff>
    </xdr:to>
    <xdr:cxnSp macro="">
      <xdr:nvCxnSpPr>
        <xdr:cNvPr id="21" name="Straight Connector 20">
          <a:extLst>
            <a:ext uri="{FF2B5EF4-FFF2-40B4-BE49-F238E27FC236}">
              <a16:creationId xmlns:a16="http://schemas.microsoft.com/office/drawing/2014/main" id="{B8B8477B-107F-6943-B23E-C335EB8C09FC}"/>
            </a:ext>
          </a:extLst>
        </xdr:cNvPr>
        <xdr:cNvCxnSpPr/>
      </xdr:nvCxnSpPr>
      <xdr:spPr>
        <a:xfrm>
          <a:off x="13523057402" y="11633419"/>
          <a:ext cx="918162" cy="5450"/>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1</xdr:col>
      <xdr:colOff>305237</xdr:colOff>
      <xdr:row>49</xdr:row>
      <xdr:rowOff>147168</xdr:rowOff>
    </xdr:from>
    <xdr:to>
      <xdr:col>1</xdr:col>
      <xdr:colOff>310686</xdr:colOff>
      <xdr:row>54</xdr:row>
      <xdr:rowOff>147168</xdr:rowOff>
    </xdr:to>
    <xdr:cxnSp macro="">
      <xdr:nvCxnSpPr>
        <xdr:cNvPr id="22" name="Straight Connector 21">
          <a:extLst>
            <a:ext uri="{FF2B5EF4-FFF2-40B4-BE49-F238E27FC236}">
              <a16:creationId xmlns:a16="http://schemas.microsoft.com/office/drawing/2014/main" id="{9AFF6B6B-3219-8D47-9266-76553FEAC30D}"/>
            </a:ext>
          </a:extLst>
        </xdr:cNvPr>
        <xdr:cNvCxnSpPr/>
      </xdr:nvCxnSpPr>
      <xdr:spPr>
        <a:xfrm flipH="1" flipV="1">
          <a:off x="13523970114" y="10611968"/>
          <a:ext cx="5449" cy="1016000"/>
        </a:xfrm>
        <a:prstGeom prst="line">
          <a:avLst/>
        </a:prstGeom>
        <a:ln w="19050" cap="flat" cmpd="sng" algn="ctr">
          <a:solidFill>
            <a:schemeClr val="accent1"/>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xdr:col>
      <xdr:colOff>784893</xdr:colOff>
      <xdr:row>68</xdr:row>
      <xdr:rowOff>174420</xdr:rowOff>
    </xdr:from>
    <xdr:to>
      <xdr:col>5</xdr:col>
      <xdr:colOff>109013</xdr:colOff>
      <xdr:row>70</xdr:row>
      <xdr:rowOff>92661</xdr:rowOff>
    </xdr:to>
    <xdr:cxnSp macro="">
      <xdr:nvCxnSpPr>
        <xdr:cNvPr id="23" name="Straight Arrow Connector 22">
          <a:extLst>
            <a:ext uri="{FF2B5EF4-FFF2-40B4-BE49-F238E27FC236}">
              <a16:creationId xmlns:a16="http://schemas.microsoft.com/office/drawing/2014/main" id="{8C8E5FF7-80CD-B348-B774-6955E25B3136}"/>
            </a:ext>
          </a:extLst>
        </xdr:cNvPr>
        <xdr:cNvCxnSpPr/>
      </xdr:nvCxnSpPr>
      <xdr:spPr>
        <a:xfrm flipV="1">
          <a:off x="13520755487" y="14500020"/>
          <a:ext cx="200420" cy="32464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436053</xdr:colOff>
      <xdr:row>76</xdr:row>
      <xdr:rowOff>119914</xdr:rowOff>
    </xdr:from>
    <xdr:to>
      <xdr:col>7</xdr:col>
      <xdr:colOff>283435</xdr:colOff>
      <xdr:row>76</xdr:row>
      <xdr:rowOff>130816</xdr:rowOff>
    </xdr:to>
    <xdr:cxnSp macro="">
      <xdr:nvCxnSpPr>
        <xdr:cNvPr id="24" name="Straight Arrow Connector 23">
          <a:extLst>
            <a:ext uri="{FF2B5EF4-FFF2-40B4-BE49-F238E27FC236}">
              <a16:creationId xmlns:a16="http://schemas.microsoft.com/office/drawing/2014/main" id="{65B6F7D8-7459-7E45-A236-B56DBAA84F81}"/>
            </a:ext>
          </a:extLst>
        </xdr:cNvPr>
        <xdr:cNvCxnSpPr/>
      </xdr:nvCxnSpPr>
      <xdr:spPr>
        <a:xfrm>
          <a:off x="13518930065" y="16071114"/>
          <a:ext cx="5740182" cy="10902"/>
        </a:xfrm>
        <a:prstGeom prst="straightConnector1">
          <a:avLst/>
        </a:prstGeom>
        <a:ln w="19050" cap="flat" cmpd="sng" algn="ctr">
          <a:solidFill>
            <a:schemeClr val="dk1"/>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0</xdr:col>
      <xdr:colOff>730385</xdr:colOff>
      <xdr:row>76</xdr:row>
      <xdr:rowOff>62682</xdr:rowOff>
    </xdr:from>
    <xdr:to>
      <xdr:col>3</xdr:col>
      <xdr:colOff>400622</xdr:colOff>
      <xdr:row>78</xdr:row>
      <xdr:rowOff>59956</xdr:rowOff>
    </xdr:to>
    <xdr:sp macro="" textlink="">
      <xdr:nvSpPr>
        <xdr:cNvPr id="25" name="Left Brace 24">
          <a:extLst>
            <a:ext uri="{FF2B5EF4-FFF2-40B4-BE49-F238E27FC236}">
              <a16:creationId xmlns:a16="http://schemas.microsoft.com/office/drawing/2014/main" id="{66F8AF34-A047-4C46-93CF-59C430CDEEC8}"/>
            </a:ext>
          </a:extLst>
        </xdr:cNvPr>
        <xdr:cNvSpPr/>
      </xdr:nvSpPr>
      <xdr:spPr>
        <a:xfrm rot="16200000">
          <a:off x="13523100710" y="15142350"/>
          <a:ext cx="403674" cy="2146737"/>
        </a:xfrm>
        <a:prstGeom prst="leftBrace">
          <a:avLst/>
        </a:prstGeom>
      </xdr:spPr>
      <xdr:style>
        <a:lnRef idx="3">
          <a:schemeClr val="accent1"/>
        </a:lnRef>
        <a:fillRef idx="0">
          <a:schemeClr val="accent1"/>
        </a:fillRef>
        <a:effectRef idx="2">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2</xdr:col>
      <xdr:colOff>76309</xdr:colOff>
      <xdr:row>82</xdr:row>
      <xdr:rowOff>185322</xdr:rowOff>
    </xdr:from>
    <xdr:to>
      <xdr:col>2</xdr:col>
      <xdr:colOff>81761</xdr:colOff>
      <xdr:row>84</xdr:row>
      <xdr:rowOff>163520</xdr:rowOff>
    </xdr:to>
    <xdr:cxnSp macro="">
      <xdr:nvCxnSpPr>
        <xdr:cNvPr id="26" name="Straight Arrow Connector 25">
          <a:extLst>
            <a:ext uri="{FF2B5EF4-FFF2-40B4-BE49-F238E27FC236}">
              <a16:creationId xmlns:a16="http://schemas.microsoft.com/office/drawing/2014/main" id="{12171077-5A52-B340-849E-03CC02816C63}"/>
            </a:ext>
          </a:extLst>
        </xdr:cNvPr>
        <xdr:cNvCxnSpPr/>
      </xdr:nvCxnSpPr>
      <xdr:spPr>
        <a:xfrm flipH="1">
          <a:off x="13523373539" y="17355722"/>
          <a:ext cx="5452" cy="384598"/>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oneCellAnchor>
    <xdr:from>
      <xdr:col>1</xdr:col>
      <xdr:colOff>703135</xdr:colOff>
      <xdr:row>87</xdr:row>
      <xdr:rowOff>79689</xdr:rowOff>
    </xdr:from>
    <xdr:ext cx="1855763" cy="172227"/>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461A2D23-12CE-F641-9A5A-BE39C339946B}"/>
                </a:ext>
              </a:extLst>
            </xdr:cNvPr>
            <xdr:cNvSpPr txBox="1"/>
          </xdr:nvSpPr>
          <xdr:spPr>
            <a:xfrm>
              <a:off x="13521721902" y="18266089"/>
              <a:ext cx="185576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27" name="TextBox 26">
              <a:extLst>
                <a:ext uri="{FF2B5EF4-FFF2-40B4-BE49-F238E27FC236}">
                  <a16:creationId xmlns:a16="http://schemas.microsoft.com/office/drawing/2014/main" id="{461A2D23-12CE-F641-9A5A-BE39C339946B}"/>
                </a:ext>
              </a:extLst>
            </xdr:cNvPr>
            <xdr:cNvSpPr txBox="1"/>
          </xdr:nvSpPr>
          <xdr:spPr>
            <a:xfrm>
              <a:off x="13521721902" y="18266089"/>
              <a:ext cx="185576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𝑟_𝑒=(1+𝑟)^𝑚−1</a:t>
              </a:r>
              <a:endParaRPr lang="en-US" sz="1100"/>
            </a:p>
          </xdr:txBody>
        </xdr:sp>
      </mc:Fallback>
    </mc:AlternateContent>
    <xdr:clientData/>
  </xdr:oneCellAnchor>
  <xdr:oneCellAnchor>
    <xdr:from>
      <xdr:col>1</xdr:col>
      <xdr:colOff>686783</xdr:colOff>
      <xdr:row>92</xdr:row>
      <xdr:rowOff>25183</xdr:rowOff>
    </xdr:from>
    <xdr:ext cx="1855763" cy="251544"/>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DDD89377-A755-CA46-B851-C0A96B92724A}"/>
                </a:ext>
              </a:extLst>
            </xdr:cNvPr>
            <xdr:cNvSpPr txBox="1"/>
          </xdr:nvSpPr>
          <xdr:spPr>
            <a:xfrm>
              <a:off x="13521738254" y="19227583"/>
              <a:ext cx="1855763" cy="2515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6.09%</m:t>
                            </m:r>
                          </m:e>
                        </m:d>
                      </m:e>
                      <m:sup>
                        <m:f>
                          <m:fPr>
                            <m:ctrlPr>
                              <a:rPr lang="he-IL" sz="1100" b="0" i="1">
                                <a:latin typeface="Cambria Math" panose="02040503050406030204" pitchFamily="18" charset="0"/>
                              </a:rPr>
                            </m:ctrlPr>
                          </m:fPr>
                          <m:num>
                            <m:r>
                              <a:rPr lang="he-IL" sz="1100" b="0" i="1">
                                <a:latin typeface="Cambria Math" panose="02040503050406030204" pitchFamily="18" charset="0"/>
                              </a:rPr>
                              <m:t>1</m:t>
                            </m:r>
                          </m:num>
                          <m:den>
                            <m:r>
                              <a:rPr lang="he-IL" sz="1100" b="0" i="1">
                                <a:latin typeface="Cambria Math" panose="02040503050406030204" pitchFamily="18" charset="0"/>
                              </a:rPr>
                              <m:t>2</m:t>
                            </m:r>
                          </m:den>
                        </m:f>
                      </m:sup>
                    </m:sSup>
                    <m:r>
                      <a:rPr lang="en-US" sz="1100" b="0" i="1">
                        <a:latin typeface="Cambria Math" panose="02040503050406030204" pitchFamily="18" charset="0"/>
                      </a:rPr>
                      <m:t>−1</m:t>
                    </m:r>
                    <m:r>
                      <a:rPr lang="he-IL" sz="1100" b="0" i="1">
                        <a:latin typeface="Cambria Math" panose="02040503050406030204" pitchFamily="18" charset="0"/>
                      </a:rPr>
                      <m:t>=3%</m:t>
                    </m:r>
                  </m:oMath>
                </m:oMathPara>
              </a14:m>
              <a:endParaRPr lang="en-US" sz="1100"/>
            </a:p>
          </xdr:txBody>
        </xdr:sp>
      </mc:Choice>
      <mc:Fallback xmlns="">
        <xdr:sp macro="" textlink="">
          <xdr:nvSpPr>
            <xdr:cNvPr id="28" name="TextBox 27">
              <a:extLst>
                <a:ext uri="{FF2B5EF4-FFF2-40B4-BE49-F238E27FC236}">
                  <a16:creationId xmlns:a16="http://schemas.microsoft.com/office/drawing/2014/main" id="{DDD89377-A755-CA46-B851-C0A96B92724A}"/>
                </a:ext>
              </a:extLst>
            </xdr:cNvPr>
            <xdr:cNvSpPr txBox="1"/>
          </xdr:nvSpPr>
          <xdr:spPr>
            <a:xfrm>
              <a:off x="13521738254" y="19227583"/>
              <a:ext cx="1855763" cy="2515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a:t>
              </a:r>
              <a:r>
                <a:rPr lang="he-IL" sz="1100" b="0" i="0">
                  <a:latin typeface="Cambria Math" panose="02040503050406030204" pitchFamily="18" charset="0"/>
                </a:rPr>
                <a:t>6.09%)</a:t>
              </a:r>
              <a:r>
                <a:rPr lang="en-US" sz="1100" b="0" i="0">
                  <a:latin typeface="Cambria Math" panose="02040503050406030204" pitchFamily="18" charset="0"/>
                </a:rPr>
                <a:t>^(</a:t>
              </a:r>
              <a:r>
                <a:rPr lang="he-IL" sz="1100" b="0" i="0">
                  <a:latin typeface="Cambria Math" panose="02040503050406030204" pitchFamily="18" charset="0"/>
                </a:rPr>
                <a:t>1/2</a:t>
              </a:r>
              <a:r>
                <a:rPr lang="en-US" sz="1100" b="0" i="0">
                  <a:latin typeface="Cambria Math" panose="02040503050406030204" pitchFamily="18" charset="0"/>
                </a:rPr>
                <a:t>)−1</a:t>
              </a:r>
              <a:r>
                <a:rPr lang="he-IL" sz="1100" b="0" i="0">
                  <a:latin typeface="Cambria Math" panose="02040503050406030204" pitchFamily="18" charset="0"/>
                </a:rPr>
                <a:t>=3%</a:t>
              </a:r>
              <a:endParaRPr lang="en-US" sz="1100"/>
            </a:p>
          </xdr:txBody>
        </xdr:sp>
      </mc:Fallback>
    </mc:AlternateContent>
    <xdr:clientData/>
  </xdr:oneCellAnchor>
  <xdr:twoCellAnchor>
    <xdr:from>
      <xdr:col>3</xdr:col>
      <xdr:colOff>386996</xdr:colOff>
      <xdr:row>77</xdr:row>
      <xdr:rowOff>147168</xdr:rowOff>
    </xdr:from>
    <xdr:to>
      <xdr:col>3</xdr:col>
      <xdr:colOff>392446</xdr:colOff>
      <xdr:row>80</xdr:row>
      <xdr:rowOff>21802</xdr:rowOff>
    </xdr:to>
    <xdr:cxnSp macro="">
      <xdr:nvCxnSpPr>
        <xdr:cNvPr id="29" name="Straight Connector 28">
          <a:extLst>
            <a:ext uri="{FF2B5EF4-FFF2-40B4-BE49-F238E27FC236}">
              <a16:creationId xmlns:a16="http://schemas.microsoft.com/office/drawing/2014/main" id="{9B7609C3-06E0-6E4F-AC8F-952EC90BD032}"/>
            </a:ext>
          </a:extLst>
        </xdr:cNvPr>
        <xdr:cNvCxnSpPr/>
      </xdr:nvCxnSpPr>
      <xdr:spPr>
        <a:xfrm>
          <a:off x="13522237354" y="16301568"/>
          <a:ext cx="5450" cy="484234"/>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3</xdr:col>
      <xdr:colOff>386995</xdr:colOff>
      <xdr:row>80</xdr:row>
      <xdr:rowOff>27253</xdr:rowOff>
    </xdr:from>
    <xdr:to>
      <xdr:col>4</xdr:col>
      <xdr:colOff>408799</xdr:colOff>
      <xdr:row>80</xdr:row>
      <xdr:rowOff>32704</xdr:rowOff>
    </xdr:to>
    <xdr:cxnSp macro="">
      <xdr:nvCxnSpPr>
        <xdr:cNvPr id="30" name="Straight Connector 29">
          <a:extLst>
            <a:ext uri="{FF2B5EF4-FFF2-40B4-BE49-F238E27FC236}">
              <a16:creationId xmlns:a16="http://schemas.microsoft.com/office/drawing/2014/main" id="{06649176-2700-E848-8342-84F48331DB83}"/>
            </a:ext>
          </a:extLst>
        </xdr:cNvPr>
        <xdr:cNvCxnSpPr/>
      </xdr:nvCxnSpPr>
      <xdr:spPr>
        <a:xfrm flipH="1">
          <a:off x="13521332001" y="16791253"/>
          <a:ext cx="910804" cy="5451"/>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403349</xdr:colOff>
      <xdr:row>77</xdr:row>
      <xdr:rowOff>81760</xdr:rowOff>
    </xdr:from>
    <xdr:to>
      <xdr:col>4</xdr:col>
      <xdr:colOff>408799</xdr:colOff>
      <xdr:row>80</xdr:row>
      <xdr:rowOff>43605</xdr:rowOff>
    </xdr:to>
    <xdr:cxnSp macro="">
      <xdr:nvCxnSpPr>
        <xdr:cNvPr id="31" name="Straight Arrow Connector 30">
          <a:extLst>
            <a:ext uri="{FF2B5EF4-FFF2-40B4-BE49-F238E27FC236}">
              <a16:creationId xmlns:a16="http://schemas.microsoft.com/office/drawing/2014/main" id="{D7496DA4-4EF5-6C4C-879C-5C82295BD45D}"/>
            </a:ext>
          </a:extLst>
        </xdr:cNvPr>
        <xdr:cNvCxnSpPr/>
      </xdr:nvCxnSpPr>
      <xdr:spPr>
        <a:xfrm flipV="1">
          <a:off x="13521332001" y="16236160"/>
          <a:ext cx="5450" cy="571445"/>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615923</xdr:colOff>
      <xdr:row>75</xdr:row>
      <xdr:rowOff>114464</xdr:rowOff>
    </xdr:from>
    <xdr:to>
      <xdr:col>6</xdr:col>
      <xdr:colOff>256181</xdr:colOff>
      <xdr:row>75</xdr:row>
      <xdr:rowOff>114464</xdr:rowOff>
    </xdr:to>
    <xdr:cxnSp macro="">
      <xdr:nvCxnSpPr>
        <xdr:cNvPr id="32" name="Straight Arrow Connector 31">
          <a:extLst>
            <a:ext uri="{FF2B5EF4-FFF2-40B4-BE49-F238E27FC236}">
              <a16:creationId xmlns:a16="http://schemas.microsoft.com/office/drawing/2014/main" id="{C464084F-0C61-D540-AF24-7BF222A198A2}"/>
            </a:ext>
          </a:extLst>
        </xdr:cNvPr>
        <xdr:cNvCxnSpPr/>
      </xdr:nvCxnSpPr>
      <xdr:spPr>
        <a:xfrm flipH="1">
          <a:off x="13519782819" y="15862464"/>
          <a:ext cx="1342058" cy="0"/>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oneCellAnchor>
    <xdr:from>
      <xdr:col>3</xdr:col>
      <xdr:colOff>479657</xdr:colOff>
      <xdr:row>96</xdr:row>
      <xdr:rowOff>117843</xdr:rowOff>
    </xdr:from>
    <xdr:ext cx="1610484" cy="31579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9DE48EA7-0F2F-EA40-A84D-2B33A0DBC46D}"/>
                </a:ext>
              </a:extLst>
            </xdr:cNvPr>
            <xdr:cNvSpPr txBox="1"/>
          </xdr:nvSpPr>
          <xdr:spPr>
            <a:xfrm>
              <a:off x="13520539659" y="20133043"/>
              <a:ext cx="1610484"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𝑃𝑀𝑇</m:t>
                        </m:r>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33" name="TextBox 32">
              <a:extLst>
                <a:ext uri="{FF2B5EF4-FFF2-40B4-BE49-F238E27FC236}">
                  <a16:creationId xmlns:a16="http://schemas.microsoft.com/office/drawing/2014/main" id="{9DE48EA7-0F2F-EA40-A84D-2B33A0DBC46D}"/>
                </a:ext>
              </a:extLst>
            </xdr:cNvPr>
            <xdr:cNvSpPr txBox="1"/>
          </xdr:nvSpPr>
          <xdr:spPr>
            <a:xfrm>
              <a:off x="13520539659" y="20133043"/>
              <a:ext cx="1610484"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𝑃𝑉=𝑃𝑀𝑇/𝑟</a:t>
              </a:r>
              <a:endParaRPr lang="en-US" sz="1100"/>
            </a:p>
          </xdr:txBody>
        </xdr:sp>
      </mc:Fallback>
    </mc:AlternateContent>
    <xdr:clientData/>
  </xdr:oneCellAnchor>
  <xdr:oneCellAnchor>
    <xdr:from>
      <xdr:col>3</xdr:col>
      <xdr:colOff>70859</xdr:colOff>
      <xdr:row>99</xdr:row>
      <xdr:rowOff>90590</xdr:rowOff>
    </xdr:from>
    <xdr:ext cx="1610484" cy="328103"/>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4AB2BB77-631C-9245-9ECA-C2186A26FCBD}"/>
                </a:ext>
              </a:extLst>
            </xdr:cNvPr>
            <xdr:cNvSpPr txBox="1"/>
          </xdr:nvSpPr>
          <xdr:spPr>
            <a:xfrm>
              <a:off x="13520948457" y="20715390"/>
              <a:ext cx="1610484" cy="328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he-IL" sz="1100" b="0" i="1">
                            <a:latin typeface="Cambria Math" panose="02040503050406030204" pitchFamily="18" charset="0"/>
                          </a:rPr>
                        </m:ctrlPr>
                      </m:sSubPr>
                      <m:e>
                        <m:r>
                          <a:rPr lang="en-US" sz="1100" b="0" i="1">
                            <a:latin typeface="Cambria Math" panose="02040503050406030204" pitchFamily="18" charset="0"/>
                          </a:rPr>
                          <m:t>𝑉</m:t>
                        </m:r>
                      </m:e>
                      <m:sub>
                        <m:r>
                          <a:rPr lang="he-IL" sz="1100" b="0" i="1">
                            <a:latin typeface="Cambria Math" panose="02040503050406030204" pitchFamily="18" charset="0"/>
                          </a:rPr>
                          <m:t>1.5</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he-IL" sz="1100" b="0" i="1">
                            <a:latin typeface="Cambria Math" panose="02040503050406030204" pitchFamily="18" charset="0"/>
                          </a:rPr>
                          <m:t>15,000</m:t>
                        </m:r>
                      </m:num>
                      <m:den>
                        <m:r>
                          <a:rPr lang="he-IL" sz="1100" b="0" i="1">
                            <a:latin typeface="Cambria Math" panose="02040503050406030204" pitchFamily="18" charset="0"/>
                          </a:rPr>
                          <m:t>3%</m:t>
                        </m:r>
                      </m:den>
                    </m:f>
                    <m:r>
                      <a:rPr lang="he-IL" sz="1100" b="0" i="1">
                        <a:latin typeface="Cambria Math" panose="02040503050406030204" pitchFamily="18" charset="0"/>
                      </a:rPr>
                      <m:t>=500,000</m:t>
                    </m:r>
                  </m:oMath>
                </m:oMathPara>
              </a14:m>
              <a:endParaRPr lang="en-US" sz="1100"/>
            </a:p>
          </xdr:txBody>
        </xdr:sp>
      </mc:Choice>
      <mc:Fallback xmlns="">
        <xdr:sp macro="" textlink="">
          <xdr:nvSpPr>
            <xdr:cNvPr id="34" name="TextBox 33">
              <a:extLst>
                <a:ext uri="{FF2B5EF4-FFF2-40B4-BE49-F238E27FC236}">
                  <a16:creationId xmlns:a16="http://schemas.microsoft.com/office/drawing/2014/main" id="{4AB2BB77-631C-9245-9ECA-C2186A26FCBD}"/>
                </a:ext>
              </a:extLst>
            </xdr:cNvPr>
            <xdr:cNvSpPr txBox="1"/>
          </xdr:nvSpPr>
          <xdr:spPr>
            <a:xfrm>
              <a:off x="13520948457" y="20715390"/>
              <a:ext cx="1610484" cy="328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a:t>
              </a:r>
              <a:r>
                <a:rPr lang="he-IL" sz="1100" b="0" i="0">
                  <a:latin typeface="Cambria Math" panose="02040503050406030204" pitchFamily="18" charset="0"/>
                </a:rPr>
                <a:t>_1.5</a:t>
              </a:r>
              <a:r>
                <a:rPr lang="en-US" sz="1100" b="0" i="0">
                  <a:latin typeface="Cambria Math" panose="02040503050406030204" pitchFamily="18" charset="0"/>
                </a:rPr>
                <a:t>=</a:t>
              </a:r>
              <a:r>
                <a:rPr lang="he-IL" sz="1100" b="0" i="0">
                  <a:latin typeface="Cambria Math" panose="02040503050406030204" pitchFamily="18" charset="0"/>
                </a:rPr>
                <a:t>15,000</a:t>
              </a:r>
              <a:r>
                <a:rPr lang="en-US" sz="1100" b="0" i="0">
                  <a:latin typeface="Cambria Math" panose="02040503050406030204" pitchFamily="18" charset="0"/>
                </a:rPr>
                <a:t>/(</a:t>
              </a:r>
              <a:r>
                <a:rPr lang="he-IL" sz="1100" b="0" i="0">
                  <a:latin typeface="Cambria Math" panose="02040503050406030204" pitchFamily="18" charset="0"/>
                </a:rPr>
                <a:t>3%</a:t>
              </a:r>
              <a:r>
                <a:rPr lang="en-US" sz="1100" b="0" i="0">
                  <a:latin typeface="Cambria Math" panose="02040503050406030204" pitchFamily="18" charset="0"/>
                </a:rPr>
                <a:t>)</a:t>
              </a:r>
              <a:r>
                <a:rPr lang="he-IL" sz="1100" b="0" i="0">
                  <a:latin typeface="Cambria Math" panose="02040503050406030204" pitchFamily="18" charset="0"/>
                </a:rPr>
                <a:t>=500,000</a:t>
              </a:r>
              <a:endParaRPr lang="en-US" sz="1100"/>
            </a:p>
          </xdr:txBody>
        </xdr:sp>
      </mc:Fallback>
    </mc:AlternateContent>
    <xdr:clientData/>
  </xdr:oneCellAnchor>
  <xdr:twoCellAnchor>
    <xdr:from>
      <xdr:col>2</xdr:col>
      <xdr:colOff>784893</xdr:colOff>
      <xdr:row>108</xdr:row>
      <xdr:rowOff>174420</xdr:rowOff>
    </xdr:from>
    <xdr:to>
      <xdr:col>3</xdr:col>
      <xdr:colOff>109013</xdr:colOff>
      <xdr:row>110</xdr:row>
      <xdr:rowOff>92661</xdr:rowOff>
    </xdr:to>
    <xdr:cxnSp macro="">
      <xdr:nvCxnSpPr>
        <xdr:cNvPr id="35" name="Straight Arrow Connector 34">
          <a:extLst>
            <a:ext uri="{FF2B5EF4-FFF2-40B4-BE49-F238E27FC236}">
              <a16:creationId xmlns:a16="http://schemas.microsoft.com/office/drawing/2014/main" id="{01F3D6D3-184A-1546-BBE6-73B4E3F5B090}"/>
            </a:ext>
          </a:extLst>
        </xdr:cNvPr>
        <xdr:cNvCxnSpPr/>
      </xdr:nvCxnSpPr>
      <xdr:spPr>
        <a:xfrm flipV="1">
          <a:off x="13522520787" y="22628020"/>
          <a:ext cx="149620" cy="32464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735838</xdr:colOff>
      <xdr:row>121</xdr:row>
      <xdr:rowOff>125365</xdr:rowOff>
    </xdr:from>
    <xdr:to>
      <xdr:col>3</xdr:col>
      <xdr:colOff>147167</xdr:colOff>
      <xdr:row>123</xdr:row>
      <xdr:rowOff>81760</xdr:rowOff>
    </xdr:to>
    <xdr:cxnSp macro="">
      <xdr:nvCxnSpPr>
        <xdr:cNvPr id="36" name="Straight Arrow Connector 35">
          <a:extLst>
            <a:ext uri="{FF2B5EF4-FFF2-40B4-BE49-F238E27FC236}">
              <a16:creationId xmlns:a16="http://schemas.microsoft.com/office/drawing/2014/main" id="{A0C82242-2957-D24A-8BE0-B145265979A7}"/>
            </a:ext>
          </a:extLst>
        </xdr:cNvPr>
        <xdr:cNvCxnSpPr/>
      </xdr:nvCxnSpPr>
      <xdr:spPr>
        <a:xfrm>
          <a:off x="13522482633" y="25220565"/>
          <a:ext cx="236829" cy="36279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294334</xdr:colOff>
      <xdr:row>160</xdr:row>
      <xdr:rowOff>125365</xdr:rowOff>
    </xdr:from>
    <xdr:to>
      <xdr:col>5</xdr:col>
      <xdr:colOff>528712</xdr:colOff>
      <xdr:row>160</xdr:row>
      <xdr:rowOff>130816</xdr:rowOff>
    </xdr:to>
    <xdr:cxnSp macro="">
      <xdr:nvCxnSpPr>
        <xdr:cNvPr id="37" name="Straight Arrow Connector 36">
          <a:extLst>
            <a:ext uri="{FF2B5EF4-FFF2-40B4-BE49-F238E27FC236}">
              <a16:creationId xmlns:a16="http://schemas.microsoft.com/office/drawing/2014/main" id="{88CCE667-E822-6944-A8C3-33ADF83EEA4C}"/>
            </a:ext>
          </a:extLst>
        </xdr:cNvPr>
        <xdr:cNvCxnSpPr/>
      </xdr:nvCxnSpPr>
      <xdr:spPr>
        <a:xfrm>
          <a:off x="13520335788" y="33145365"/>
          <a:ext cx="4476178" cy="5451"/>
        </a:xfrm>
        <a:prstGeom prst="straightConnector1">
          <a:avLst/>
        </a:prstGeom>
        <a:ln w="19050" cap="flat" cmpd="sng" algn="ctr">
          <a:solidFill>
            <a:schemeClr val="dk1"/>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xdr:col>
      <xdr:colOff>10898</xdr:colOff>
      <xdr:row>160</xdr:row>
      <xdr:rowOff>95385</xdr:rowOff>
    </xdr:from>
    <xdr:to>
      <xdr:col>5</xdr:col>
      <xdr:colOff>321587</xdr:colOff>
      <xdr:row>161</xdr:row>
      <xdr:rowOff>125364</xdr:rowOff>
    </xdr:to>
    <xdr:sp macro="" textlink="">
      <xdr:nvSpPr>
        <xdr:cNvPr id="38" name="Left Brace 37">
          <a:extLst>
            <a:ext uri="{FF2B5EF4-FFF2-40B4-BE49-F238E27FC236}">
              <a16:creationId xmlns:a16="http://schemas.microsoft.com/office/drawing/2014/main" id="{E22D410D-8241-3F4A-A703-2586E85BE098}"/>
            </a:ext>
          </a:extLst>
        </xdr:cNvPr>
        <xdr:cNvSpPr/>
      </xdr:nvSpPr>
      <xdr:spPr>
        <a:xfrm rot="16200000">
          <a:off x="13522289818" y="31368480"/>
          <a:ext cx="233179" cy="3726989"/>
        </a:xfrm>
        <a:prstGeom prst="leftBrace">
          <a:avLst/>
        </a:prstGeom>
      </xdr:spPr>
      <xdr:style>
        <a:lnRef idx="3">
          <a:schemeClr val="accent1"/>
        </a:lnRef>
        <a:fillRef idx="0">
          <a:schemeClr val="accent1"/>
        </a:fillRef>
        <a:effectRef idx="2">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0</xdr:col>
      <xdr:colOff>294334</xdr:colOff>
      <xdr:row>172</xdr:row>
      <xdr:rowOff>125365</xdr:rowOff>
    </xdr:from>
    <xdr:to>
      <xdr:col>5</xdr:col>
      <xdr:colOff>528712</xdr:colOff>
      <xdr:row>172</xdr:row>
      <xdr:rowOff>130816</xdr:rowOff>
    </xdr:to>
    <xdr:cxnSp macro="">
      <xdr:nvCxnSpPr>
        <xdr:cNvPr id="39" name="Straight Arrow Connector 38">
          <a:extLst>
            <a:ext uri="{FF2B5EF4-FFF2-40B4-BE49-F238E27FC236}">
              <a16:creationId xmlns:a16="http://schemas.microsoft.com/office/drawing/2014/main" id="{BF1FDE88-898B-8646-B48E-60A5D1BB4B48}"/>
            </a:ext>
          </a:extLst>
        </xdr:cNvPr>
        <xdr:cNvCxnSpPr/>
      </xdr:nvCxnSpPr>
      <xdr:spPr>
        <a:xfrm>
          <a:off x="13520335788" y="35583765"/>
          <a:ext cx="4476178" cy="5451"/>
        </a:xfrm>
        <a:prstGeom prst="straightConnector1">
          <a:avLst/>
        </a:prstGeom>
        <a:ln w="19050" cap="flat" cmpd="sng" algn="ctr">
          <a:solidFill>
            <a:schemeClr val="dk1"/>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xdr:col>
      <xdr:colOff>10899</xdr:colOff>
      <xdr:row>172</xdr:row>
      <xdr:rowOff>95385</xdr:rowOff>
    </xdr:from>
    <xdr:to>
      <xdr:col>4</xdr:col>
      <xdr:colOff>359740</xdr:colOff>
      <xdr:row>173</xdr:row>
      <xdr:rowOff>109012</xdr:rowOff>
    </xdr:to>
    <xdr:sp macro="" textlink="">
      <xdr:nvSpPr>
        <xdr:cNvPr id="40" name="Left Brace 39">
          <a:extLst>
            <a:ext uri="{FF2B5EF4-FFF2-40B4-BE49-F238E27FC236}">
              <a16:creationId xmlns:a16="http://schemas.microsoft.com/office/drawing/2014/main" id="{0C8FE673-7A20-BE40-A29A-247D6897979D}"/>
            </a:ext>
          </a:extLst>
        </xdr:cNvPr>
        <xdr:cNvSpPr/>
      </xdr:nvSpPr>
      <xdr:spPr>
        <a:xfrm rot="16200000">
          <a:off x="13522717067" y="34217778"/>
          <a:ext cx="216827" cy="2888841"/>
        </a:xfrm>
        <a:prstGeom prst="leftBrace">
          <a:avLst>
            <a:gd name="adj1" fmla="val 8333"/>
            <a:gd name="adj2" fmla="val 25425"/>
          </a:avLst>
        </a:prstGeom>
      </xdr:spPr>
      <xdr:style>
        <a:lnRef idx="3">
          <a:schemeClr val="accent1"/>
        </a:lnRef>
        <a:fillRef idx="0">
          <a:schemeClr val="accent1"/>
        </a:fillRef>
        <a:effectRef idx="2">
          <a:schemeClr val="accent1"/>
        </a:effectRef>
        <a:fontRef idx="minor">
          <a:schemeClr val="tx1"/>
        </a:fontRef>
      </xdr:style>
      <xdr:txBody>
        <a:bodyPr vertOverflow="clip" horzOverflow="clip" rtlCol="0" anchor="t"/>
        <a:lstStyle/>
        <a:p>
          <a:pPr algn="r" rtl="1"/>
          <a:endParaRPr lang="en-US" sz="1100"/>
        </a:p>
      </xdr:txBody>
    </xdr:sp>
    <xdr:clientData/>
  </xdr:twoCellAnchor>
  <xdr:oneCellAnchor>
    <xdr:from>
      <xdr:col>1</xdr:col>
      <xdr:colOff>795794</xdr:colOff>
      <xdr:row>181</xdr:row>
      <xdr:rowOff>79689</xdr:rowOff>
    </xdr:from>
    <xdr:ext cx="3371043" cy="316882"/>
    <mc:AlternateContent xmlns:mc="http://schemas.openxmlformats.org/markup-compatibility/2006" xmlns:a14="http://schemas.microsoft.com/office/drawing/2010/main">
      <mc:Choice Requires="a14">
        <xdr:sp macro="" textlink="">
          <xdr:nvSpPr>
            <xdr:cNvPr id="41" name="TextBox 40">
              <a:extLst>
                <a:ext uri="{FF2B5EF4-FFF2-40B4-BE49-F238E27FC236}">
                  <a16:creationId xmlns:a16="http://schemas.microsoft.com/office/drawing/2014/main" id="{1E361A5E-E8F0-C648-9ABC-138F23BE8A9D}"/>
                </a:ext>
              </a:extLst>
            </xdr:cNvPr>
            <xdr:cNvSpPr txBox="1"/>
          </xdr:nvSpPr>
          <xdr:spPr>
            <a:xfrm>
              <a:off x="13520113963" y="37366889"/>
              <a:ext cx="3371043"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18,750=1,200+</m:t>
                    </m:r>
                    <m:f>
                      <m:fPr>
                        <m:ctrlPr>
                          <a:rPr lang="en-US" sz="1100" b="0" i="1">
                            <a:latin typeface="Cambria Math" panose="02040503050406030204" pitchFamily="18" charset="0"/>
                          </a:rPr>
                        </m:ctrlPr>
                      </m:fPr>
                      <m:num>
                        <m:r>
                          <a:rPr lang="en-US" sz="1100" b="0" i="1">
                            <a:latin typeface="Cambria Math" panose="02040503050406030204" pitchFamily="18" charset="0"/>
                          </a:rPr>
                          <m:t>1,200</m:t>
                        </m:r>
                      </m:num>
                      <m:den>
                        <m:r>
                          <a:rPr lang="en-US" sz="1100" b="0" i="1">
                            <a:latin typeface="Cambria Math" panose="02040503050406030204" pitchFamily="18" charset="0"/>
                          </a:rPr>
                          <m:t>𝑟</m:t>
                        </m:r>
                      </m:den>
                    </m:f>
                    <m:r>
                      <a:rPr lang="en-US" sz="1100" b="0" i="1">
                        <a:latin typeface="Cambria Math" panose="02040503050406030204" pitchFamily="18" charset="0"/>
                      </a:rPr>
                      <m:t>→</m:t>
                    </m:r>
                    <m:r>
                      <a:rPr lang="en-US" sz="1100" b="0" i="1">
                        <a:latin typeface="Cambria Math" panose="02040503050406030204" pitchFamily="18" charset="0"/>
                      </a:rPr>
                      <m:t>𝑟</m:t>
                    </m:r>
                    <m:r>
                      <a:rPr lang="en-US" sz="1100" b="0" i="1">
                        <a:latin typeface="Cambria Math" panose="02040503050406030204" pitchFamily="18" charset="0"/>
                      </a:rPr>
                      <m:t>=6.84%</m:t>
                    </m:r>
                  </m:oMath>
                </m:oMathPara>
              </a14:m>
              <a:endParaRPr lang="en-US" sz="1100"/>
            </a:p>
          </xdr:txBody>
        </xdr:sp>
      </mc:Choice>
      <mc:Fallback xmlns="">
        <xdr:sp macro="" textlink="">
          <xdr:nvSpPr>
            <xdr:cNvPr id="41" name="TextBox 40">
              <a:extLst>
                <a:ext uri="{FF2B5EF4-FFF2-40B4-BE49-F238E27FC236}">
                  <a16:creationId xmlns:a16="http://schemas.microsoft.com/office/drawing/2014/main" id="{1E361A5E-E8F0-C648-9ABC-138F23BE8A9D}"/>
                </a:ext>
              </a:extLst>
            </xdr:cNvPr>
            <xdr:cNvSpPr txBox="1"/>
          </xdr:nvSpPr>
          <xdr:spPr>
            <a:xfrm>
              <a:off x="13520113963" y="37366889"/>
              <a:ext cx="3371043"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18,750=1,200+1,200/𝑟→𝑟=6.84%</a:t>
              </a:r>
              <a:endParaRPr lang="en-US" sz="1100"/>
            </a:p>
          </xdr:txBody>
        </xdr:sp>
      </mc:Fallback>
    </mc:AlternateContent>
    <xdr:clientData/>
  </xdr:oneCellAnchor>
  <xdr:twoCellAnchor>
    <xdr:from>
      <xdr:col>4</xdr:col>
      <xdr:colOff>348840</xdr:colOff>
      <xdr:row>173</xdr:row>
      <xdr:rowOff>92661</xdr:rowOff>
    </xdr:from>
    <xdr:to>
      <xdr:col>4</xdr:col>
      <xdr:colOff>365192</xdr:colOff>
      <xdr:row>177</xdr:row>
      <xdr:rowOff>158069</xdr:rowOff>
    </xdr:to>
    <xdr:cxnSp macro="">
      <xdr:nvCxnSpPr>
        <xdr:cNvPr id="42" name="Straight Connector 41">
          <a:extLst>
            <a:ext uri="{FF2B5EF4-FFF2-40B4-BE49-F238E27FC236}">
              <a16:creationId xmlns:a16="http://schemas.microsoft.com/office/drawing/2014/main" id="{84271E30-CA1C-F347-8A46-77DF916DDC5D}"/>
            </a:ext>
          </a:extLst>
        </xdr:cNvPr>
        <xdr:cNvCxnSpPr/>
      </xdr:nvCxnSpPr>
      <xdr:spPr>
        <a:xfrm>
          <a:off x="13521375608" y="35754261"/>
          <a:ext cx="16352" cy="878208"/>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354291</xdr:colOff>
      <xdr:row>177</xdr:row>
      <xdr:rowOff>158069</xdr:rowOff>
    </xdr:from>
    <xdr:to>
      <xdr:col>5</xdr:col>
      <xdr:colOff>343390</xdr:colOff>
      <xdr:row>177</xdr:row>
      <xdr:rowOff>168970</xdr:rowOff>
    </xdr:to>
    <xdr:cxnSp macro="">
      <xdr:nvCxnSpPr>
        <xdr:cNvPr id="43" name="Straight Connector 42">
          <a:extLst>
            <a:ext uri="{FF2B5EF4-FFF2-40B4-BE49-F238E27FC236}">
              <a16:creationId xmlns:a16="http://schemas.microsoft.com/office/drawing/2014/main" id="{95656417-5636-854A-A4A0-5512D16D1A9F}"/>
            </a:ext>
          </a:extLst>
        </xdr:cNvPr>
        <xdr:cNvCxnSpPr/>
      </xdr:nvCxnSpPr>
      <xdr:spPr>
        <a:xfrm flipH="1">
          <a:off x="13520521110" y="36632469"/>
          <a:ext cx="865399" cy="10901"/>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5</xdr:col>
      <xdr:colOff>343390</xdr:colOff>
      <xdr:row>176</xdr:row>
      <xdr:rowOff>16352</xdr:rowOff>
    </xdr:from>
    <xdr:to>
      <xdr:col>5</xdr:col>
      <xdr:colOff>348840</xdr:colOff>
      <xdr:row>177</xdr:row>
      <xdr:rowOff>168969</xdr:rowOff>
    </xdr:to>
    <xdr:cxnSp macro="">
      <xdr:nvCxnSpPr>
        <xdr:cNvPr id="44" name="Straight Connector 43">
          <a:extLst>
            <a:ext uri="{FF2B5EF4-FFF2-40B4-BE49-F238E27FC236}">
              <a16:creationId xmlns:a16="http://schemas.microsoft.com/office/drawing/2014/main" id="{A7C84DEA-0FFF-F24B-A8C5-394576F9FE3C}"/>
            </a:ext>
          </a:extLst>
        </xdr:cNvPr>
        <xdr:cNvCxnSpPr/>
      </xdr:nvCxnSpPr>
      <xdr:spPr>
        <a:xfrm flipH="1" flipV="1">
          <a:off x="13520515660" y="36287552"/>
          <a:ext cx="5450" cy="355817"/>
        </a:xfrm>
        <a:prstGeom prst="line">
          <a:avLst/>
        </a:prstGeom>
        <a:ln>
          <a:headEnd type="none" w="med" len="med"/>
          <a:tailEnd type="arrow" w="med" len="med"/>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0</xdr:col>
      <xdr:colOff>436053</xdr:colOff>
      <xdr:row>217</xdr:row>
      <xdr:rowOff>119914</xdr:rowOff>
    </xdr:from>
    <xdr:to>
      <xdr:col>7</xdr:col>
      <xdr:colOff>283435</xdr:colOff>
      <xdr:row>217</xdr:row>
      <xdr:rowOff>130816</xdr:rowOff>
    </xdr:to>
    <xdr:cxnSp macro="">
      <xdr:nvCxnSpPr>
        <xdr:cNvPr id="45" name="Straight Arrow Connector 44">
          <a:extLst>
            <a:ext uri="{FF2B5EF4-FFF2-40B4-BE49-F238E27FC236}">
              <a16:creationId xmlns:a16="http://schemas.microsoft.com/office/drawing/2014/main" id="{BD95C00F-BB12-BC43-AE0C-470394B2F34F}"/>
            </a:ext>
          </a:extLst>
        </xdr:cNvPr>
        <xdr:cNvCxnSpPr/>
      </xdr:nvCxnSpPr>
      <xdr:spPr>
        <a:xfrm>
          <a:off x="13518930065" y="41064714"/>
          <a:ext cx="5740182" cy="10902"/>
        </a:xfrm>
        <a:prstGeom prst="straightConnector1">
          <a:avLst/>
        </a:prstGeom>
        <a:ln w="19050" cap="flat" cmpd="sng" algn="ctr">
          <a:solidFill>
            <a:schemeClr val="dk1"/>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0</xdr:col>
      <xdr:colOff>730385</xdr:colOff>
      <xdr:row>217</xdr:row>
      <xdr:rowOff>62682</xdr:rowOff>
    </xdr:from>
    <xdr:to>
      <xdr:col>3</xdr:col>
      <xdr:colOff>400622</xdr:colOff>
      <xdr:row>219</xdr:row>
      <xdr:rowOff>59956</xdr:rowOff>
    </xdr:to>
    <xdr:sp macro="" textlink="">
      <xdr:nvSpPr>
        <xdr:cNvPr id="46" name="Left Brace 45">
          <a:extLst>
            <a:ext uri="{FF2B5EF4-FFF2-40B4-BE49-F238E27FC236}">
              <a16:creationId xmlns:a16="http://schemas.microsoft.com/office/drawing/2014/main" id="{9C455D20-E8B8-584D-A0DB-23DE195FB7E0}"/>
            </a:ext>
          </a:extLst>
        </xdr:cNvPr>
        <xdr:cNvSpPr/>
      </xdr:nvSpPr>
      <xdr:spPr>
        <a:xfrm rot="16200000">
          <a:off x="13523100710" y="40135950"/>
          <a:ext cx="403674" cy="2146737"/>
        </a:xfrm>
        <a:prstGeom prst="leftBrace">
          <a:avLst/>
        </a:prstGeom>
      </xdr:spPr>
      <xdr:style>
        <a:lnRef idx="3">
          <a:schemeClr val="accent1"/>
        </a:lnRef>
        <a:fillRef idx="0">
          <a:schemeClr val="accent1"/>
        </a:fillRef>
        <a:effectRef idx="2">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3</xdr:col>
      <xdr:colOff>386996</xdr:colOff>
      <xdr:row>218</xdr:row>
      <xdr:rowOff>147168</xdr:rowOff>
    </xdr:from>
    <xdr:to>
      <xdr:col>3</xdr:col>
      <xdr:colOff>392446</xdr:colOff>
      <xdr:row>221</xdr:row>
      <xdr:rowOff>21802</xdr:rowOff>
    </xdr:to>
    <xdr:cxnSp macro="">
      <xdr:nvCxnSpPr>
        <xdr:cNvPr id="47" name="Straight Connector 46">
          <a:extLst>
            <a:ext uri="{FF2B5EF4-FFF2-40B4-BE49-F238E27FC236}">
              <a16:creationId xmlns:a16="http://schemas.microsoft.com/office/drawing/2014/main" id="{6B077D54-FDC7-284A-8965-E02671BE5D2C}"/>
            </a:ext>
          </a:extLst>
        </xdr:cNvPr>
        <xdr:cNvCxnSpPr/>
      </xdr:nvCxnSpPr>
      <xdr:spPr>
        <a:xfrm>
          <a:off x="13522237354" y="41295168"/>
          <a:ext cx="5450" cy="484234"/>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3</xdr:col>
      <xdr:colOff>386995</xdr:colOff>
      <xdr:row>221</xdr:row>
      <xdr:rowOff>27253</xdr:rowOff>
    </xdr:from>
    <xdr:to>
      <xdr:col>4</xdr:col>
      <xdr:colOff>408799</xdr:colOff>
      <xdr:row>221</xdr:row>
      <xdr:rowOff>32704</xdr:rowOff>
    </xdr:to>
    <xdr:cxnSp macro="">
      <xdr:nvCxnSpPr>
        <xdr:cNvPr id="48" name="Straight Connector 47">
          <a:extLst>
            <a:ext uri="{FF2B5EF4-FFF2-40B4-BE49-F238E27FC236}">
              <a16:creationId xmlns:a16="http://schemas.microsoft.com/office/drawing/2014/main" id="{F88BD249-5D56-9A44-89C6-A3EAA64415C8}"/>
            </a:ext>
          </a:extLst>
        </xdr:cNvPr>
        <xdr:cNvCxnSpPr/>
      </xdr:nvCxnSpPr>
      <xdr:spPr>
        <a:xfrm flipH="1">
          <a:off x="13521332001" y="41784853"/>
          <a:ext cx="910804" cy="5451"/>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403349</xdr:colOff>
      <xdr:row>218</xdr:row>
      <xdr:rowOff>81760</xdr:rowOff>
    </xdr:from>
    <xdr:to>
      <xdr:col>4</xdr:col>
      <xdr:colOff>408799</xdr:colOff>
      <xdr:row>221</xdr:row>
      <xdr:rowOff>43605</xdr:rowOff>
    </xdr:to>
    <xdr:cxnSp macro="">
      <xdr:nvCxnSpPr>
        <xdr:cNvPr id="49" name="Straight Arrow Connector 48">
          <a:extLst>
            <a:ext uri="{FF2B5EF4-FFF2-40B4-BE49-F238E27FC236}">
              <a16:creationId xmlns:a16="http://schemas.microsoft.com/office/drawing/2014/main" id="{0B61CD40-72FC-7840-9FAE-8B8A69026A14}"/>
            </a:ext>
          </a:extLst>
        </xdr:cNvPr>
        <xdr:cNvCxnSpPr/>
      </xdr:nvCxnSpPr>
      <xdr:spPr>
        <a:xfrm flipV="1">
          <a:off x="13521332001" y="41229760"/>
          <a:ext cx="5450" cy="571445"/>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615923</xdr:colOff>
      <xdr:row>216</xdr:row>
      <xdr:rowOff>114464</xdr:rowOff>
    </xdr:from>
    <xdr:to>
      <xdr:col>6</xdr:col>
      <xdr:colOff>256181</xdr:colOff>
      <xdr:row>216</xdr:row>
      <xdr:rowOff>114464</xdr:rowOff>
    </xdr:to>
    <xdr:cxnSp macro="">
      <xdr:nvCxnSpPr>
        <xdr:cNvPr id="50" name="Straight Arrow Connector 49">
          <a:extLst>
            <a:ext uri="{FF2B5EF4-FFF2-40B4-BE49-F238E27FC236}">
              <a16:creationId xmlns:a16="http://schemas.microsoft.com/office/drawing/2014/main" id="{D8531DA7-0B57-3E4F-B13C-B901A2D67379}"/>
            </a:ext>
          </a:extLst>
        </xdr:cNvPr>
        <xdr:cNvCxnSpPr/>
      </xdr:nvCxnSpPr>
      <xdr:spPr>
        <a:xfrm flipH="1">
          <a:off x="13519782819" y="40856064"/>
          <a:ext cx="1342058" cy="0"/>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3</xdr:col>
      <xdr:colOff>735838</xdr:colOff>
      <xdr:row>232</xdr:row>
      <xdr:rowOff>125365</xdr:rowOff>
    </xdr:from>
    <xdr:to>
      <xdr:col>4</xdr:col>
      <xdr:colOff>147167</xdr:colOff>
      <xdr:row>234</xdr:row>
      <xdr:rowOff>81760</xdr:rowOff>
    </xdr:to>
    <xdr:cxnSp macro="">
      <xdr:nvCxnSpPr>
        <xdr:cNvPr id="51" name="Straight Arrow Connector 50">
          <a:extLst>
            <a:ext uri="{FF2B5EF4-FFF2-40B4-BE49-F238E27FC236}">
              <a16:creationId xmlns:a16="http://schemas.microsoft.com/office/drawing/2014/main" id="{E1D79933-A274-2E48-AF6A-45452B17A7D7}"/>
            </a:ext>
          </a:extLst>
        </xdr:cNvPr>
        <xdr:cNvCxnSpPr/>
      </xdr:nvCxnSpPr>
      <xdr:spPr>
        <a:xfrm>
          <a:off x="13521593633" y="43521265"/>
          <a:ext cx="300329" cy="37549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490558</xdr:colOff>
      <xdr:row>415</xdr:row>
      <xdr:rowOff>92661</xdr:rowOff>
    </xdr:from>
    <xdr:to>
      <xdr:col>6</xdr:col>
      <xdr:colOff>719485</xdr:colOff>
      <xdr:row>415</xdr:row>
      <xdr:rowOff>92661</xdr:rowOff>
    </xdr:to>
    <xdr:cxnSp macro="">
      <xdr:nvCxnSpPr>
        <xdr:cNvPr id="52" name="Straight Arrow Connector 51">
          <a:extLst>
            <a:ext uri="{FF2B5EF4-FFF2-40B4-BE49-F238E27FC236}">
              <a16:creationId xmlns:a16="http://schemas.microsoft.com/office/drawing/2014/main" id="{0E673BF5-3A91-C74A-981F-288E5D455B65}"/>
            </a:ext>
          </a:extLst>
        </xdr:cNvPr>
        <xdr:cNvCxnSpPr/>
      </xdr:nvCxnSpPr>
      <xdr:spPr>
        <a:xfrm>
          <a:off x="13519319515" y="61586061"/>
          <a:ext cx="5296227" cy="0"/>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392446</xdr:colOff>
      <xdr:row>417</xdr:row>
      <xdr:rowOff>27254</xdr:rowOff>
    </xdr:from>
    <xdr:to>
      <xdr:col>4</xdr:col>
      <xdr:colOff>392446</xdr:colOff>
      <xdr:row>419</xdr:row>
      <xdr:rowOff>136266</xdr:rowOff>
    </xdr:to>
    <xdr:cxnSp macro="">
      <xdr:nvCxnSpPr>
        <xdr:cNvPr id="53" name="Straight Connector 52">
          <a:extLst>
            <a:ext uri="{FF2B5EF4-FFF2-40B4-BE49-F238E27FC236}">
              <a16:creationId xmlns:a16="http://schemas.microsoft.com/office/drawing/2014/main" id="{9FD4B64B-D624-E643-AE0A-E3A1D8EABC03}"/>
            </a:ext>
          </a:extLst>
        </xdr:cNvPr>
        <xdr:cNvCxnSpPr/>
      </xdr:nvCxnSpPr>
      <xdr:spPr>
        <a:xfrm>
          <a:off x="13521348354" y="61927054"/>
          <a:ext cx="0" cy="515412"/>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2</xdr:col>
      <xdr:colOff>392446</xdr:colOff>
      <xdr:row>417</xdr:row>
      <xdr:rowOff>59957</xdr:rowOff>
    </xdr:from>
    <xdr:to>
      <xdr:col>2</xdr:col>
      <xdr:colOff>397897</xdr:colOff>
      <xdr:row>419</xdr:row>
      <xdr:rowOff>147167</xdr:rowOff>
    </xdr:to>
    <xdr:cxnSp macro="">
      <xdr:nvCxnSpPr>
        <xdr:cNvPr id="54" name="Straight Connector 53">
          <a:extLst>
            <a:ext uri="{FF2B5EF4-FFF2-40B4-BE49-F238E27FC236}">
              <a16:creationId xmlns:a16="http://schemas.microsoft.com/office/drawing/2014/main" id="{054E95ED-EEAF-DC4E-8ED4-7A20D663281C}"/>
            </a:ext>
          </a:extLst>
        </xdr:cNvPr>
        <xdr:cNvCxnSpPr/>
      </xdr:nvCxnSpPr>
      <xdr:spPr>
        <a:xfrm flipV="1">
          <a:off x="13523057403" y="61959757"/>
          <a:ext cx="5451" cy="493610"/>
        </a:xfrm>
        <a:prstGeom prst="line">
          <a:avLst/>
        </a:prstGeom>
        <a:ln w="19050" cap="flat" cmpd="sng" algn="ctr">
          <a:solidFill>
            <a:schemeClr val="accent1"/>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xdr:col>
      <xdr:colOff>397897</xdr:colOff>
      <xdr:row>419</xdr:row>
      <xdr:rowOff>125365</xdr:rowOff>
    </xdr:from>
    <xdr:to>
      <xdr:col>4</xdr:col>
      <xdr:colOff>392446</xdr:colOff>
      <xdr:row>419</xdr:row>
      <xdr:rowOff>141717</xdr:rowOff>
    </xdr:to>
    <xdr:cxnSp macro="">
      <xdr:nvCxnSpPr>
        <xdr:cNvPr id="55" name="Straight Connector 54">
          <a:extLst>
            <a:ext uri="{FF2B5EF4-FFF2-40B4-BE49-F238E27FC236}">
              <a16:creationId xmlns:a16="http://schemas.microsoft.com/office/drawing/2014/main" id="{DC10D1AE-E4BB-2341-B493-56630BCE1D29}"/>
            </a:ext>
          </a:extLst>
        </xdr:cNvPr>
        <xdr:cNvCxnSpPr/>
      </xdr:nvCxnSpPr>
      <xdr:spPr>
        <a:xfrm>
          <a:off x="13521348354" y="62431565"/>
          <a:ext cx="1709049" cy="16352"/>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414249</xdr:colOff>
      <xdr:row>411</xdr:row>
      <xdr:rowOff>76310</xdr:rowOff>
    </xdr:from>
    <xdr:to>
      <xdr:col>4</xdr:col>
      <xdr:colOff>414249</xdr:colOff>
      <xdr:row>413</xdr:row>
      <xdr:rowOff>185321</xdr:rowOff>
    </xdr:to>
    <xdr:cxnSp macro="">
      <xdr:nvCxnSpPr>
        <xdr:cNvPr id="56" name="Straight Connector 55">
          <a:extLst>
            <a:ext uri="{FF2B5EF4-FFF2-40B4-BE49-F238E27FC236}">
              <a16:creationId xmlns:a16="http://schemas.microsoft.com/office/drawing/2014/main" id="{A76F621E-F691-0841-A3F3-480F441FBEEF}"/>
            </a:ext>
          </a:extLst>
        </xdr:cNvPr>
        <xdr:cNvCxnSpPr/>
      </xdr:nvCxnSpPr>
      <xdr:spPr>
        <a:xfrm>
          <a:off x="13521326551" y="60756910"/>
          <a:ext cx="0" cy="515411"/>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403347</xdr:colOff>
      <xdr:row>411</xdr:row>
      <xdr:rowOff>65408</xdr:rowOff>
    </xdr:from>
    <xdr:to>
      <xdr:col>5</xdr:col>
      <xdr:colOff>414248</xdr:colOff>
      <xdr:row>411</xdr:row>
      <xdr:rowOff>76309</xdr:rowOff>
    </xdr:to>
    <xdr:cxnSp macro="">
      <xdr:nvCxnSpPr>
        <xdr:cNvPr id="57" name="Straight Connector 56">
          <a:extLst>
            <a:ext uri="{FF2B5EF4-FFF2-40B4-BE49-F238E27FC236}">
              <a16:creationId xmlns:a16="http://schemas.microsoft.com/office/drawing/2014/main" id="{364447C2-D665-424A-BF81-061DD5AAD9E1}"/>
            </a:ext>
          </a:extLst>
        </xdr:cNvPr>
        <xdr:cNvCxnSpPr/>
      </xdr:nvCxnSpPr>
      <xdr:spPr>
        <a:xfrm>
          <a:off x="13520450252" y="60746008"/>
          <a:ext cx="887201" cy="10901"/>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5</xdr:col>
      <xdr:colOff>403347</xdr:colOff>
      <xdr:row>411</xdr:row>
      <xdr:rowOff>65408</xdr:rowOff>
    </xdr:from>
    <xdr:to>
      <xdr:col>5</xdr:col>
      <xdr:colOff>408797</xdr:colOff>
      <xdr:row>414</xdr:row>
      <xdr:rowOff>54508</xdr:rowOff>
    </xdr:to>
    <xdr:cxnSp macro="">
      <xdr:nvCxnSpPr>
        <xdr:cNvPr id="58" name="Straight Connector 57">
          <a:extLst>
            <a:ext uri="{FF2B5EF4-FFF2-40B4-BE49-F238E27FC236}">
              <a16:creationId xmlns:a16="http://schemas.microsoft.com/office/drawing/2014/main" id="{9AC74F0A-4271-914C-B328-CCAEABC59EE4}"/>
            </a:ext>
          </a:extLst>
        </xdr:cNvPr>
        <xdr:cNvCxnSpPr/>
      </xdr:nvCxnSpPr>
      <xdr:spPr>
        <a:xfrm flipH="1">
          <a:off x="13520455703" y="60746008"/>
          <a:ext cx="5450" cy="598700"/>
        </a:xfrm>
        <a:prstGeom prst="line">
          <a:avLst/>
        </a:prstGeom>
        <a:ln w="19050" cap="flat" cmpd="sng" algn="ctr">
          <a:solidFill>
            <a:schemeClr val="accent1"/>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oneCellAnchor>
    <xdr:from>
      <xdr:col>3</xdr:col>
      <xdr:colOff>577767</xdr:colOff>
      <xdr:row>273</xdr:row>
      <xdr:rowOff>145098</xdr:rowOff>
    </xdr:from>
    <xdr:ext cx="1833960" cy="315792"/>
    <mc:AlternateContent xmlns:mc="http://schemas.openxmlformats.org/markup-compatibility/2006" xmlns:a14="http://schemas.microsoft.com/office/drawing/2010/main">
      <mc:Choice Requires="a14">
        <xdr:sp macro="" textlink="">
          <xdr:nvSpPr>
            <xdr:cNvPr id="59" name="TextBox 58">
              <a:extLst>
                <a:ext uri="{FF2B5EF4-FFF2-40B4-BE49-F238E27FC236}">
                  <a16:creationId xmlns:a16="http://schemas.microsoft.com/office/drawing/2014/main" id="{B659FDC4-A9C6-DF40-A0AB-C16FF253C6ED}"/>
                </a:ext>
              </a:extLst>
            </xdr:cNvPr>
            <xdr:cNvSpPr txBox="1"/>
          </xdr:nvSpPr>
          <xdr:spPr>
            <a:xfrm>
              <a:off x="13520218073" y="51884898"/>
              <a:ext cx="1833960"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𝐵𝐴</m:t>
                    </m:r>
                    <m:sSub>
                      <m:sSubPr>
                        <m:ctrlPr>
                          <a:rPr lang="en-US" sz="1100" b="0" i="1">
                            <a:latin typeface="Cambria Math" panose="02040503050406030204" pitchFamily="18" charset="0"/>
                          </a:rPr>
                        </m:ctrlPr>
                      </m:sSubPr>
                      <m:e>
                        <m:r>
                          <a:rPr lang="en-US" sz="1100" b="0" i="1">
                            <a:latin typeface="Cambria Math" panose="02040503050406030204" pitchFamily="18" charset="0"/>
                          </a:rPr>
                          <m:t>𝐿</m:t>
                        </m:r>
                      </m:e>
                      <m:sub>
                        <m:r>
                          <a:rPr lang="en-US" sz="1100" b="0" i="1">
                            <a:latin typeface="Cambria Math" panose="02040503050406030204" pitchFamily="18" charset="0"/>
                          </a:rPr>
                          <m:t>𝑡</m:t>
                        </m:r>
                      </m:sub>
                    </m:sSub>
                    <m:r>
                      <a:rPr lang="en-US" sz="1100" b="0" i="1">
                        <a:latin typeface="Cambria Math" panose="02040503050406030204" pitchFamily="18" charset="0"/>
                      </a:rPr>
                      <m:t>=</m:t>
                    </m:r>
                    <m:r>
                      <a:rPr lang="en-US" sz="1100" b="0" i="1">
                        <a:latin typeface="Cambria Math" panose="02040503050406030204" pitchFamily="18" charset="0"/>
                      </a:rPr>
                      <m:t>𝐿𝑂𝐴𝑁</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𝐿𝑂𝐴𝑁</m:t>
                        </m:r>
                      </m:num>
                      <m:den>
                        <m:r>
                          <a:rPr lang="en-US" sz="1100" b="0" i="1">
                            <a:latin typeface="Cambria Math" panose="02040503050406030204" pitchFamily="18" charset="0"/>
                          </a:rPr>
                          <m:t>𝑛</m:t>
                        </m:r>
                      </m:den>
                    </m:f>
                    <m:r>
                      <a:rPr lang="en-US" sz="1100" b="0" i="1">
                        <a:latin typeface="Cambria Math" panose="02040503050406030204" pitchFamily="18" charset="0"/>
                      </a:rPr>
                      <m:t>∗</m:t>
                    </m:r>
                    <m:r>
                      <a:rPr lang="en-US" sz="1100" b="0" i="1">
                        <a:latin typeface="Cambria Math" panose="02040503050406030204" pitchFamily="18" charset="0"/>
                      </a:rPr>
                      <m:t>𝑡</m:t>
                    </m:r>
                  </m:oMath>
                </m:oMathPara>
              </a14:m>
              <a:endParaRPr lang="en-US" sz="1100"/>
            </a:p>
          </xdr:txBody>
        </xdr:sp>
      </mc:Choice>
      <mc:Fallback xmlns="">
        <xdr:sp macro="" textlink="">
          <xdr:nvSpPr>
            <xdr:cNvPr id="59" name="TextBox 58">
              <a:extLst>
                <a:ext uri="{FF2B5EF4-FFF2-40B4-BE49-F238E27FC236}">
                  <a16:creationId xmlns:a16="http://schemas.microsoft.com/office/drawing/2014/main" id="{B659FDC4-A9C6-DF40-A0AB-C16FF253C6ED}"/>
                </a:ext>
              </a:extLst>
            </xdr:cNvPr>
            <xdr:cNvSpPr txBox="1"/>
          </xdr:nvSpPr>
          <xdr:spPr>
            <a:xfrm>
              <a:off x="13520218073" y="51884898"/>
              <a:ext cx="1833960"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𝐵𝐴𝐿_𝑡=𝐿𝑂𝐴𝑁−𝐿𝑂𝐴𝑁/𝑛∗𝑡</a:t>
              </a:r>
              <a:endParaRPr lang="en-US" sz="1100"/>
            </a:p>
          </xdr:txBody>
        </xdr:sp>
      </mc:Fallback>
    </mc:AlternateContent>
    <xdr:clientData/>
  </xdr:oneCellAnchor>
  <xdr:oneCellAnchor>
    <xdr:from>
      <xdr:col>2</xdr:col>
      <xdr:colOff>588670</xdr:colOff>
      <xdr:row>276</xdr:row>
      <xdr:rowOff>46986</xdr:rowOff>
    </xdr:from>
    <xdr:ext cx="2635204" cy="318036"/>
    <mc:AlternateContent xmlns:mc="http://schemas.openxmlformats.org/markup-compatibility/2006" xmlns:a14="http://schemas.microsoft.com/office/drawing/2010/main">
      <mc:Choice Requires="a14">
        <xdr:sp macro="" textlink="">
          <xdr:nvSpPr>
            <xdr:cNvPr id="60" name="TextBox 59">
              <a:extLst>
                <a:ext uri="{FF2B5EF4-FFF2-40B4-BE49-F238E27FC236}">
                  <a16:creationId xmlns:a16="http://schemas.microsoft.com/office/drawing/2014/main" id="{C8B23FC8-5153-7544-99D7-89163424C47D}"/>
                </a:ext>
              </a:extLst>
            </xdr:cNvPr>
            <xdr:cNvSpPr txBox="1"/>
          </xdr:nvSpPr>
          <xdr:spPr>
            <a:xfrm>
              <a:off x="13520231426" y="52396386"/>
              <a:ext cx="2635204"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𝐵𝐴</m:t>
                    </m:r>
                    <m:sSub>
                      <m:sSubPr>
                        <m:ctrlPr>
                          <a:rPr lang="en-US" sz="1100" b="0" i="1">
                            <a:latin typeface="Cambria Math" panose="02040503050406030204" pitchFamily="18" charset="0"/>
                          </a:rPr>
                        </m:ctrlPr>
                      </m:sSubPr>
                      <m:e>
                        <m:r>
                          <a:rPr lang="en-US" sz="1100" b="0" i="1">
                            <a:latin typeface="Cambria Math" panose="02040503050406030204" pitchFamily="18" charset="0"/>
                          </a:rPr>
                          <m:t>𝐿</m:t>
                        </m:r>
                      </m:e>
                      <m:sub>
                        <m:r>
                          <a:rPr lang="he-IL" sz="1100" b="0" i="1">
                            <a:latin typeface="Cambria Math" panose="02040503050406030204" pitchFamily="18" charset="0"/>
                          </a:rPr>
                          <m:t>20</m:t>
                        </m:r>
                      </m:sub>
                    </m:sSub>
                    <m:r>
                      <a:rPr lang="en-US" sz="1100" b="0" i="1">
                        <a:latin typeface="Cambria Math" panose="02040503050406030204" pitchFamily="18" charset="0"/>
                      </a:rPr>
                      <m:t>=</m:t>
                    </m:r>
                    <m:r>
                      <a:rPr lang="he-IL" sz="1100" b="0" i="1">
                        <a:latin typeface="Cambria Math" panose="02040503050406030204" pitchFamily="18" charset="0"/>
                      </a:rPr>
                      <m:t>60,000</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he-IL" sz="1100" b="0" i="1">
                            <a:latin typeface="Cambria Math" panose="02040503050406030204" pitchFamily="18" charset="0"/>
                          </a:rPr>
                          <m:t>60,000</m:t>
                        </m:r>
                      </m:num>
                      <m:den>
                        <m:r>
                          <a:rPr lang="he-IL" sz="1100" b="0" i="1">
                            <a:latin typeface="Cambria Math" panose="02040503050406030204" pitchFamily="18" charset="0"/>
                          </a:rPr>
                          <m:t>30</m:t>
                        </m:r>
                      </m:den>
                    </m:f>
                    <m:r>
                      <a:rPr lang="en-US" sz="1100" b="0" i="1">
                        <a:latin typeface="Cambria Math" panose="02040503050406030204" pitchFamily="18" charset="0"/>
                      </a:rPr>
                      <m:t>∗</m:t>
                    </m:r>
                    <m:r>
                      <a:rPr lang="he-IL" sz="1100" b="0" i="1">
                        <a:latin typeface="Cambria Math" panose="02040503050406030204" pitchFamily="18" charset="0"/>
                      </a:rPr>
                      <m:t>20=20,000</m:t>
                    </m:r>
                  </m:oMath>
                </m:oMathPara>
              </a14:m>
              <a:endParaRPr lang="en-US" sz="1100"/>
            </a:p>
          </xdr:txBody>
        </xdr:sp>
      </mc:Choice>
      <mc:Fallback xmlns="">
        <xdr:sp macro="" textlink="">
          <xdr:nvSpPr>
            <xdr:cNvPr id="60" name="TextBox 59">
              <a:extLst>
                <a:ext uri="{FF2B5EF4-FFF2-40B4-BE49-F238E27FC236}">
                  <a16:creationId xmlns:a16="http://schemas.microsoft.com/office/drawing/2014/main" id="{C8B23FC8-5153-7544-99D7-89163424C47D}"/>
                </a:ext>
              </a:extLst>
            </xdr:cNvPr>
            <xdr:cNvSpPr txBox="1"/>
          </xdr:nvSpPr>
          <xdr:spPr>
            <a:xfrm>
              <a:off x="13520231426" y="52396386"/>
              <a:ext cx="2635204"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𝐵𝐴𝐿_</a:t>
              </a:r>
              <a:r>
                <a:rPr lang="he-IL" sz="1100" b="0" i="0">
                  <a:latin typeface="Cambria Math" panose="02040503050406030204" pitchFamily="18" charset="0"/>
                </a:rPr>
                <a:t>20</a:t>
              </a:r>
              <a:r>
                <a:rPr lang="en-US" sz="1100" b="0" i="0">
                  <a:latin typeface="Cambria Math" panose="02040503050406030204" pitchFamily="18" charset="0"/>
                </a:rPr>
                <a:t>=</a:t>
              </a:r>
              <a:r>
                <a:rPr lang="he-IL" sz="1100" b="0" i="0">
                  <a:latin typeface="Cambria Math" panose="02040503050406030204" pitchFamily="18" charset="0"/>
                </a:rPr>
                <a:t>60,000</a:t>
              </a:r>
              <a:r>
                <a:rPr lang="en-US" sz="1100" b="0" i="0">
                  <a:latin typeface="Cambria Math" panose="02040503050406030204" pitchFamily="18" charset="0"/>
                </a:rPr>
                <a:t>−</a:t>
              </a:r>
              <a:r>
                <a:rPr lang="he-IL" sz="1100" b="0" i="0">
                  <a:latin typeface="Cambria Math" panose="02040503050406030204" pitchFamily="18" charset="0"/>
                </a:rPr>
                <a:t>60,000</a:t>
              </a:r>
              <a:r>
                <a:rPr lang="en-US" sz="1100" b="0" i="0">
                  <a:latin typeface="Cambria Math" panose="02040503050406030204" pitchFamily="18" charset="0"/>
                </a:rPr>
                <a:t>/</a:t>
              </a:r>
              <a:r>
                <a:rPr lang="he-IL" sz="1100" b="0" i="0">
                  <a:latin typeface="Cambria Math" panose="02040503050406030204" pitchFamily="18" charset="0"/>
                </a:rPr>
                <a:t>30</a:t>
              </a:r>
              <a:r>
                <a:rPr lang="en-US" sz="1100" b="0" i="0">
                  <a:latin typeface="Cambria Math" panose="02040503050406030204" pitchFamily="18" charset="0"/>
                </a:rPr>
                <a:t>∗</a:t>
              </a:r>
              <a:r>
                <a:rPr lang="he-IL" sz="1100" b="0" i="0">
                  <a:latin typeface="Cambria Math" panose="02040503050406030204" pitchFamily="18" charset="0"/>
                </a:rPr>
                <a:t>20=20,000</a:t>
              </a:r>
              <a:endParaRPr lang="en-US" sz="1100"/>
            </a:p>
          </xdr:txBody>
        </xdr:sp>
      </mc:Fallback>
    </mc:AlternateContent>
    <xdr:clientData/>
  </xdr:oneCellAnchor>
  <xdr:oneCellAnchor>
    <xdr:from>
      <xdr:col>3</xdr:col>
      <xdr:colOff>768539</xdr:colOff>
      <xdr:row>288</xdr:row>
      <xdr:rowOff>57887</xdr:rowOff>
    </xdr:from>
    <xdr:ext cx="1833960" cy="315792"/>
    <mc:AlternateContent xmlns:mc="http://schemas.openxmlformats.org/markup-compatibility/2006" xmlns:a14="http://schemas.microsoft.com/office/drawing/2010/main">
      <mc:Choice Requires="a14">
        <xdr:sp macro="" textlink="">
          <xdr:nvSpPr>
            <xdr:cNvPr id="61" name="TextBox 60">
              <a:extLst>
                <a:ext uri="{FF2B5EF4-FFF2-40B4-BE49-F238E27FC236}">
                  <a16:creationId xmlns:a16="http://schemas.microsoft.com/office/drawing/2014/main" id="{D4444284-A2CD-9B4F-A87D-B6054DAB2144}"/>
                </a:ext>
              </a:extLst>
            </xdr:cNvPr>
            <xdr:cNvSpPr txBox="1"/>
          </xdr:nvSpPr>
          <xdr:spPr>
            <a:xfrm>
              <a:off x="13520027301" y="54845687"/>
              <a:ext cx="1833960"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𝐵𝐴</m:t>
                    </m:r>
                    <m:sSub>
                      <m:sSubPr>
                        <m:ctrlPr>
                          <a:rPr lang="en-US" sz="1100" b="0" i="1">
                            <a:latin typeface="Cambria Math" panose="02040503050406030204" pitchFamily="18" charset="0"/>
                          </a:rPr>
                        </m:ctrlPr>
                      </m:sSubPr>
                      <m:e>
                        <m:r>
                          <a:rPr lang="en-US" sz="1100" b="0" i="1">
                            <a:latin typeface="Cambria Math" panose="02040503050406030204" pitchFamily="18" charset="0"/>
                          </a:rPr>
                          <m:t>𝐿</m:t>
                        </m:r>
                      </m:e>
                      <m:sub>
                        <m:r>
                          <a:rPr lang="en-US" sz="1100" b="0" i="1">
                            <a:latin typeface="Cambria Math" panose="02040503050406030204" pitchFamily="18" charset="0"/>
                          </a:rPr>
                          <m:t>𝑡</m:t>
                        </m:r>
                      </m:sub>
                    </m:sSub>
                    <m:r>
                      <a:rPr lang="en-US" sz="1100" b="0" i="1">
                        <a:latin typeface="Cambria Math" panose="02040503050406030204" pitchFamily="18" charset="0"/>
                      </a:rPr>
                      <m:t>=</m:t>
                    </m:r>
                    <m:r>
                      <a:rPr lang="en-US" sz="1100" b="0" i="1">
                        <a:latin typeface="Cambria Math" panose="02040503050406030204" pitchFamily="18" charset="0"/>
                      </a:rPr>
                      <m:t>𝐿𝑂𝐴𝑁</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𝐿𝑂𝐴𝑁</m:t>
                        </m:r>
                      </m:num>
                      <m:den>
                        <m:r>
                          <a:rPr lang="en-US" sz="1100" b="0" i="1">
                            <a:latin typeface="Cambria Math" panose="02040503050406030204" pitchFamily="18" charset="0"/>
                          </a:rPr>
                          <m:t>𝑛</m:t>
                        </m:r>
                      </m:den>
                    </m:f>
                    <m:r>
                      <a:rPr lang="en-US" sz="1100" b="0" i="1">
                        <a:latin typeface="Cambria Math" panose="02040503050406030204" pitchFamily="18" charset="0"/>
                      </a:rPr>
                      <m:t>∗</m:t>
                    </m:r>
                    <m:r>
                      <a:rPr lang="en-US" sz="1100" b="0" i="1">
                        <a:latin typeface="Cambria Math" panose="02040503050406030204" pitchFamily="18" charset="0"/>
                      </a:rPr>
                      <m:t>𝑡</m:t>
                    </m:r>
                  </m:oMath>
                </m:oMathPara>
              </a14:m>
              <a:endParaRPr lang="en-US" sz="1100"/>
            </a:p>
          </xdr:txBody>
        </xdr:sp>
      </mc:Choice>
      <mc:Fallback xmlns="">
        <xdr:sp macro="" textlink="">
          <xdr:nvSpPr>
            <xdr:cNvPr id="61" name="TextBox 60">
              <a:extLst>
                <a:ext uri="{FF2B5EF4-FFF2-40B4-BE49-F238E27FC236}">
                  <a16:creationId xmlns:a16="http://schemas.microsoft.com/office/drawing/2014/main" id="{D4444284-A2CD-9B4F-A87D-B6054DAB2144}"/>
                </a:ext>
              </a:extLst>
            </xdr:cNvPr>
            <xdr:cNvSpPr txBox="1"/>
          </xdr:nvSpPr>
          <xdr:spPr>
            <a:xfrm>
              <a:off x="13520027301" y="54845687"/>
              <a:ext cx="1833960"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𝐵𝐴𝐿_𝑡=𝐿𝑂𝐴𝑁−𝐿𝑂𝐴𝑁/𝑛∗𝑡</a:t>
              </a:r>
              <a:endParaRPr lang="en-US" sz="1100"/>
            </a:p>
          </xdr:txBody>
        </xdr:sp>
      </mc:Fallback>
    </mc:AlternateContent>
    <xdr:clientData/>
  </xdr:oneCellAnchor>
  <xdr:oneCellAnchor>
    <xdr:from>
      <xdr:col>2</xdr:col>
      <xdr:colOff>714035</xdr:colOff>
      <xdr:row>290</xdr:row>
      <xdr:rowOff>52437</xdr:rowOff>
    </xdr:from>
    <xdr:ext cx="2635204" cy="321498"/>
    <mc:AlternateContent xmlns:mc="http://schemas.openxmlformats.org/markup-compatibility/2006" xmlns:a14="http://schemas.microsoft.com/office/drawing/2010/main">
      <mc:Choice Requires="a14">
        <xdr:sp macro="" textlink="">
          <xdr:nvSpPr>
            <xdr:cNvPr id="62" name="TextBox 61">
              <a:extLst>
                <a:ext uri="{FF2B5EF4-FFF2-40B4-BE49-F238E27FC236}">
                  <a16:creationId xmlns:a16="http://schemas.microsoft.com/office/drawing/2014/main" id="{2166957B-912F-8F48-B628-24BCFDAA7961}"/>
                </a:ext>
              </a:extLst>
            </xdr:cNvPr>
            <xdr:cNvSpPr txBox="1"/>
          </xdr:nvSpPr>
          <xdr:spPr>
            <a:xfrm>
              <a:off x="13520106061" y="55246637"/>
              <a:ext cx="2635204" cy="3214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𝐵𝐴</m:t>
                    </m:r>
                    <m:sSub>
                      <m:sSubPr>
                        <m:ctrlPr>
                          <a:rPr lang="en-US" sz="1100" b="0" i="1">
                            <a:latin typeface="Cambria Math" panose="02040503050406030204" pitchFamily="18" charset="0"/>
                          </a:rPr>
                        </m:ctrlPr>
                      </m:sSubPr>
                      <m:e>
                        <m:r>
                          <a:rPr lang="en-US" sz="1100" b="0" i="1">
                            <a:latin typeface="Cambria Math" panose="02040503050406030204" pitchFamily="18" charset="0"/>
                          </a:rPr>
                          <m:t>𝐿</m:t>
                        </m:r>
                      </m:e>
                      <m:sub>
                        <m:r>
                          <a:rPr lang="he-IL" sz="1100" b="0" i="1">
                            <a:latin typeface="Cambria Math" panose="02040503050406030204" pitchFamily="18" charset="0"/>
                          </a:rPr>
                          <m:t>10</m:t>
                        </m:r>
                      </m:sub>
                    </m:sSub>
                    <m:r>
                      <a:rPr lang="en-US" sz="1100" b="0" i="1">
                        <a:latin typeface="Cambria Math" panose="02040503050406030204" pitchFamily="18" charset="0"/>
                      </a:rPr>
                      <m:t>=</m:t>
                    </m:r>
                    <m:r>
                      <a:rPr lang="he-IL" sz="1100" b="0" i="1">
                        <a:latin typeface="Cambria Math" panose="02040503050406030204" pitchFamily="18" charset="0"/>
                      </a:rPr>
                      <m:t>50,000</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he-IL" sz="1100" b="0" i="1">
                            <a:latin typeface="Cambria Math" panose="02040503050406030204" pitchFamily="18" charset="0"/>
                          </a:rPr>
                          <m:t>50,000</m:t>
                        </m:r>
                      </m:num>
                      <m:den>
                        <m:r>
                          <a:rPr lang="he-IL" sz="1100" b="0" i="1">
                            <a:latin typeface="Cambria Math" panose="02040503050406030204" pitchFamily="18" charset="0"/>
                          </a:rPr>
                          <m:t>20</m:t>
                        </m:r>
                      </m:den>
                    </m:f>
                    <m:r>
                      <a:rPr lang="en-US" sz="1100" b="0" i="1">
                        <a:latin typeface="Cambria Math" panose="02040503050406030204" pitchFamily="18" charset="0"/>
                      </a:rPr>
                      <m:t>∗</m:t>
                    </m:r>
                    <m:r>
                      <a:rPr lang="he-IL" sz="1100" b="0" i="1">
                        <a:latin typeface="Cambria Math" panose="02040503050406030204" pitchFamily="18" charset="0"/>
                      </a:rPr>
                      <m:t>10=25,000</m:t>
                    </m:r>
                  </m:oMath>
                </m:oMathPara>
              </a14:m>
              <a:endParaRPr lang="en-US" sz="1100"/>
            </a:p>
          </xdr:txBody>
        </xdr:sp>
      </mc:Choice>
      <mc:Fallback xmlns="">
        <xdr:sp macro="" textlink="">
          <xdr:nvSpPr>
            <xdr:cNvPr id="62" name="TextBox 61">
              <a:extLst>
                <a:ext uri="{FF2B5EF4-FFF2-40B4-BE49-F238E27FC236}">
                  <a16:creationId xmlns:a16="http://schemas.microsoft.com/office/drawing/2014/main" id="{2166957B-912F-8F48-B628-24BCFDAA7961}"/>
                </a:ext>
              </a:extLst>
            </xdr:cNvPr>
            <xdr:cNvSpPr txBox="1"/>
          </xdr:nvSpPr>
          <xdr:spPr>
            <a:xfrm>
              <a:off x="13520106061" y="55246637"/>
              <a:ext cx="2635204" cy="3214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𝐵𝐴𝐿_</a:t>
              </a:r>
              <a:r>
                <a:rPr lang="he-IL" sz="1100" b="0" i="0">
                  <a:latin typeface="Cambria Math" panose="02040503050406030204" pitchFamily="18" charset="0"/>
                </a:rPr>
                <a:t>10</a:t>
              </a:r>
              <a:r>
                <a:rPr lang="en-US" sz="1100" b="0" i="0">
                  <a:latin typeface="Cambria Math" panose="02040503050406030204" pitchFamily="18" charset="0"/>
                </a:rPr>
                <a:t>=</a:t>
              </a:r>
              <a:r>
                <a:rPr lang="he-IL" sz="1100" b="0" i="0">
                  <a:latin typeface="Cambria Math" panose="02040503050406030204" pitchFamily="18" charset="0"/>
                </a:rPr>
                <a:t>50,000</a:t>
              </a:r>
              <a:r>
                <a:rPr lang="en-US" sz="1100" b="0" i="0">
                  <a:latin typeface="Cambria Math" panose="02040503050406030204" pitchFamily="18" charset="0"/>
                </a:rPr>
                <a:t>−</a:t>
              </a:r>
              <a:r>
                <a:rPr lang="he-IL" sz="1100" b="0" i="0">
                  <a:latin typeface="Cambria Math" panose="02040503050406030204" pitchFamily="18" charset="0"/>
                </a:rPr>
                <a:t>50,000</a:t>
              </a:r>
              <a:r>
                <a:rPr lang="en-US" sz="1100" b="0" i="0">
                  <a:latin typeface="Cambria Math" panose="02040503050406030204" pitchFamily="18" charset="0"/>
                </a:rPr>
                <a:t>/</a:t>
              </a:r>
              <a:r>
                <a:rPr lang="he-IL" sz="1100" b="0" i="0">
                  <a:latin typeface="Cambria Math" panose="02040503050406030204" pitchFamily="18" charset="0"/>
                </a:rPr>
                <a:t>20</a:t>
              </a:r>
              <a:r>
                <a:rPr lang="en-US" sz="1100" b="0" i="0">
                  <a:latin typeface="Cambria Math" panose="02040503050406030204" pitchFamily="18" charset="0"/>
                </a:rPr>
                <a:t>∗</a:t>
              </a:r>
              <a:r>
                <a:rPr lang="he-IL" sz="1100" b="0" i="0">
                  <a:latin typeface="Cambria Math" panose="02040503050406030204" pitchFamily="18" charset="0"/>
                </a:rPr>
                <a:t>10=25,000</a:t>
              </a:r>
              <a:endParaRPr lang="en-US" sz="1100"/>
            </a:p>
          </xdr:txBody>
        </xdr:sp>
      </mc:Fallback>
    </mc:AlternateContent>
    <xdr:clientData/>
  </xdr:oneCellAnchor>
  <xdr:oneCellAnchor>
    <xdr:from>
      <xdr:col>1</xdr:col>
      <xdr:colOff>735838</xdr:colOff>
      <xdr:row>150</xdr:row>
      <xdr:rowOff>199603</xdr:rowOff>
    </xdr:from>
    <xdr:ext cx="3828897" cy="172227"/>
    <mc:AlternateContent xmlns:mc="http://schemas.openxmlformats.org/markup-compatibility/2006" xmlns:a14="http://schemas.microsoft.com/office/drawing/2010/main">
      <mc:Choice Requires="a14">
        <xdr:sp macro="" textlink="">
          <xdr:nvSpPr>
            <xdr:cNvPr id="63" name="TextBox 62">
              <a:extLst>
                <a:ext uri="{FF2B5EF4-FFF2-40B4-BE49-F238E27FC236}">
                  <a16:creationId xmlns:a16="http://schemas.microsoft.com/office/drawing/2014/main" id="{DA600EB8-EA85-7C4D-8665-3169FAACA11A}"/>
                </a:ext>
              </a:extLst>
            </xdr:cNvPr>
            <xdr:cNvSpPr txBox="1"/>
          </xdr:nvSpPr>
          <xdr:spPr>
            <a:xfrm>
              <a:off x="13519716065" y="31187603"/>
              <a:ext cx="382889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𝐵𝐴𝐿</m:t>
                    </m:r>
                    <m:d>
                      <m:dPr>
                        <m:ctrlPr>
                          <a:rPr lang="en-US" sz="1100" b="0" i="1">
                            <a:latin typeface="Cambria Math" panose="02040503050406030204" pitchFamily="18" charset="0"/>
                          </a:rPr>
                        </m:ctrlPr>
                      </m:dPr>
                      <m:e>
                        <m:r>
                          <a:rPr lang="en-US" sz="1100" b="0" i="1">
                            <a:latin typeface="Cambria Math" panose="02040503050406030204" pitchFamily="18" charset="0"/>
                          </a:rPr>
                          <m:t>𝑍𝑎𝑚𝑢𝑑</m:t>
                        </m:r>
                      </m:e>
                    </m:d>
                    <m:r>
                      <a:rPr lang="en-US" sz="1100" b="0" i="1">
                        <a:latin typeface="Cambria Math" panose="02040503050406030204" pitchFamily="18" charset="0"/>
                      </a:rPr>
                      <m:t>=</m:t>
                    </m:r>
                    <m:r>
                      <a:rPr lang="en-US" sz="1100" b="0" i="1">
                        <a:latin typeface="Cambria Math" panose="02040503050406030204" pitchFamily="18" charset="0"/>
                      </a:rPr>
                      <m:t>𝐵𝐴𝐿</m:t>
                    </m:r>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𝑖𝑛𝑓𝑙𝑎𝑡𝑖𝑜𝑛</m:t>
                            </m:r>
                          </m:e>
                        </m:d>
                      </m:e>
                      <m:sup>
                        <m:r>
                          <a:rPr lang="en-US" sz="1100" b="0" i="1">
                            <a:latin typeface="Cambria Math" panose="02040503050406030204" pitchFamily="18" charset="0"/>
                          </a:rPr>
                          <m:t>𝑛</m:t>
                        </m:r>
                      </m:sup>
                    </m:sSup>
                  </m:oMath>
                </m:oMathPara>
              </a14:m>
              <a:endParaRPr lang="en-US" sz="1100"/>
            </a:p>
          </xdr:txBody>
        </xdr:sp>
      </mc:Choice>
      <mc:Fallback xmlns="">
        <xdr:sp macro="" textlink="">
          <xdr:nvSpPr>
            <xdr:cNvPr id="63" name="TextBox 62">
              <a:extLst>
                <a:ext uri="{FF2B5EF4-FFF2-40B4-BE49-F238E27FC236}">
                  <a16:creationId xmlns:a16="http://schemas.microsoft.com/office/drawing/2014/main" id="{DA600EB8-EA85-7C4D-8665-3169FAACA11A}"/>
                </a:ext>
              </a:extLst>
            </xdr:cNvPr>
            <xdr:cNvSpPr txBox="1"/>
          </xdr:nvSpPr>
          <xdr:spPr>
            <a:xfrm>
              <a:off x="13519716065" y="31187603"/>
              <a:ext cx="382889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𝐵𝐴𝐿(𝑍𝑎𝑚𝑢𝑑)=𝐵𝐴𝐿∗(1+%𝑖𝑛𝑓𝑙𝑎𝑡𝑖𝑜𝑛)^𝑛</a:t>
              </a:r>
              <a:endParaRPr lang="en-US" sz="1100"/>
            </a:p>
          </xdr:txBody>
        </xdr:sp>
      </mc:Fallback>
    </mc:AlternateContent>
    <xdr:clientData/>
  </xdr:oneCellAnchor>
  <xdr:oneCellAnchor>
    <xdr:from>
      <xdr:col>2</xdr:col>
      <xdr:colOff>16353</xdr:colOff>
      <xdr:row>152</xdr:row>
      <xdr:rowOff>30633</xdr:rowOff>
    </xdr:from>
    <xdr:ext cx="3828897" cy="175369"/>
    <mc:AlternateContent xmlns:mc="http://schemas.openxmlformats.org/markup-compatibility/2006" xmlns:a14="http://schemas.microsoft.com/office/drawing/2010/main">
      <mc:Choice Requires="a14">
        <xdr:sp macro="" textlink="">
          <xdr:nvSpPr>
            <xdr:cNvPr id="64" name="TextBox 63">
              <a:extLst>
                <a:ext uri="{FF2B5EF4-FFF2-40B4-BE49-F238E27FC236}">
                  <a16:creationId xmlns:a16="http://schemas.microsoft.com/office/drawing/2014/main" id="{555DE858-87B8-1B48-914A-074EA82F9931}"/>
                </a:ext>
              </a:extLst>
            </xdr:cNvPr>
            <xdr:cNvSpPr txBox="1"/>
          </xdr:nvSpPr>
          <xdr:spPr>
            <a:xfrm>
              <a:off x="13519610050" y="31425033"/>
              <a:ext cx="3828897" cy="1753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𝐵𝐴𝐿</m:t>
                    </m:r>
                    <m:d>
                      <m:dPr>
                        <m:ctrlPr>
                          <a:rPr lang="en-US" sz="1100" b="0" i="1">
                            <a:latin typeface="Cambria Math" panose="02040503050406030204" pitchFamily="18" charset="0"/>
                          </a:rPr>
                        </m:ctrlPr>
                      </m:dPr>
                      <m:e>
                        <m:r>
                          <a:rPr lang="en-US" sz="1100" b="0" i="1">
                            <a:latin typeface="Cambria Math" panose="02040503050406030204" pitchFamily="18" charset="0"/>
                          </a:rPr>
                          <m:t>𝑍𝑎𝑚𝑢𝑑</m:t>
                        </m:r>
                      </m:e>
                    </m:d>
                    <m:r>
                      <a:rPr lang="en-US" sz="1100" b="0" i="1">
                        <a:latin typeface="Cambria Math" panose="02040503050406030204" pitchFamily="18" charset="0"/>
                      </a:rPr>
                      <m:t>=45,922∗</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1+8%</m:t>
                            </m:r>
                          </m:e>
                        </m:d>
                      </m:e>
                      <m:sup>
                        <m:r>
                          <a:rPr lang="en-US" sz="1100" b="0" i="1">
                            <a:latin typeface="Cambria Math" panose="02040503050406030204" pitchFamily="18" charset="0"/>
                          </a:rPr>
                          <m:t>6</m:t>
                        </m:r>
                      </m:sup>
                    </m:sSup>
                    <m:r>
                      <a:rPr lang="en-US" sz="1100" b="0" i="1">
                        <a:latin typeface="Cambria Math" panose="02040503050406030204" pitchFamily="18" charset="0"/>
                      </a:rPr>
                      <m:t>=</m:t>
                    </m:r>
                  </m:oMath>
                </m:oMathPara>
              </a14:m>
              <a:endParaRPr lang="en-US" sz="1100"/>
            </a:p>
          </xdr:txBody>
        </xdr:sp>
      </mc:Choice>
      <mc:Fallback xmlns="">
        <xdr:sp macro="" textlink="">
          <xdr:nvSpPr>
            <xdr:cNvPr id="64" name="TextBox 63">
              <a:extLst>
                <a:ext uri="{FF2B5EF4-FFF2-40B4-BE49-F238E27FC236}">
                  <a16:creationId xmlns:a16="http://schemas.microsoft.com/office/drawing/2014/main" id="{555DE858-87B8-1B48-914A-074EA82F9931}"/>
                </a:ext>
              </a:extLst>
            </xdr:cNvPr>
            <xdr:cNvSpPr txBox="1"/>
          </xdr:nvSpPr>
          <xdr:spPr>
            <a:xfrm>
              <a:off x="13519610050" y="31425033"/>
              <a:ext cx="3828897" cy="1753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𝐵𝐴𝐿(𝑍𝑎𝑚𝑢𝑑)=45,922∗(1+8%)^6=</a:t>
              </a:r>
              <a:endParaRPr lang="en-US" sz="1100"/>
            </a:p>
          </xdr:txBody>
        </xdr:sp>
      </mc:Fallback>
    </mc:AlternateContent>
    <xdr:clientData/>
  </xdr:oneCellAnchor>
  <xdr:twoCellAnchor>
    <xdr:from>
      <xdr:col>0</xdr:col>
      <xdr:colOff>561417</xdr:colOff>
      <xdr:row>242</xdr:row>
      <xdr:rowOff>70858</xdr:rowOff>
    </xdr:from>
    <xdr:to>
      <xdr:col>6</xdr:col>
      <xdr:colOff>403348</xdr:colOff>
      <xdr:row>242</xdr:row>
      <xdr:rowOff>70859</xdr:rowOff>
    </xdr:to>
    <xdr:cxnSp macro="">
      <xdr:nvCxnSpPr>
        <xdr:cNvPr id="65" name="Straight Arrow Connector 64">
          <a:extLst>
            <a:ext uri="{FF2B5EF4-FFF2-40B4-BE49-F238E27FC236}">
              <a16:creationId xmlns:a16="http://schemas.microsoft.com/office/drawing/2014/main" id="{37346A31-AD4D-A64C-A1A0-9CF4CA15108C}"/>
            </a:ext>
          </a:extLst>
        </xdr:cNvPr>
        <xdr:cNvCxnSpPr/>
      </xdr:nvCxnSpPr>
      <xdr:spPr>
        <a:xfrm>
          <a:off x="13519635652" y="45511458"/>
          <a:ext cx="4909231" cy="1"/>
        </a:xfrm>
        <a:prstGeom prst="straightConnector1">
          <a:avLst/>
        </a:prstGeom>
        <a:ln w="19050" cap="flat" cmpd="sng" algn="ctr">
          <a:solidFill>
            <a:schemeClr val="dk1"/>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xdr:col>
      <xdr:colOff>212573</xdr:colOff>
      <xdr:row>242</xdr:row>
      <xdr:rowOff>16353</xdr:rowOff>
    </xdr:from>
    <xdr:to>
      <xdr:col>4</xdr:col>
      <xdr:colOff>419698</xdr:colOff>
      <xdr:row>243</xdr:row>
      <xdr:rowOff>109013</xdr:rowOff>
    </xdr:to>
    <xdr:sp macro="" textlink="">
      <xdr:nvSpPr>
        <xdr:cNvPr id="66" name="Left Brace 65">
          <a:extLst>
            <a:ext uri="{FF2B5EF4-FFF2-40B4-BE49-F238E27FC236}">
              <a16:creationId xmlns:a16="http://schemas.microsoft.com/office/drawing/2014/main" id="{E54A2BA4-60E7-5140-AE83-BC46301BF5F5}"/>
            </a:ext>
          </a:extLst>
        </xdr:cNvPr>
        <xdr:cNvSpPr/>
      </xdr:nvSpPr>
      <xdr:spPr>
        <a:xfrm rot="16200000">
          <a:off x="13522546735" y="44231320"/>
          <a:ext cx="295860" cy="2747125"/>
        </a:xfrm>
        <a:prstGeom prst="leftBrace">
          <a:avLst/>
        </a:prstGeom>
      </xdr:spPr>
      <xdr:style>
        <a:lnRef idx="3">
          <a:schemeClr val="accent1"/>
        </a:lnRef>
        <a:fillRef idx="0">
          <a:schemeClr val="accent1"/>
        </a:fillRef>
        <a:effectRef idx="2">
          <a:schemeClr val="accent1"/>
        </a:effectRef>
        <a:fontRef idx="minor">
          <a:schemeClr val="tx1"/>
        </a:fontRef>
      </xdr:style>
      <xdr:txBody>
        <a:bodyPr vertOverflow="clip" horzOverflow="clip" rtlCol="0" anchor="t"/>
        <a:lstStyle/>
        <a:p>
          <a:pPr algn="r" rtl="1"/>
          <a:endParaRPr lang="en-US" sz="1100"/>
        </a:p>
      </xdr:txBody>
    </xdr:sp>
    <xdr:clientData/>
  </xdr:twoCellAnchor>
  <xdr:oneCellAnchor>
    <xdr:from>
      <xdr:col>2</xdr:col>
      <xdr:colOff>256180</xdr:colOff>
      <xdr:row>251</xdr:row>
      <xdr:rowOff>57886</xdr:rowOff>
    </xdr:from>
    <xdr:ext cx="3529110" cy="251544"/>
    <mc:AlternateContent xmlns:mc="http://schemas.openxmlformats.org/markup-compatibility/2006" xmlns:a14="http://schemas.microsoft.com/office/drawing/2010/main">
      <mc:Choice Requires="a14">
        <xdr:sp macro="" textlink="">
          <xdr:nvSpPr>
            <xdr:cNvPr id="67" name="TextBox 66">
              <a:extLst>
                <a:ext uri="{FF2B5EF4-FFF2-40B4-BE49-F238E27FC236}">
                  <a16:creationId xmlns:a16="http://schemas.microsoft.com/office/drawing/2014/main" id="{44468167-6E40-1745-9733-0FD44E344AD3}"/>
                </a:ext>
              </a:extLst>
            </xdr:cNvPr>
            <xdr:cNvSpPr txBox="1"/>
          </xdr:nvSpPr>
          <xdr:spPr>
            <a:xfrm>
              <a:off x="13519670010" y="47327286"/>
              <a:ext cx="3529110" cy="2515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𝐻𝑎𝑧𝑖</m:t>
                        </m:r>
                        <m:r>
                          <a:rPr lang="en-US" sz="1100" b="0" i="1">
                            <a:latin typeface="Cambria Math" panose="02040503050406030204" pitchFamily="18" charset="0"/>
                          </a:rPr>
                          <m:t> </m:t>
                        </m:r>
                        <m:r>
                          <a:rPr lang="en-US" sz="1100" b="0" i="1">
                            <a:latin typeface="Cambria Math" panose="02040503050406030204" pitchFamily="18" charset="0"/>
                          </a:rPr>
                          <m:t>𝑆h𝑎𝑛𝑎</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1+5%</m:t>
                            </m:r>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2</m:t>
                            </m:r>
                          </m:den>
                        </m:f>
                      </m:sup>
                    </m:sSup>
                    <m:r>
                      <a:rPr lang="en-US" sz="1100" b="0" i="1">
                        <a:latin typeface="Cambria Math" panose="02040503050406030204" pitchFamily="18" charset="0"/>
                      </a:rPr>
                      <m:t>−1=2.4695%</m:t>
                    </m:r>
                  </m:oMath>
                </m:oMathPara>
              </a14:m>
              <a:endParaRPr lang="en-US" sz="1100"/>
            </a:p>
          </xdr:txBody>
        </xdr:sp>
      </mc:Choice>
      <mc:Fallback xmlns="">
        <xdr:sp macro="" textlink="">
          <xdr:nvSpPr>
            <xdr:cNvPr id="67" name="TextBox 66">
              <a:extLst>
                <a:ext uri="{FF2B5EF4-FFF2-40B4-BE49-F238E27FC236}">
                  <a16:creationId xmlns:a16="http://schemas.microsoft.com/office/drawing/2014/main" id="{44468167-6E40-1745-9733-0FD44E344AD3}"/>
                </a:ext>
              </a:extLst>
            </xdr:cNvPr>
            <xdr:cNvSpPr txBox="1"/>
          </xdr:nvSpPr>
          <xdr:spPr>
            <a:xfrm>
              <a:off x="13519670010" y="47327286"/>
              <a:ext cx="3529110" cy="2515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(𝐻𝑎𝑧𝑖 𝑆ℎ𝑎𝑛𝑎)=(1+5%)^(1/2)−1=2.4695%</a:t>
              </a:r>
              <a:endParaRPr lang="en-US" sz="1100"/>
            </a:p>
          </xdr:txBody>
        </xdr:sp>
      </mc:Fallback>
    </mc:AlternateContent>
    <xdr:clientData/>
  </xdr:oneCellAnchor>
  <xdr:oneCellAnchor>
    <xdr:from>
      <xdr:col>3</xdr:col>
      <xdr:colOff>474207</xdr:colOff>
      <xdr:row>255</xdr:row>
      <xdr:rowOff>8829</xdr:rowOff>
    </xdr:from>
    <xdr:ext cx="2008381" cy="324641"/>
    <mc:AlternateContent xmlns:mc="http://schemas.openxmlformats.org/markup-compatibility/2006" xmlns:a14="http://schemas.microsoft.com/office/drawing/2010/main">
      <mc:Choice Requires="a14">
        <xdr:sp macro="" textlink="">
          <xdr:nvSpPr>
            <xdr:cNvPr id="68" name="TextBox 67">
              <a:extLst>
                <a:ext uri="{FF2B5EF4-FFF2-40B4-BE49-F238E27FC236}">
                  <a16:creationId xmlns:a16="http://schemas.microsoft.com/office/drawing/2014/main" id="{17B656A4-0C4C-364D-8DD6-6197E41A1AE8}"/>
                </a:ext>
              </a:extLst>
            </xdr:cNvPr>
            <xdr:cNvSpPr txBox="1"/>
          </xdr:nvSpPr>
          <xdr:spPr>
            <a:xfrm>
              <a:off x="13520147212" y="48091029"/>
              <a:ext cx="2008381"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𝑃𝑀𝑇</m:t>
                        </m:r>
                      </m:num>
                      <m:den>
                        <m:r>
                          <a:rPr lang="en-US" sz="1100" b="0" i="1">
                            <a:latin typeface="Cambria Math" panose="02040503050406030204" pitchFamily="18" charset="0"/>
                          </a:rPr>
                          <m:t>𝑟</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30</m:t>
                        </m:r>
                      </m:num>
                      <m:den>
                        <m:r>
                          <a:rPr lang="en-US" sz="1100" b="0" i="1">
                            <a:latin typeface="Cambria Math" panose="02040503050406030204" pitchFamily="18" charset="0"/>
                          </a:rPr>
                          <m:t>2.4695%</m:t>
                        </m:r>
                      </m:den>
                    </m:f>
                    <m:r>
                      <a:rPr lang="en-US" sz="1100" b="0" i="1">
                        <a:latin typeface="Cambria Math" panose="02040503050406030204" pitchFamily="18" charset="0"/>
                      </a:rPr>
                      <m:t>=1,214.8</m:t>
                    </m:r>
                  </m:oMath>
                </m:oMathPara>
              </a14:m>
              <a:endParaRPr lang="en-US" sz="1100"/>
            </a:p>
          </xdr:txBody>
        </xdr:sp>
      </mc:Choice>
      <mc:Fallback xmlns="">
        <xdr:sp macro="" textlink="">
          <xdr:nvSpPr>
            <xdr:cNvPr id="68" name="TextBox 67">
              <a:extLst>
                <a:ext uri="{FF2B5EF4-FFF2-40B4-BE49-F238E27FC236}">
                  <a16:creationId xmlns:a16="http://schemas.microsoft.com/office/drawing/2014/main" id="{17B656A4-0C4C-364D-8DD6-6197E41A1AE8}"/>
                </a:ext>
              </a:extLst>
            </xdr:cNvPr>
            <xdr:cNvSpPr txBox="1"/>
          </xdr:nvSpPr>
          <xdr:spPr>
            <a:xfrm>
              <a:off x="13520147212" y="48091029"/>
              <a:ext cx="2008381"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𝑃𝑉=𝑃𝑀𝑇/𝑟=30/(2.4695%)=1,214.8</a:t>
              </a:r>
              <a:endParaRPr lang="en-US" sz="1100"/>
            </a:p>
          </xdr:txBody>
        </xdr:sp>
      </mc:Fallback>
    </mc:AlternateContent>
    <xdr:clientData/>
  </xdr:oneCellAnchor>
  <xdr:oneCellAnchor>
    <xdr:from>
      <xdr:col>1</xdr:col>
      <xdr:colOff>283434</xdr:colOff>
      <xdr:row>452</xdr:row>
      <xdr:rowOff>161449</xdr:rowOff>
    </xdr:from>
    <xdr:ext cx="4183188" cy="172227"/>
    <mc:AlternateContent xmlns:mc="http://schemas.openxmlformats.org/markup-compatibility/2006" xmlns:a14="http://schemas.microsoft.com/office/drawing/2010/main">
      <mc:Choice Requires="a14">
        <xdr:sp macro="" textlink="">
          <xdr:nvSpPr>
            <xdr:cNvPr id="69" name="TextBox 68">
              <a:extLst>
                <a:ext uri="{FF2B5EF4-FFF2-40B4-BE49-F238E27FC236}">
                  <a16:creationId xmlns:a16="http://schemas.microsoft.com/office/drawing/2014/main" id="{08103C01-B211-3549-BB47-9506C7C0C08B}"/>
                </a:ext>
              </a:extLst>
            </xdr:cNvPr>
            <xdr:cNvSpPr txBox="1"/>
          </xdr:nvSpPr>
          <xdr:spPr>
            <a:xfrm>
              <a:off x="13519814178" y="69173249"/>
              <a:ext cx="4183188"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𝐹𝑉</m:t>
                    </m:r>
                    <m:d>
                      <m:dPr>
                        <m:ctrlPr>
                          <a:rPr lang="en-US" sz="1100" b="0" i="1">
                            <a:latin typeface="Cambria Math" panose="02040503050406030204" pitchFamily="18" charset="0"/>
                          </a:rPr>
                        </m:ctrlPr>
                      </m:dPr>
                      <m:e>
                        <m:r>
                          <a:rPr lang="en-US" sz="1100" b="0" i="1">
                            <a:latin typeface="Cambria Math" panose="02040503050406030204" pitchFamily="18" charset="0"/>
                          </a:rPr>
                          <m:t>𝑍𝑎𝑚𝑢𝑑</m:t>
                        </m:r>
                      </m:e>
                    </m:d>
                    <m:r>
                      <a:rPr lang="en-US" sz="1100" b="0" i="1">
                        <a:latin typeface="Cambria Math" panose="02040503050406030204" pitchFamily="18" charset="0"/>
                      </a:rPr>
                      <m:t>=56,180∗</m:t>
                    </m:r>
                    <m:d>
                      <m:dPr>
                        <m:ctrlPr>
                          <a:rPr lang="en-US" sz="1100" b="0" i="1">
                            <a:latin typeface="Cambria Math" panose="02040503050406030204" pitchFamily="18" charset="0"/>
                          </a:rPr>
                        </m:ctrlPr>
                      </m:dPr>
                      <m:e>
                        <m:r>
                          <a:rPr lang="en-US" sz="1100" b="0" i="1">
                            <a:latin typeface="Cambria Math" panose="02040503050406030204" pitchFamily="18" charset="0"/>
                          </a:rPr>
                          <m:t>1+4%</m:t>
                        </m:r>
                      </m:e>
                    </m:d>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1−5%</m:t>
                        </m:r>
                      </m:e>
                    </m:d>
                    <m:r>
                      <a:rPr lang="en-US" sz="1100" b="0" i="1">
                        <a:latin typeface="Cambria Math" panose="02040503050406030204" pitchFamily="18" charset="0"/>
                      </a:rPr>
                      <m:t>=</m:t>
                    </m:r>
                    <m:r>
                      <a:rPr lang="en-US" sz="1100" b="1" i="1">
                        <a:solidFill>
                          <a:srgbClr val="FF0000"/>
                        </a:solidFill>
                        <a:latin typeface="Cambria Math" panose="02040503050406030204" pitchFamily="18" charset="0"/>
                      </a:rPr>
                      <m:t>𝟓𝟓</m:t>
                    </m:r>
                    <m:r>
                      <a:rPr lang="en-US" sz="1100" b="1" i="1">
                        <a:solidFill>
                          <a:srgbClr val="FF0000"/>
                        </a:solidFill>
                        <a:latin typeface="Cambria Math" panose="02040503050406030204" pitchFamily="18" charset="0"/>
                      </a:rPr>
                      <m:t>,</m:t>
                    </m:r>
                    <m:r>
                      <a:rPr lang="en-US" sz="1100" b="1" i="1">
                        <a:solidFill>
                          <a:srgbClr val="FF0000"/>
                        </a:solidFill>
                        <a:latin typeface="Cambria Math" panose="02040503050406030204" pitchFamily="18" charset="0"/>
                      </a:rPr>
                      <m:t>𝟓𝟎𝟔</m:t>
                    </m:r>
                  </m:oMath>
                </m:oMathPara>
              </a14:m>
              <a:endParaRPr lang="en-US" sz="1100" b="1"/>
            </a:p>
          </xdr:txBody>
        </xdr:sp>
      </mc:Choice>
      <mc:Fallback xmlns="">
        <xdr:sp macro="" textlink="">
          <xdr:nvSpPr>
            <xdr:cNvPr id="69" name="TextBox 68">
              <a:extLst>
                <a:ext uri="{FF2B5EF4-FFF2-40B4-BE49-F238E27FC236}">
                  <a16:creationId xmlns:a16="http://schemas.microsoft.com/office/drawing/2014/main" id="{08103C01-B211-3549-BB47-9506C7C0C08B}"/>
                </a:ext>
              </a:extLst>
            </xdr:cNvPr>
            <xdr:cNvSpPr txBox="1"/>
          </xdr:nvSpPr>
          <xdr:spPr>
            <a:xfrm>
              <a:off x="13519814178" y="69173249"/>
              <a:ext cx="4183188"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𝐹𝑉(𝑍𝑎𝑚𝑢𝑑)=56,180∗(1+4%)∗(1−5%)=</a:t>
              </a:r>
              <a:r>
                <a:rPr lang="en-US" sz="1100" b="1" i="0">
                  <a:solidFill>
                    <a:srgbClr val="FF0000"/>
                  </a:solidFill>
                  <a:latin typeface="Cambria Math" panose="02040503050406030204" pitchFamily="18" charset="0"/>
                </a:rPr>
                <a:t>𝟓𝟓,𝟓𝟎𝟔</a:t>
              </a:r>
              <a:endParaRPr lang="en-US" sz="1100" b="1"/>
            </a:p>
          </xdr:txBody>
        </xdr:sp>
      </mc:Fallback>
    </mc:AlternateContent>
    <xdr:clientData/>
  </xdr:oneCellAnchor>
  <xdr:twoCellAnchor editAs="oneCell">
    <xdr:from>
      <xdr:col>0</xdr:col>
      <xdr:colOff>0</xdr:colOff>
      <xdr:row>196</xdr:row>
      <xdr:rowOff>174684</xdr:rowOff>
    </xdr:from>
    <xdr:to>
      <xdr:col>7</xdr:col>
      <xdr:colOff>797881</xdr:colOff>
      <xdr:row>207</xdr:row>
      <xdr:rowOff>93088</xdr:rowOff>
    </xdr:to>
    <xdr:pic>
      <xdr:nvPicPr>
        <xdr:cNvPr id="70" name="Picture 69">
          <a:extLst>
            <a:ext uri="{FF2B5EF4-FFF2-40B4-BE49-F238E27FC236}">
              <a16:creationId xmlns:a16="http://schemas.microsoft.com/office/drawing/2014/main" id="{01028B13-FD40-7126-A744-DA8103BD302C}"/>
            </a:ext>
          </a:extLst>
        </xdr:cNvPr>
        <xdr:cNvPicPr>
          <a:picLocks noChangeAspect="1"/>
        </xdr:cNvPicPr>
      </xdr:nvPicPr>
      <xdr:blipFill>
        <a:blip xmlns:r="http://schemas.openxmlformats.org/officeDocument/2006/relationships" r:embed="rId1"/>
        <a:stretch>
          <a:fillRect/>
        </a:stretch>
      </xdr:blipFill>
      <xdr:spPr>
        <a:xfrm>
          <a:off x="13530013457" y="40078178"/>
          <a:ext cx="6666320" cy="2151527"/>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xdr:from>
      <xdr:col>7</xdr:col>
      <xdr:colOff>680203</xdr:colOff>
      <xdr:row>4</xdr:row>
      <xdr:rowOff>94712</xdr:rowOff>
    </xdr:from>
    <xdr:to>
      <xdr:col>8</xdr:col>
      <xdr:colOff>559661</xdr:colOff>
      <xdr:row>6</xdr:row>
      <xdr:rowOff>25830</xdr:rowOff>
    </xdr:to>
    <xdr:cxnSp macro="">
      <xdr:nvCxnSpPr>
        <xdr:cNvPr id="3" name="Straight Arrow Connector 2">
          <a:extLst>
            <a:ext uri="{FF2B5EF4-FFF2-40B4-BE49-F238E27FC236}">
              <a16:creationId xmlns:a16="http://schemas.microsoft.com/office/drawing/2014/main" id="{A208B042-092F-A31E-3888-4699FF357F59}"/>
            </a:ext>
          </a:extLst>
        </xdr:cNvPr>
        <xdr:cNvCxnSpPr/>
      </xdr:nvCxnSpPr>
      <xdr:spPr>
        <a:xfrm flipH="1">
          <a:off x="13535453356" y="904068"/>
          <a:ext cx="706034" cy="33579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675898</xdr:colOff>
      <xdr:row>6</xdr:row>
      <xdr:rowOff>60271</xdr:rowOff>
    </xdr:from>
    <xdr:to>
      <xdr:col>8</xdr:col>
      <xdr:colOff>559661</xdr:colOff>
      <xdr:row>7</xdr:row>
      <xdr:rowOff>90407</xdr:rowOff>
    </xdr:to>
    <xdr:cxnSp macro="">
      <xdr:nvCxnSpPr>
        <xdr:cNvPr id="4" name="Straight Arrow Connector 3">
          <a:extLst>
            <a:ext uri="{FF2B5EF4-FFF2-40B4-BE49-F238E27FC236}">
              <a16:creationId xmlns:a16="http://schemas.microsoft.com/office/drawing/2014/main" id="{83BDE0AF-AC6F-E5EB-B4AE-C523257A4313}"/>
            </a:ext>
          </a:extLst>
        </xdr:cNvPr>
        <xdr:cNvCxnSpPr/>
      </xdr:nvCxnSpPr>
      <xdr:spPr>
        <a:xfrm flipH="1" flipV="1">
          <a:off x="13535453356" y="1274305"/>
          <a:ext cx="710339" cy="2324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718949</xdr:colOff>
      <xdr:row>6</xdr:row>
      <xdr:rowOff>116237</xdr:rowOff>
    </xdr:from>
    <xdr:to>
      <xdr:col>8</xdr:col>
      <xdr:colOff>594102</xdr:colOff>
      <xdr:row>8</xdr:row>
      <xdr:rowOff>90407</xdr:rowOff>
    </xdr:to>
    <xdr:cxnSp macro="">
      <xdr:nvCxnSpPr>
        <xdr:cNvPr id="6" name="Straight Arrow Connector 5">
          <a:extLst>
            <a:ext uri="{FF2B5EF4-FFF2-40B4-BE49-F238E27FC236}">
              <a16:creationId xmlns:a16="http://schemas.microsoft.com/office/drawing/2014/main" id="{A8E047C4-358B-EE38-45D8-F69C082B8F99}"/>
            </a:ext>
          </a:extLst>
        </xdr:cNvPr>
        <xdr:cNvCxnSpPr/>
      </xdr:nvCxnSpPr>
      <xdr:spPr>
        <a:xfrm flipH="1" flipV="1">
          <a:off x="13535418915" y="1330271"/>
          <a:ext cx="701729" cy="37884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30135</xdr:colOff>
      <xdr:row>4</xdr:row>
      <xdr:rowOff>43051</xdr:rowOff>
    </xdr:from>
    <xdr:to>
      <xdr:col>7</xdr:col>
      <xdr:colOff>198034</xdr:colOff>
      <xdr:row>4</xdr:row>
      <xdr:rowOff>193729</xdr:rowOff>
    </xdr:to>
    <xdr:sp macro="" textlink="">
      <xdr:nvSpPr>
        <xdr:cNvPr id="8" name="Rounded Rectangle 7">
          <a:extLst>
            <a:ext uri="{FF2B5EF4-FFF2-40B4-BE49-F238E27FC236}">
              <a16:creationId xmlns:a16="http://schemas.microsoft.com/office/drawing/2014/main" id="{4EEB72E6-5154-3AEC-A768-0A115C6A3E61}"/>
            </a:ext>
          </a:extLst>
        </xdr:cNvPr>
        <xdr:cNvSpPr/>
      </xdr:nvSpPr>
      <xdr:spPr>
        <a:xfrm>
          <a:off x="13536641559" y="865322"/>
          <a:ext cx="167899" cy="15067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1</a:t>
          </a:r>
          <a:endParaRPr lang="en-US" sz="1100"/>
        </a:p>
      </xdr:txBody>
    </xdr:sp>
    <xdr:clientData/>
  </xdr:twoCellAnchor>
  <xdr:twoCellAnchor>
    <xdr:from>
      <xdr:col>7</xdr:col>
      <xdr:colOff>55965</xdr:colOff>
      <xdr:row>7</xdr:row>
      <xdr:rowOff>34441</xdr:rowOff>
    </xdr:from>
    <xdr:to>
      <xdr:col>7</xdr:col>
      <xdr:colOff>215253</xdr:colOff>
      <xdr:row>7</xdr:row>
      <xdr:rowOff>185119</xdr:rowOff>
    </xdr:to>
    <xdr:sp macro="" textlink="">
      <xdr:nvSpPr>
        <xdr:cNvPr id="9" name="Rounded Rectangle 8">
          <a:extLst>
            <a:ext uri="{FF2B5EF4-FFF2-40B4-BE49-F238E27FC236}">
              <a16:creationId xmlns:a16="http://schemas.microsoft.com/office/drawing/2014/main" id="{A4825B78-9E06-ADEA-B696-61A9D7737ED2}"/>
            </a:ext>
          </a:extLst>
        </xdr:cNvPr>
        <xdr:cNvSpPr/>
      </xdr:nvSpPr>
      <xdr:spPr>
        <a:xfrm>
          <a:off x="13536624340" y="1463729"/>
          <a:ext cx="159288" cy="15067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1</a:t>
          </a:r>
          <a:endParaRPr lang="en-US" sz="1100"/>
        </a:p>
      </xdr:txBody>
    </xdr:sp>
    <xdr:clientData/>
  </xdr:twoCellAnchor>
  <xdr:twoCellAnchor>
    <xdr:from>
      <xdr:col>7</xdr:col>
      <xdr:colOff>55965</xdr:colOff>
      <xdr:row>8</xdr:row>
      <xdr:rowOff>34441</xdr:rowOff>
    </xdr:from>
    <xdr:to>
      <xdr:col>7</xdr:col>
      <xdr:colOff>215253</xdr:colOff>
      <xdr:row>8</xdr:row>
      <xdr:rowOff>185119</xdr:rowOff>
    </xdr:to>
    <xdr:sp macro="" textlink="">
      <xdr:nvSpPr>
        <xdr:cNvPr id="10" name="Rounded Rectangle 9">
          <a:extLst>
            <a:ext uri="{FF2B5EF4-FFF2-40B4-BE49-F238E27FC236}">
              <a16:creationId xmlns:a16="http://schemas.microsoft.com/office/drawing/2014/main" id="{3B9BF0FA-532A-A273-7635-3957306A08F8}"/>
            </a:ext>
          </a:extLst>
        </xdr:cNvPr>
        <xdr:cNvSpPr/>
      </xdr:nvSpPr>
      <xdr:spPr>
        <a:xfrm>
          <a:off x="13536624340" y="1666068"/>
          <a:ext cx="159288" cy="15067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1</a:t>
          </a:r>
          <a:endParaRPr lang="en-US" sz="1100"/>
        </a:p>
      </xdr:txBody>
    </xdr:sp>
    <xdr:clientData/>
  </xdr:twoCellAnchor>
  <xdr:twoCellAnchor>
    <xdr:from>
      <xdr:col>7</xdr:col>
      <xdr:colOff>38745</xdr:colOff>
      <xdr:row>5</xdr:row>
      <xdr:rowOff>34441</xdr:rowOff>
    </xdr:from>
    <xdr:to>
      <xdr:col>7</xdr:col>
      <xdr:colOff>198033</xdr:colOff>
      <xdr:row>5</xdr:row>
      <xdr:rowOff>185119</xdr:rowOff>
    </xdr:to>
    <xdr:sp macro="" textlink="">
      <xdr:nvSpPr>
        <xdr:cNvPr id="11" name="Rounded Rectangle 10">
          <a:extLst>
            <a:ext uri="{FF2B5EF4-FFF2-40B4-BE49-F238E27FC236}">
              <a16:creationId xmlns:a16="http://schemas.microsoft.com/office/drawing/2014/main" id="{6555755D-05F3-F2AA-98A3-EDCE2C20C5E3}"/>
            </a:ext>
          </a:extLst>
        </xdr:cNvPr>
        <xdr:cNvSpPr/>
      </xdr:nvSpPr>
      <xdr:spPr>
        <a:xfrm>
          <a:off x="13536641560" y="1059051"/>
          <a:ext cx="159288" cy="15067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2</a:t>
          </a:r>
          <a:endParaRPr lang="en-US" sz="1100"/>
        </a:p>
      </xdr:txBody>
    </xdr:sp>
    <xdr:clientData/>
  </xdr:twoCellAnchor>
  <xdr:twoCellAnchor>
    <xdr:from>
      <xdr:col>7</xdr:col>
      <xdr:colOff>60270</xdr:colOff>
      <xdr:row>9</xdr:row>
      <xdr:rowOff>34442</xdr:rowOff>
    </xdr:from>
    <xdr:to>
      <xdr:col>7</xdr:col>
      <xdr:colOff>219558</xdr:colOff>
      <xdr:row>9</xdr:row>
      <xdr:rowOff>185120</xdr:rowOff>
    </xdr:to>
    <xdr:sp macro="" textlink="">
      <xdr:nvSpPr>
        <xdr:cNvPr id="12" name="Rounded Rectangle 11">
          <a:extLst>
            <a:ext uri="{FF2B5EF4-FFF2-40B4-BE49-F238E27FC236}">
              <a16:creationId xmlns:a16="http://schemas.microsoft.com/office/drawing/2014/main" id="{3167E851-FEC0-3769-9EB3-1698EFB12438}"/>
            </a:ext>
          </a:extLst>
        </xdr:cNvPr>
        <xdr:cNvSpPr/>
      </xdr:nvSpPr>
      <xdr:spPr>
        <a:xfrm>
          <a:off x="13536620035" y="1868408"/>
          <a:ext cx="159288" cy="15067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3</a:t>
          </a:r>
          <a:endParaRPr lang="en-US" sz="1100"/>
        </a:p>
      </xdr:txBody>
    </xdr:sp>
    <xdr:clientData/>
  </xdr:twoCellAnchor>
  <xdr:twoCellAnchor>
    <xdr:from>
      <xdr:col>7</xdr:col>
      <xdr:colOff>64575</xdr:colOff>
      <xdr:row>10</xdr:row>
      <xdr:rowOff>12916</xdr:rowOff>
    </xdr:from>
    <xdr:to>
      <xdr:col>7</xdr:col>
      <xdr:colOff>223863</xdr:colOff>
      <xdr:row>10</xdr:row>
      <xdr:rowOff>163594</xdr:rowOff>
    </xdr:to>
    <xdr:sp macro="" textlink="">
      <xdr:nvSpPr>
        <xdr:cNvPr id="13" name="Rounded Rectangle 12">
          <a:extLst>
            <a:ext uri="{FF2B5EF4-FFF2-40B4-BE49-F238E27FC236}">
              <a16:creationId xmlns:a16="http://schemas.microsoft.com/office/drawing/2014/main" id="{A3F0EFF1-5BAE-B7B1-8C38-DE76A22C70B9}"/>
            </a:ext>
          </a:extLst>
        </xdr:cNvPr>
        <xdr:cNvSpPr/>
      </xdr:nvSpPr>
      <xdr:spPr>
        <a:xfrm>
          <a:off x="13536615730" y="2062136"/>
          <a:ext cx="159288" cy="15067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4</a:t>
          </a:r>
          <a:endParaRPr lang="en-US" sz="1100"/>
        </a:p>
      </xdr:txBody>
    </xdr:sp>
    <xdr:clientData/>
  </xdr:twoCellAnchor>
  <xdr:twoCellAnchor>
    <xdr:from>
      <xdr:col>7</xdr:col>
      <xdr:colOff>55964</xdr:colOff>
      <xdr:row>6</xdr:row>
      <xdr:rowOff>30136</xdr:rowOff>
    </xdr:from>
    <xdr:to>
      <xdr:col>7</xdr:col>
      <xdr:colOff>215252</xdr:colOff>
      <xdr:row>6</xdr:row>
      <xdr:rowOff>180814</xdr:rowOff>
    </xdr:to>
    <xdr:sp macro="" textlink="">
      <xdr:nvSpPr>
        <xdr:cNvPr id="14" name="Rounded Rectangle 13">
          <a:extLst>
            <a:ext uri="{FF2B5EF4-FFF2-40B4-BE49-F238E27FC236}">
              <a16:creationId xmlns:a16="http://schemas.microsoft.com/office/drawing/2014/main" id="{A6C39633-7CD8-62B3-DE07-DEC271AC2073}"/>
            </a:ext>
          </a:extLst>
        </xdr:cNvPr>
        <xdr:cNvSpPr/>
      </xdr:nvSpPr>
      <xdr:spPr>
        <a:xfrm>
          <a:off x="13536624341" y="1257085"/>
          <a:ext cx="159288" cy="15067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5</a:t>
          </a:r>
          <a:endParaRPr lang="en-US" sz="110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3</xdr:col>
      <xdr:colOff>816429</xdr:colOff>
      <xdr:row>82</xdr:row>
      <xdr:rowOff>231321</xdr:rowOff>
    </xdr:from>
    <xdr:to>
      <xdr:col>4</xdr:col>
      <xdr:colOff>176893</xdr:colOff>
      <xdr:row>82</xdr:row>
      <xdr:rowOff>390071</xdr:rowOff>
    </xdr:to>
    <xdr:sp macro="" textlink="">
      <xdr:nvSpPr>
        <xdr:cNvPr id="2" name="Rounded Rectangle 1">
          <a:extLst>
            <a:ext uri="{FF2B5EF4-FFF2-40B4-BE49-F238E27FC236}">
              <a16:creationId xmlns:a16="http://schemas.microsoft.com/office/drawing/2014/main" id="{FE702B5B-9CC3-65FF-D058-68210B1F21CD}"/>
            </a:ext>
          </a:extLst>
        </xdr:cNvPr>
        <xdr:cNvSpPr/>
      </xdr:nvSpPr>
      <xdr:spPr>
        <a:xfrm>
          <a:off x="13521513107" y="16968107"/>
          <a:ext cx="185964" cy="1587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en-US" sz="1100"/>
            <a:t>1</a:t>
          </a:r>
        </a:p>
      </xdr:txBody>
    </xdr:sp>
    <xdr:clientData/>
  </xdr:twoCellAnchor>
  <xdr:twoCellAnchor>
    <xdr:from>
      <xdr:col>3</xdr:col>
      <xdr:colOff>4536</xdr:colOff>
      <xdr:row>82</xdr:row>
      <xdr:rowOff>217712</xdr:rowOff>
    </xdr:from>
    <xdr:to>
      <xdr:col>3</xdr:col>
      <xdr:colOff>154215</xdr:colOff>
      <xdr:row>82</xdr:row>
      <xdr:rowOff>394605</xdr:rowOff>
    </xdr:to>
    <xdr:sp macro="" textlink="">
      <xdr:nvSpPr>
        <xdr:cNvPr id="3" name="Rounded Rectangle 2">
          <a:extLst>
            <a:ext uri="{FF2B5EF4-FFF2-40B4-BE49-F238E27FC236}">
              <a16:creationId xmlns:a16="http://schemas.microsoft.com/office/drawing/2014/main" id="{99328963-8AB8-1653-D23D-CB54149D7A94}"/>
            </a:ext>
          </a:extLst>
        </xdr:cNvPr>
        <xdr:cNvSpPr/>
      </xdr:nvSpPr>
      <xdr:spPr>
        <a:xfrm>
          <a:off x="13522361285" y="16954498"/>
          <a:ext cx="149679" cy="17689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en-US" sz="1100"/>
            <a:t>2</a:t>
          </a:r>
        </a:p>
      </xdr:txBody>
    </xdr:sp>
    <xdr:clientData/>
  </xdr:twoCellAnchor>
  <xdr:twoCellAnchor>
    <xdr:from>
      <xdr:col>2</xdr:col>
      <xdr:colOff>1</xdr:colOff>
      <xdr:row>82</xdr:row>
      <xdr:rowOff>222250</xdr:rowOff>
    </xdr:from>
    <xdr:to>
      <xdr:col>2</xdr:col>
      <xdr:colOff>185965</xdr:colOff>
      <xdr:row>82</xdr:row>
      <xdr:rowOff>381000</xdr:rowOff>
    </xdr:to>
    <xdr:sp macro="" textlink="">
      <xdr:nvSpPr>
        <xdr:cNvPr id="4" name="Rounded Rectangle 3">
          <a:extLst>
            <a:ext uri="{FF2B5EF4-FFF2-40B4-BE49-F238E27FC236}">
              <a16:creationId xmlns:a16="http://schemas.microsoft.com/office/drawing/2014/main" id="{56E1DED0-2387-0453-128C-FF6EE3F4AAA6}"/>
            </a:ext>
          </a:extLst>
        </xdr:cNvPr>
        <xdr:cNvSpPr/>
      </xdr:nvSpPr>
      <xdr:spPr>
        <a:xfrm>
          <a:off x="13523155035" y="16959036"/>
          <a:ext cx="185964" cy="1587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en-US" sz="1100"/>
            <a:t>1</a:t>
          </a:r>
        </a:p>
      </xdr:txBody>
    </xdr:sp>
    <xdr:clientData/>
  </xdr:twoCellAnchor>
  <xdr:twoCellAnchor>
    <xdr:from>
      <xdr:col>1</xdr:col>
      <xdr:colOff>811893</xdr:colOff>
      <xdr:row>84</xdr:row>
      <xdr:rowOff>9069</xdr:rowOff>
    </xdr:from>
    <xdr:to>
      <xdr:col>2</xdr:col>
      <xdr:colOff>136072</xdr:colOff>
      <xdr:row>84</xdr:row>
      <xdr:rowOff>185962</xdr:rowOff>
    </xdr:to>
    <xdr:sp macro="" textlink="">
      <xdr:nvSpPr>
        <xdr:cNvPr id="5" name="Rounded Rectangle 4">
          <a:extLst>
            <a:ext uri="{FF2B5EF4-FFF2-40B4-BE49-F238E27FC236}">
              <a16:creationId xmlns:a16="http://schemas.microsoft.com/office/drawing/2014/main" id="{07C6A966-8588-BCF2-78E3-234225B9F79D}"/>
            </a:ext>
          </a:extLst>
        </xdr:cNvPr>
        <xdr:cNvSpPr/>
      </xdr:nvSpPr>
      <xdr:spPr>
        <a:xfrm>
          <a:off x="13523204928" y="17344569"/>
          <a:ext cx="149679" cy="17689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en-US" sz="1100"/>
            <a:t>2</a:t>
          </a:r>
        </a:p>
      </xdr:txBody>
    </xdr:sp>
    <xdr:clientData/>
  </xdr:twoCellAnchor>
  <xdr:twoCellAnchor>
    <xdr:from>
      <xdr:col>1</xdr:col>
      <xdr:colOff>816430</xdr:colOff>
      <xdr:row>81</xdr:row>
      <xdr:rowOff>294822</xdr:rowOff>
    </xdr:from>
    <xdr:to>
      <xdr:col>2</xdr:col>
      <xdr:colOff>176894</xdr:colOff>
      <xdr:row>82</xdr:row>
      <xdr:rowOff>45358</xdr:rowOff>
    </xdr:to>
    <xdr:sp macro="" textlink="">
      <xdr:nvSpPr>
        <xdr:cNvPr id="6" name="Rounded Rectangle 5">
          <a:extLst>
            <a:ext uri="{FF2B5EF4-FFF2-40B4-BE49-F238E27FC236}">
              <a16:creationId xmlns:a16="http://schemas.microsoft.com/office/drawing/2014/main" id="{4F75986A-65D1-74CF-57C3-89E3D4CB8077}"/>
            </a:ext>
          </a:extLst>
        </xdr:cNvPr>
        <xdr:cNvSpPr/>
      </xdr:nvSpPr>
      <xdr:spPr>
        <a:xfrm>
          <a:off x="13523164106" y="16827501"/>
          <a:ext cx="185964" cy="1587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en-US" sz="1100"/>
            <a:t>3</a:t>
          </a:r>
        </a:p>
      </xdr:txBody>
    </xdr:sp>
    <xdr:clientData/>
  </xdr:twoCellAnchor>
  <xdr:twoCellAnchor>
    <xdr:from>
      <xdr:col>9</xdr:col>
      <xdr:colOff>629708</xdr:colOff>
      <xdr:row>118</xdr:row>
      <xdr:rowOff>100542</xdr:rowOff>
    </xdr:from>
    <xdr:to>
      <xdr:col>10</xdr:col>
      <xdr:colOff>74083</xdr:colOff>
      <xdr:row>120</xdr:row>
      <xdr:rowOff>42334</xdr:rowOff>
    </xdr:to>
    <xdr:cxnSp macro="">
      <xdr:nvCxnSpPr>
        <xdr:cNvPr id="8" name="Straight Arrow Connector 7">
          <a:extLst>
            <a:ext uri="{FF2B5EF4-FFF2-40B4-BE49-F238E27FC236}">
              <a16:creationId xmlns:a16="http://schemas.microsoft.com/office/drawing/2014/main" id="{A9E5DCBB-CC8F-D12A-36DB-EA34FFFA3436}"/>
            </a:ext>
          </a:extLst>
        </xdr:cNvPr>
        <xdr:cNvCxnSpPr/>
      </xdr:nvCxnSpPr>
      <xdr:spPr>
        <a:xfrm>
          <a:off x="13516662917" y="24743834"/>
          <a:ext cx="269875" cy="34395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619126</xdr:colOff>
      <xdr:row>118</xdr:row>
      <xdr:rowOff>126999</xdr:rowOff>
    </xdr:from>
    <xdr:to>
      <xdr:col>9</xdr:col>
      <xdr:colOff>63501</xdr:colOff>
      <xdr:row>120</xdr:row>
      <xdr:rowOff>68791</xdr:rowOff>
    </xdr:to>
    <xdr:cxnSp macro="">
      <xdr:nvCxnSpPr>
        <xdr:cNvPr id="9" name="Straight Arrow Connector 8">
          <a:extLst>
            <a:ext uri="{FF2B5EF4-FFF2-40B4-BE49-F238E27FC236}">
              <a16:creationId xmlns:a16="http://schemas.microsoft.com/office/drawing/2014/main" id="{92D4848F-047C-096A-006E-B71B33960F67}"/>
            </a:ext>
          </a:extLst>
        </xdr:cNvPr>
        <xdr:cNvCxnSpPr/>
      </xdr:nvCxnSpPr>
      <xdr:spPr>
        <a:xfrm>
          <a:off x="13517498999" y="24770291"/>
          <a:ext cx="269875" cy="34395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619125</xdr:colOff>
      <xdr:row>118</xdr:row>
      <xdr:rowOff>132291</xdr:rowOff>
    </xdr:from>
    <xdr:to>
      <xdr:col>8</xdr:col>
      <xdr:colOff>63500</xdr:colOff>
      <xdr:row>120</xdr:row>
      <xdr:rowOff>74083</xdr:rowOff>
    </xdr:to>
    <xdr:cxnSp macro="">
      <xdr:nvCxnSpPr>
        <xdr:cNvPr id="10" name="Straight Arrow Connector 9">
          <a:extLst>
            <a:ext uri="{FF2B5EF4-FFF2-40B4-BE49-F238E27FC236}">
              <a16:creationId xmlns:a16="http://schemas.microsoft.com/office/drawing/2014/main" id="{D3F0DB2E-C74B-AD01-BB07-B14BDBD42E67}"/>
            </a:ext>
          </a:extLst>
        </xdr:cNvPr>
        <xdr:cNvCxnSpPr/>
      </xdr:nvCxnSpPr>
      <xdr:spPr>
        <a:xfrm>
          <a:off x="13518324500" y="24775583"/>
          <a:ext cx="269875" cy="34395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635000</xdr:colOff>
      <xdr:row>118</xdr:row>
      <xdr:rowOff>137582</xdr:rowOff>
    </xdr:from>
    <xdr:to>
      <xdr:col>7</xdr:col>
      <xdr:colOff>79375</xdr:colOff>
      <xdr:row>120</xdr:row>
      <xdr:rowOff>79374</xdr:rowOff>
    </xdr:to>
    <xdr:cxnSp macro="">
      <xdr:nvCxnSpPr>
        <xdr:cNvPr id="11" name="Straight Arrow Connector 10">
          <a:extLst>
            <a:ext uri="{FF2B5EF4-FFF2-40B4-BE49-F238E27FC236}">
              <a16:creationId xmlns:a16="http://schemas.microsoft.com/office/drawing/2014/main" id="{792A59FD-9CF5-41FD-31A2-13485170ACFC}"/>
            </a:ext>
          </a:extLst>
        </xdr:cNvPr>
        <xdr:cNvCxnSpPr/>
      </xdr:nvCxnSpPr>
      <xdr:spPr>
        <a:xfrm>
          <a:off x="13519134125" y="24780874"/>
          <a:ext cx="269875" cy="34395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816428</xdr:colOff>
      <xdr:row>150</xdr:row>
      <xdr:rowOff>108857</xdr:rowOff>
    </xdr:from>
    <xdr:to>
      <xdr:col>4</xdr:col>
      <xdr:colOff>798286</xdr:colOff>
      <xdr:row>150</xdr:row>
      <xdr:rowOff>117928</xdr:rowOff>
    </xdr:to>
    <xdr:cxnSp macro="">
      <xdr:nvCxnSpPr>
        <xdr:cNvPr id="13" name="Straight Arrow Connector 12">
          <a:extLst>
            <a:ext uri="{FF2B5EF4-FFF2-40B4-BE49-F238E27FC236}">
              <a16:creationId xmlns:a16="http://schemas.microsoft.com/office/drawing/2014/main" id="{6E60EA91-16C0-5F7E-2E4F-6E14944ED2C6}"/>
            </a:ext>
          </a:extLst>
        </xdr:cNvPr>
        <xdr:cNvCxnSpPr/>
      </xdr:nvCxnSpPr>
      <xdr:spPr>
        <a:xfrm flipV="1">
          <a:off x="13520891714" y="31654750"/>
          <a:ext cx="1632858" cy="9071"/>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412750</xdr:colOff>
      <xdr:row>156</xdr:row>
      <xdr:rowOff>9071</xdr:rowOff>
    </xdr:from>
    <xdr:to>
      <xdr:col>1</xdr:col>
      <xdr:colOff>417285</xdr:colOff>
      <xdr:row>158</xdr:row>
      <xdr:rowOff>136071</xdr:rowOff>
    </xdr:to>
    <xdr:cxnSp macro="">
      <xdr:nvCxnSpPr>
        <xdr:cNvPr id="14" name="Straight Arrow Connector 13">
          <a:extLst>
            <a:ext uri="{FF2B5EF4-FFF2-40B4-BE49-F238E27FC236}">
              <a16:creationId xmlns:a16="http://schemas.microsoft.com/office/drawing/2014/main" id="{BA681D3C-66C0-51F6-CD0E-7A501FC6B338}"/>
            </a:ext>
          </a:extLst>
        </xdr:cNvPr>
        <xdr:cNvCxnSpPr/>
      </xdr:nvCxnSpPr>
      <xdr:spPr>
        <a:xfrm>
          <a:off x="13523776429" y="32779607"/>
          <a:ext cx="4535" cy="535214"/>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0DDA5-EB3C-4A40-A7EC-4D0E1FEA036D}">
  <dimension ref="A1:Q418"/>
  <sheetViews>
    <sheetView rightToLeft="1" topLeftCell="A348" zoomScale="300" zoomScaleNormal="300" workbookViewId="0">
      <selection activeCell="D357" sqref="D357"/>
    </sheetView>
  </sheetViews>
  <sheetFormatPr baseColWidth="10" defaultRowHeight="16" x14ac:dyDescent="0.2"/>
  <cols>
    <col min="1" max="1" width="11.1640625" style="1" bestFit="1" customWidth="1"/>
    <col min="2" max="3" width="10.83203125" style="1"/>
    <col min="4" max="4" width="11.1640625" style="1" bestFit="1" customWidth="1"/>
    <col min="5" max="5" width="11.6640625" style="1" bestFit="1" customWidth="1"/>
    <col min="6" max="6" width="11.33203125" style="1" customWidth="1"/>
    <col min="7" max="7" width="10.83203125" style="1"/>
    <col min="8" max="8" width="11.1640625" style="1" bestFit="1" customWidth="1"/>
    <col min="9" max="16384" width="10.83203125" style="1"/>
  </cols>
  <sheetData>
    <row r="1" spans="1:8" x14ac:dyDescent="0.2">
      <c r="A1" s="487" t="s">
        <v>2980</v>
      </c>
      <c r="B1" s="487"/>
      <c r="C1" s="487"/>
      <c r="D1" s="487"/>
      <c r="E1" s="487"/>
      <c r="F1" s="487"/>
      <c r="G1" s="487"/>
      <c r="H1" s="487"/>
    </row>
    <row r="2" spans="1:8" x14ac:dyDescent="0.2">
      <c r="H2" s="36">
        <v>45876</v>
      </c>
    </row>
    <row r="3" spans="1:8" x14ac:dyDescent="0.2">
      <c r="A3" s="2" t="s">
        <v>0</v>
      </c>
      <c r="B3" s="2"/>
      <c r="C3" s="2"/>
      <c r="D3" s="2"/>
      <c r="E3" s="2"/>
      <c r="F3" s="2"/>
      <c r="G3" s="2"/>
      <c r="H3" s="2"/>
    </row>
    <row r="4" spans="1:8" x14ac:dyDescent="0.2">
      <c r="A4" s="1" t="s">
        <v>1</v>
      </c>
    </row>
    <row r="5" spans="1:8" x14ac:dyDescent="0.2">
      <c r="A5" s="1" t="s">
        <v>2</v>
      </c>
    </row>
    <row r="6" spans="1:8" x14ac:dyDescent="0.2">
      <c r="A6" s="1" t="s">
        <v>3</v>
      </c>
    </row>
    <row r="7" spans="1:8" x14ac:dyDescent="0.2">
      <c r="A7" s="1" t="s">
        <v>1788</v>
      </c>
    </row>
    <row r="8" spans="1:8" x14ac:dyDescent="0.2">
      <c r="A8" s="1" t="s">
        <v>4</v>
      </c>
    </row>
    <row r="9" spans="1:8" x14ac:dyDescent="0.2">
      <c r="A9" s="1" t="s">
        <v>5</v>
      </c>
    </row>
    <row r="10" spans="1:8" x14ac:dyDescent="0.2">
      <c r="A10" s="1" t="s">
        <v>6</v>
      </c>
    </row>
    <row r="11" spans="1:8" x14ac:dyDescent="0.2">
      <c r="A11" s="1" t="s">
        <v>7</v>
      </c>
    </row>
    <row r="13" spans="1:8" x14ac:dyDescent="0.2">
      <c r="A13" s="2" t="s">
        <v>8</v>
      </c>
      <c r="B13" s="2"/>
      <c r="C13" s="2"/>
      <c r="D13" s="2"/>
      <c r="E13" s="2"/>
      <c r="F13" s="2"/>
      <c r="G13" s="2"/>
      <c r="H13" s="2"/>
    </row>
    <row r="15" spans="1:8" x14ac:dyDescent="0.2">
      <c r="A15" s="18" t="s">
        <v>50</v>
      </c>
      <c r="B15" s="18"/>
      <c r="C15" s="18"/>
      <c r="D15" s="18"/>
      <c r="E15" s="18"/>
      <c r="F15" s="18"/>
      <c r="G15" s="18"/>
      <c r="H15" s="18"/>
    </row>
    <row r="17" spans="1:8" x14ac:dyDescent="0.2">
      <c r="A17" s="1" t="s">
        <v>51</v>
      </c>
    </row>
    <row r="18" spans="1:8" x14ac:dyDescent="0.2">
      <c r="A18" s="1" t="s">
        <v>52</v>
      </c>
    </row>
    <row r="24" spans="1:8" ht="18" x14ac:dyDescent="0.2">
      <c r="A24" s="205" t="s">
        <v>1789</v>
      </c>
      <c r="B24" s="205"/>
      <c r="C24" s="205"/>
      <c r="D24" s="205"/>
      <c r="E24" s="205"/>
      <c r="F24" s="205"/>
      <c r="G24" s="205"/>
      <c r="H24" s="205"/>
    </row>
    <row r="25" spans="1:8" x14ac:dyDescent="0.2">
      <c r="A25" s="1" t="s">
        <v>9</v>
      </c>
    </row>
    <row r="26" spans="1:8" x14ac:dyDescent="0.2">
      <c r="A26" s="1" t="s">
        <v>10</v>
      </c>
    </row>
    <row r="27" spans="1:8" x14ac:dyDescent="0.2">
      <c r="A27" s="1" t="s">
        <v>11</v>
      </c>
    </row>
    <row r="28" spans="1:8" x14ac:dyDescent="0.2">
      <c r="A28" s="1" t="s">
        <v>12</v>
      </c>
    </row>
    <row r="29" spans="1:8" x14ac:dyDescent="0.2">
      <c r="A29" s="1" t="s">
        <v>13</v>
      </c>
    </row>
    <row r="31" spans="1:8" x14ac:dyDescent="0.2">
      <c r="A31" s="6" t="s">
        <v>44</v>
      </c>
      <c r="B31" s="5"/>
      <c r="C31" s="5"/>
      <c r="D31" s="5"/>
      <c r="E31" s="5"/>
      <c r="F31" s="5"/>
      <c r="G31" s="5"/>
      <c r="H31" s="5">
        <v>1.1000000000000001</v>
      </c>
    </row>
    <row r="32" spans="1:8" x14ac:dyDescent="0.2">
      <c r="A32" s="1" t="s">
        <v>14</v>
      </c>
    </row>
    <row r="34" spans="1:8" x14ac:dyDescent="0.2">
      <c r="A34" s="1" t="s">
        <v>15</v>
      </c>
      <c r="B34" s="1" t="s">
        <v>17</v>
      </c>
      <c r="C34" s="1" t="s">
        <v>16</v>
      </c>
    </row>
    <row r="35" spans="1:8" x14ac:dyDescent="0.2">
      <c r="A35" s="1">
        <v>123</v>
      </c>
      <c r="B35" s="3">
        <v>10000</v>
      </c>
      <c r="C35" s="4">
        <v>45412</v>
      </c>
    </row>
    <row r="36" spans="1:8" x14ac:dyDescent="0.2">
      <c r="A36" s="1">
        <v>298</v>
      </c>
      <c r="B36" s="3">
        <v>19000</v>
      </c>
      <c r="C36" s="4">
        <v>45565</v>
      </c>
    </row>
    <row r="37" spans="1:8" x14ac:dyDescent="0.2">
      <c r="A37" s="1">
        <v>174</v>
      </c>
      <c r="B37" s="3">
        <v>23000</v>
      </c>
      <c r="C37" s="4">
        <v>45595</v>
      </c>
    </row>
    <row r="38" spans="1:8" x14ac:dyDescent="0.2">
      <c r="A38" s="1">
        <v>210</v>
      </c>
      <c r="B38" s="3">
        <v>54000</v>
      </c>
      <c r="C38" s="4">
        <v>45626</v>
      </c>
    </row>
    <row r="39" spans="1:8" x14ac:dyDescent="0.2">
      <c r="A39" s="1">
        <v>735</v>
      </c>
      <c r="B39" s="3">
        <v>11000</v>
      </c>
      <c r="C39" s="4">
        <v>45657</v>
      </c>
    </row>
    <row r="41" spans="1:8" x14ac:dyDescent="0.2">
      <c r="A41" s="1" t="s">
        <v>18</v>
      </c>
    </row>
    <row r="42" spans="1:8" ht="17" thickBot="1" x14ac:dyDescent="0.25"/>
    <row r="43" spans="1:8" ht="17" thickBot="1" x14ac:dyDescent="0.25">
      <c r="A43" s="7" t="s">
        <v>23</v>
      </c>
      <c r="B43" s="8"/>
      <c r="C43" s="8"/>
      <c r="D43" s="8"/>
      <c r="E43" s="8"/>
      <c r="F43" s="8"/>
      <c r="G43" s="8"/>
      <c r="H43" s="9"/>
    </row>
    <row r="45" spans="1:8" x14ac:dyDescent="0.2">
      <c r="A45" s="1" t="s">
        <v>53</v>
      </c>
    </row>
    <row r="46" spans="1:8" x14ac:dyDescent="0.2">
      <c r="A46" s="1" t="s">
        <v>54</v>
      </c>
    </row>
    <row r="47" spans="1:8" x14ac:dyDescent="0.2">
      <c r="A47" s="1" t="s">
        <v>55</v>
      </c>
      <c r="F47" s="1" t="s">
        <v>56</v>
      </c>
      <c r="H47" s="404" t="s">
        <v>2981</v>
      </c>
    </row>
    <row r="48" spans="1:8" x14ac:dyDescent="0.2">
      <c r="H48" s="404" t="s">
        <v>2982</v>
      </c>
    </row>
    <row r="49" spans="1:11" x14ac:dyDescent="0.2">
      <c r="A49" s="10" t="s">
        <v>15</v>
      </c>
      <c r="B49" s="10" t="s">
        <v>17</v>
      </c>
      <c r="C49" s="10" t="s">
        <v>16</v>
      </c>
      <c r="D49" s="10" t="s">
        <v>19</v>
      </c>
      <c r="E49" s="10" t="s">
        <v>20</v>
      </c>
      <c r="F49" s="10"/>
      <c r="G49" s="10"/>
      <c r="H49" s="10"/>
    </row>
    <row r="50" spans="1:11" x14ac:dyDescent="0.2">
      <c r="A50" s="1">
        <v>123</v>
      </c>
      <c r="B50" s="3">
        <v>10000</v>
      </c>
      <c r="C50" s="4">
        <v>45412</v>
      </c>
      <c r="D50" s="3">
        <f>B50/(1+1%)^1</f>
        <v>9900.9900990099013</v>
      </c>
      <c r="E50" s="3"/>
      <c r="F50" s="3"/>
      <c r="H50" s="1" t="s">
        <v>57</v>
      </c>
    </row>
    <row r="51" spans="1:11" x14ac:dyDescent="0.2">
      <c r="A51" s="1">
        <v>298</v>
      </c>
      <c r="B51" s="3">
        <v>19000</v>
      </c>
      <c r="C51" s="4">
        <v>45565</v>
      </c>
      <c r="D51" s="3">
        <f>B51/(1+1%)^6</f>
        <v>17898.859469829924</v>
      </c>
      <c r="E51" s="3"/>
      <c r="F51" s="3"/>
      <c r="H51" s="1" t="s">
        <v>58</v>
      </c>
    </row>
    <row r="52" spans="1:11" x14ac:dyDescent="0.2">
      <c r="A52" s="1">
        <v>174</v>
      </c>
      <c r="B52" s="3">
        <v>23000</v>
      </c>
      <c r="C52" s="4">
        <v>45595</v>
      </c>
      <c r="D52" s="3">
        <f>B52/(1+1%)^7</f>
        <v>21452.515258264117</v>
      </c>
      <c r="E52" s="3"/>
      <c r="F52" s="3"/>
    </row>
    <row r="53" spans="1:11" x14ac:dyDescent="0.2">
      <c r="A53" s="1">
        <v>210</v>
      </c>
      <c r="B53" s="3">
        <v>54000</v>
      </c>
      <c r="C53" s="4">
        <v>45626</v>
      </c>
      <c r="D53" s="3">
        <f>B53/(1+1%)^8</f>
        <v>49868.094014044858</v>
      </c>
      <c r="E53" s="3"/>
      <c r="F53" s="3"/>
    </row>
    <row r="54" spans="1:11" x14ac:dyDescent="0.2">
      <c r="A54" s="1">
        <v>735</v>
      </c>
      <c r="B54" s="3">
        <v>11000</v>
      </c>
      <c r="C54" s="4">
        <v>45657</v>
      </c>
      <c r="D54" s="3">
        <f>B54/(1+1%)^9</f>
        <v>10057.738066639042</v>
      </c>
      <c r="E54" s="3"/>
      <c r="F54" s="3"/>
    </row>
    <row r="55" spans="1:11" x14ac:dyDescent="0.2">
      <c r="C55" s="1" t="s">
        <v>21</v>
      </c>
      <c r="D55" s="19">
        <f>SUM(D50:D54)</f>
        <v>109178.19690778783</v>
      </c>
    </row>
    <row r="57" spans="1:11" x14ac:dyDescent="0.2">
      <c r="A57" s="1" t="s">
        <v>22</v>
      </c>
    </row>
    <row r="59" spans="1:11" x14ac:dyDescent="0.2">
      <c r="A59" s="1" t="s">
        <v>59</v>
      </c>
      <c r="G59" s="1" t="s">
        <v>82</v>
      </c>
    </row>
    <row r="60" spans="1:11" x14ac:dyDescent="0.2">
      <c r="A60" s="405" t="s">
        <v>2983</v>
      </c>
      <c r="B60" s="10"/>
      <c r="C60" s="10"/>
      <c r="D60" s="10"/>
      <c r="G60" s="1" t="s">
        <v>83</v>
      </c>
    </row>
    <row r="62" spans="1:11" x14ac:dyDescent="0.2">
      <c r="A62" s="406" t="s">
        <v>2984</v>
      </c>
      <c r="B62" s="18"/>
      <c r="C62" s="18"/>
      <c r="D62" s="21" t="s">
        <v>60</v>
      </c>
      <c r="G62" s="26" t="s">
        <v>76</v>
      </c>
      <c r="I62" s="21" t="s">
        <v>84</v>
      </c>
    </row>
    <row r="63" spans="1:11" x14ac:dyDescent="0.2">
      <c r="A63" s="116" t="s">
        <v>67</v>
      </c>
      <c r="B63" s="116"/>
      <c r="C63" s="48" t="s">
        <v>75</v>
      </c>
      <c r="D63" s="116" t="s">
        <v>61</v>
      </c>
      <c r="E63" s="115"/>
      <c r="F63" s="115"/>
      <c r="G63" s="116" t="s">
        <v>85</v>
      </c>
      <c r="H63" s="48">
        <f>C65</f>
        <v>1</v>
      </c>
      <c r="I63" s="48" t="s">
        <v>63</v>
      </c>
      <c r="J63" s="116"/>
      <c r="K63" s="116"/>
    </row>
    <row r="64" spans="1:11" x14ac:dyDescent="0.2">
      <c r="A64" s="116" t="s">
        <v>68</v>
      </c>
      <c r="B64" s="116"/>
      <c r="C64" s="48">
        <v>1</v>
      </c>
      <c r="D64" s="116" t="s">
        <v>62</v>
      </c>
      <c r="E64" s="115"/>
      <c r="F64" s="407" t="s">
        <v>739</v>
      </c>
      <c r="G64" s="209" t="s">
        <v>87</v>
      </c>
      <c r="H64" s="116"/>
      <c r="I64" s="409" t="s">
        <v>2985</v>
      </c>
      <c r="J64" s="410" t="s">
        <v>86</v>
      </c>
      <c r="K64" s="116"/>
    </row>
    <row r="65" spans="1:11" x14ac:dyDescent="0.2">
      <c r="A65" s="116" t="s">
        <v>69</v>
      </c>
      <c r="B65" s="116"/>
      <c r="C65" s="407">
        <v>1</v>
      </c>
      <c r="D65" s="116" t="s">
        <v>63</v>
      </c>
      <c r="E65" s="115"/>
      <c r="F65" s="407">
        <v>0</v>
      </c>
      <c r="G65" s="206">
        <v>0</v>
      </c>
      <c r="H65" s="209">
        <v>1</v>
      </c>
      <c r="I65" s="116"/>
      <c r="J65" s="48"/>
      <c r="K65" s="116"/>
    </row>
    <row r="66" spans="1:11" x14ac:dyDescent="0.2">
      <c r="A66" s="116" t="s">
        <v>70</v>
      </c>
      <c r="B66" s="116"/>
      <c r="C66" s="408">
        <f>PV(C65/100,C64,C68)</f>
        <v>-9900.9900990099104</v>
      </c>
      <c r="D66" s="116" t="s">
        <v>64</v>
      </c>
      <c r="E66" s="22" t="s">
        <v>77</v>
      </c>
      <c r="F66" s="407">
        <f>F65+1</f>
        <v>1</v>
      </c>
      <c r="G66" s="206">
        <v>10000</v>
      </c>
      <c r="H66" s="209">
        <v>2</v>
      </c>
      <c r="I66" s="407" t="s">
        <v>88</v>
      </c>
      <c r="J66" s="407" t="s">
        <v>89</v>
      </c>
      <c r="K66" s="409" t="s">
        <v>2986</v>
      </c>
    </row>
    <row r="67" spans="1:11" x14ac:dyDescent="0.2">
      <c r="A67" s="182" t="s">
        <v>71</v>
      </c>
      <c r="B67" s="116"/>
      <c r="C67" s="48">
        <v>0</v>
      </c>
      <c r="D67" s="116" t="s">
        <v>65</v>
      </c>
      <c r="E67" s="115"/>
      <c r="F67" s="407">
        <f t="shared" ref="F67:F70" si="0">F66+1</f>
        <v>2</v>
      </c>
      <c r="G67" s="207"/>
      <c r="H67" s="209">
        <v>3</v>
      </c>
      <c r="I67" s="116"/>
      <c r="J67" s="48"/>
      <c r="K67" s="116"/>
    </row>
    <row r="68" spans="1:11" s="116" customFormat="1" x14ac:dyDescent="0.2">
      <c r="A68" s="116" t="s">
        <v>72</v>
      </c>
      <c r="C68" s="119">
        <v>10000</v>
      </c>
      <c r="D68" s="116" t="s">
        <v>66</v>
      </c>
      <c r="F68" s="407">
        <f t="shared" si="0"/>
        <v>3</v>
      </c>
      <c r="G68" s="208"/>
      <c r="H68" s="209">
        <v>4</v>
      </c>
      <c r="J68" s="48"/>
    </row>
    <row r="69" spans="1:11" s="116" customFormat="1" x14ac:dyDescent="0.2">
      <c r="F69" s="407">
        <f t="shared" si="0"/>
        <v>4</v>
      </c>
      <c r="G69" s="208"/>
      <c r="H69" s="209">
        <v>5</v>
      </c>
      <c r="I69" s="23">
        <f>-C66</f>
        <v>9900.9900990099104</v>
      </c>
      <c r="J69" s="407" t="s">
        <v>1027</v>
      </c>
      <c r="K69" s="411" t="s">
        <v>77</v>
      </c>
    </row>
    <row r="70" spans="1:11" s="116" customFormat="1" x14ac:dyDescent="0.2">
      <c r="A70" s="116" t="s">
        <v>73</v>
      </c>
      <c r="F70" s="407">
        <f t="shared" si="0"/>
        <v>5</v>
      </c>
      <c r="G70" s="208"/>
      <c r="H70" s="209">
        <v>6</v>
      </c>
    </row>
    <row r="71" spans="1:11" s="116" customFormat="1" x14ac:dyDescent="0.2">
      <c r="D71" s="116" t="s">
        <v>74</v>
      </c>
    </row>
    <row r="72" spans="1:11" s="116" customFormat="1" x14ac:dyDescent="0.2">
      <c r="G72" s="116" t="s">
        <v>91</v>
      </c>
    </row>
    <row r="73" spans="1:11" s="116" customFormat="1" x14ac:dyDescent="0.2">
      <c r="A73" s="116" t="s">
        <v>78</v>
      </c>
      <c r="G73" s="116" t="s">
        <v>92</v>
      </c>
    </row>
    <row r="74" spans="1:11" s="116" customFormat="1" x14ac:dyDescent="0.2">
      <c r="A74" s="116" t="s">
        <v>79</v>
      </c>
    </row>
    <row r="75" spans="1:11" s="116" customFormat="1" x14ac:dyDescent="0.2">
      <c r="A75" s="116" t="s">
        <v>80</v>
      </c>
    </row>
    <row r="76" spans="1:11" s="116" customFormat="1" x14ac:dyDescent="0.2">
      <c r="A76" s="116" t="s">
        <v>81</v>
      </c>
    </row>
    <row r="78" spans="1:11" x14ac:dyDescent="0.2">
      <c r="A78" s="1" t="s">
        <v>1790</v>
      </c>
      <c r="B78" s="1" t="s">
        <v>1791</v>
      </c>
    </row>
    <row r="79" spans="1:11" x14ac:dyDescent="0.2">
      <c r="B79" s="1" t="s">
        <v>1792</v>
      </c>
    </row>
    <row r="80" spans="1:11" x14ac:dyDescent="0.2">
      <c r="B80" s="1" t="s">
        <v>1793</v>
      </c>
    </row>
    <row r="81" spans="1:8" x14ac:dyDescent="0.2">
      <c r="B81" s="1" t="s">
        <v>1794</v>
      </c>
    </row>
    <row r="83" spans="1:8" ht="18" x14ac:dyDescent="0.2">
      <c r="A83" s="210" t="s">
        <v>1795</v>
      </c>
    </row>
    <row r="84" spans="1:8" x14ac:dyDescent="0.2">
      <c r="A84" s="1" t="s">
        <v>1796</v>
      </c>
    </row>
    <row r="86" spans="1:8" x14ac:dyDescent="0.2">
      <c r="G86" s="21" t="s">
        <v>84</v>
      </c>
    </row>
    <row r="87" spans="1:8" x14ac:dyDescent="0.2">
      <c r="F87" s="20">
        <v>1</v>
      </c>
      <c r="G87" s="20" t="s">
        <v>63</v>
      </c>
      <c r="H87" s="1" t="s">
        <v>1797</v>
      </c>
    </row>
    <row r="88" spans="1:8" x14ac:dyDescent="0.2">
      <c r="D88" s="20" t="s">
        <v>87</v>
      </c>
      <c r="G88" s="1" t="s">
        <v>1798</v>
      </c>
    </row>
    <row r="89" spans="1:8" x14ac:dyDescent="0.2">
      <c r="A89" s="4">
        <v>45383</v>
      </c>
      <c r="B89" s="1" t="s">
        <v>1799</v>
      </c>
      <c r="D89" s="211">
        <v>0</v>
      </c>
      <c r="E89" s="20">
        <v>1</v>
      </c>
      <c r="F89" s="4"/>
    </row>
    <row r="90" spans="1:8" x14ac:dyDescent="0.2">
      <c r="A90" s="4">
        <v>45412</v>
      </c>
      <c r="B90" s="1" t="s">
        <v>1080</v>
      </c>
      <c r="D90" s="211">
        <v>10000</v>
      </c>
      <c r="E90" s="20">
        <v>2</v>
      </c>
      <c r="F90" s="4"/>
    </row>
    <row r="91" spans="1:8" x14ac:dyDescent="0.2">
      <c r="A91" s="4">
        <v>45442</v>
      </c>
      <c r="D91" s="211">
        <v>0</v>
      </c>
      <c r="E91" s="20">
        <v>3</v>
      </c>
    </row>
    <row r="92" spans="1:8" x14ac:dyDescent="0.2">
      <c r="A92" s="4">
        <v>45473</v>
      </c>
      <c r="D92" s="211">
        <v>0</v>
      </c>
      <c r="E92" s="20">
        <f t="shared" ref="E92:E97" si="1">E91+1</f>
        <v>4</v>
      </c>
    </row>
    <row r="93" spans="1:8" x14ac:dyDescent="0.2">
      <c r="A93" s="4">
        <v>45503</v>
      </c>
      <c r="D93" s="211">
        <v>0</v>
      </c>
      <c r="E93" s="20">
        <f t="shared" si="1"/>
        <v>5</v>
      </c>
    </row>
    <row r="94" spans="1:8" x14ac:dyDescent="0.2">
      <c r="A94" s="4">
        <v>45534</v>
      </c>
      <c r="D94" s="211">
        <v>0</v>
      </c>
      <c r="E94" s="20">
        <f t="shared" si="1"/>
        <v>6</v>
      </c>
    </row>
    <row r="95" spans="1:8" x14ac:dyDescent="0.2">
      <c r="A95" s="4">
        <v>45565</v>
      </c>
      <c r="D95" s="211">
        <v>19000</v>
      </c>
      <c r="E95" s="20">
        <f t="shared" si="1"/>
        <v>7</v>
      </c>
    </row>
    <row r="96" spans="1:8" x14ac:dyDescent="0.2">
      <c r="A96" s="4">
        <v>45595</v>
      </c>
      <c r="D96" s="211">
        <v>23000</v>
      </c>
      <c r="E96" s="20">
        <f t="shared" si="1"/>
        <v>8</v>
      </c>
    </row>
    <row r="97" spans="1:10" x14ac:dyDescent="0.2">
      <c r="A97" s="4">
        <v>45626</v>
      </c>
      <c r="D97" s="211">
        <v>54000</v>
      </c>
      <c r="E97" s="20">
        <f t="shared" si="1"/>
        <v>9</v>
      </c>
    </row>
    <row r="98" spans="1:10" x14ac:dyDescent="0.2">
      <c r="A98" s="4">
        <v>45657</v>
      </c>
      <c r="D98" s="211">
        <v>11000</v>
      </c>
      <c r="E98" s="20">
        <v>10</v>
      </c>
      <c r="F98" s="491" t="s">
        <v>974</v>
      </c>
      <c r="G98" s="491"/>
    </row>
    <row r="99" spans="1:10" x14ac:dyDescent="0.2">
      <c r="D99" s="211"/>
      <c r="E99" s="20"/>
    </row>
    <row r="100" spans="1:10" x14ac:dyDescent="0.2">
      <c r="D100" s="211"/>
      <c r="E100" s="40" t="s">
        <v>1800</v>
      </c>
      <c r="F100" s="5"/>
      <c r="G100" s="5"/>
      <c r="H100" s="34">
        <f>NPV(F87/100,D90:D98)</f>
        <v>109178.19690778786</v>
      </c>
      <c r="I100" s="5" t="s">
        <v>90</v>
      </c>
      <c r="J100" s="212" t="s">
        <v>227</v>
      </c>
    </row>
    <row r="101" spans="1:10" x14ac:dyDescent="0.2">
      <c r="D101" s="211"/>
      <c r="E101" s="20"/>
    </row>
    <row r="103" spans="1:10" ht="17" thickBot="1" x14ac:dyDescent="0.25"/>
    <row r="104" spans="1:10" ht="17" thickBot="1" x14ac:dyDescent="0.25">
      <c r="A104" s="7" t="s">
        <v>24</v>
      </c>
      <c r="B104" s="8"/>
      <c r="C104" s="8"/>
      <c r="D104" s="8"/>
      <c r="E104" s="8"/>
      <c r="F104" s="8"/>
      <c r="G104" s="8"/>
      <c r="H104" s="9"/>
    </row>
    <row r="106" spans="1:10" x14ac:dyDescent="0.2">
      <c r="A106" s="1" t="s">
        <v>93</v>
      </c>
    </row>
    <row r="107" spans="1:10" x14ac:dyDescent="0.2">
      <c r="A107" s="1" t="s">
        <v>94</v>
      </c>
      <c r="D107" s="3">
        <f>D55</f>
        <v>109178.19690778783</v>
      </c>
      <c r="E107" s="404" t="s">
        <v>2987</v>
      </c>
    </row>
    <row r="109" spans="1:10" x14ac:dyDescent="0.2">
      <c r="A109" s="1" t="s">
        <v>95</v>
      </c>
    </row>
    <row r="110" spans="1:10" x14ac:dyDescent="0.2">
      <c r="A110" s="1" t="s">
        <v>96</v>
      </c>
    </row>
    <row r="112" spans="1:10" x14ac:dyDescent="0.2">
      <c r="A112" s="1" t="s">
        <v>97</v>
      </c>
    </row>
    <row r="113" spans="1:8" x14ac:dyDescent="0.2">
      <c r="A113" s="1" t="s">
        <v>99</v>
      </c>
      <c r="D113" s="3">
        <f>109178*1.01^7</f>
        <v>117053.59347233913</v>
      </c>
      <c r="F113" s="404" t="s">
        <v>98</v>
      </c>
    </row>
    <row r="115" spans="1:8" x14ac:dyDescent="0.2">
      <c r="A115" s="1" t="s">
        <v>100</v>
      </c>
    </row>
    <row r="116" spans="1:8" x14ac:dyDescent="0.2">
      <c r="A116" s="1" t="s">
        <v>101</v>
      </c>
    </row>
    <row r="118" spans="1:8" x14ac:dyDescent="0.2">
      <c r="A118" s="18"/>
      <c r="B118" s="18"/>
      <c r="C118" s="18"/>
      <c r="D118" s="21" t="s">
        <v>60</v>
      </c>
      <c r="G118" s="1" t="s">
        <v>102</v>
      </c>
    </row>
    <row r="119" spans="1:8" x14ac:dyDescent="0.2">
      <c r="A119" s="1" t="s">
        <v>67</v>
      </c>
      <c r="C119" s="20" t="s">
        <v>75</v>
      </c>
      <c r="D119" s="1" t="s">
        <v>61</v>
      </c>
      <c r="G119" s="1" t="s">
        <v>103</v>
      </c>
    </row>
    <row r="120" spans="1:8" x14ac:dyDescent="0.2">
      <c r="A120" s="1" t="s">
        <v>68</v>
      </c>
      <c r="C120" s="20">
        <v>7</v>
      </c>
      <c r="D120" s="1" t="s">
        <v>62</v>
      </c>
      <c r="G120" s="1" t="s">
        <v>104</v>
      </c>
    </row>
    <row r="121" spans="1:8" x14ac:dyDescent="0.2">
      <c r="A121" s="1" t="s">
        <v>69</v>
      </c>
      <c r="C121" s="20">
        <v>1</v>
      </c>
      <c r="D121" s="1" t="s">
        <v>63</v>
      </c>
    </row>
    <row r="122" spans="1:8" x14ac:dyDescent="0.2">
      <c r="A122" s="1" t="s">
        <v>70</v>
      </c>
      <c r="C122" s="23">
        <f>-D107</f>
        <v>-109178.19690778783</v>
      </c>
      <c r="D122" s="1" t="s">
        <v>64</v>
      </c>
    </row>
    <row r="123" spans="1:8" x14ac:dyDescent="0.2">
      <c r="A123" s="1" t="s">
        <v>71</v>
      </c>
      <c r="C123" s="20">
        <v>0</v>
      </c>
      <c r="D123" s="1" t="s">
        <v>65</v>
      </c>
    </row>
    <row r="124" spans="1:8" x14ac:dyDescent="0.2">
      <c r="A124" s="1" t="s">
        <v>72</v>
      </c>
      <c r="C124" s="24">
        <f>FV(C121/100,C120,C123,C122)</f>
        <v>117053.80458413957</v>
      </c>
      <c r="D124" s="1" t="s">
        <v>66</v>
      </c>
      <c r="E124" s="22" t="s">
        <v>77</v>
      </c>
    </row>
    <row r="126" spans="1:8" ht="17" thickBot="1" x14ac:dyDescent="0.25"/>
    <row r="127" spans="1:8" x14ac:dyDescent="0.2">
      <c r="A127" s="12" t="s">
        <v>1801</v>
      </c>
      <c r="B127" s="13"/>
      <c r="C127" s="13"/>
      <c r="D127" s="13"/>
      <c r="E127" s="13"/>
      <c r="F127" s="13"/>
      <c r="G127" s="13"/>
      <c r="H127" s="14"/>
    </row>
    <row r="128" spans="1:8" x14ac:dyDescent="0.2">
      <c r="A128" s="213" t="s">
        <v>1802</v>
      </c>
      <c r="H128" s="73"/>
    </row>
    <row r="129" spans="1:8" ht="17" thickBot="1" x14ac:dyDescent="0.25">
      <c r="A129" s="133" t="s">
        <v>1803</v>
      </c>
      <c r="B129" s="16"/>
      <c r="C129" s="16"/>
      <c r="D129" s="16"/>
      <c r="E129" s="16"/>
      <c r="F129" s="16"/>
      <c r="G129" s="16"/>
      <c r="H129" s="17"/>
    </row>
    <row r="131" spans="1:8" x14ac:dyDescent="0.2">
      <c r="A131" s="6" t="s">
        <v>32</v>
      </c>
      <c r="B131" s="5"/>
      <c r="C131" s="5"/>
      <c r="D131" s="5"/>
      <c r="E131" s="5"/>
      <c r="F131" s="5"/>
      <c r="G131" s="5"/>
      <c r="H131" s="5">
        <v>1.2</v>
      </c>
    </row>
    <row r="133" spans="1:8" x14ac:dyDescent="0.2">
      <c r="A133" s="1" t="s">
        <v>25</v>
      </c>
    </row>
    <row r="135" spans="1:8" x14ac:dyDescent="0.2">
      <c r="B135" s="11" t="s">
        <v>29</v>
      </c>
      <c r="C135" s="11" t="s">
        <v>26</v>
      </c>
      <c r="D135" s="11" t="s">
        <v>27</v>
      </c>
      <c r="E135" s="11" t="s">
        <v>28</v>
      </c>
    </row>
    <row r="136" spans="1:8" x14ac:dyDescent="0.2">
      <c r="B136" s="11">
        <v>1</v>
      </c>
      <c r="C136" s="11">
        <v>4000</v>
      </c>
      <c r="D136" s="11"/>
      <c r="E136" s="11"/>
    </row>
    <row r="137" spans="1:8" x14ac:dyDescent="0.2">
      <c r="B137" s="11">
        <v>2</v>
      </c>
      <c r="C137" s="11">
        <v>4000</v>
      </c>
      <c r="D137" s="11">
        <v>9000</v>
      </c>
      <c r="E137" s="11"/>
    </row>
    <row r="138" spans="1:8" x14ac:dyDescent="0.2">
      <c r="B138" s="11">
        <v>3</v>
      </c>
      <c r="C138" s="11">
        <v>4000</v>
      </c>
      <c r="D138" s="11">
        <v>9000</v>
      </c>
      <c r="E138" s="11"/>
    </row>
    <row r="139" spans="1:8" x14ac:dyDescent="0.2">
      <c r="B139" s="11">
        <v>4</v>
      </c>
      <c r="C139" s="11">
        <v>4000</v>
      </c>
      <c r="D139" s="11">
        <v>9000</v>
      </c>
      <c r="E139" s="11"/>
    </row>
    <row r="140" spans="1:8" x14ac:dyDescent="0.2">
      <c r="B140" s="11">
        <v>5</v>
      </c>
      <c r="C140" s="11">
        <v>4000</v>
      </c>
      <c r="D140" s="11">
        <v>9000</v>
      </c>
      <c r="E140" s="11"/>
    </row>
    <row r="141" spans="1:8" x14ac:dyDescent="0.2">
      <c r="B141" s="11">
        <v>6</v>
      </c>
      <c r="C141" s="11">
        <v>4000</v>
      </c>
      <c r="D141" s="11"/>
      <c r="E141" s="11"/>
    </row>
    <row r="142" spans="1:8" x14ac:dyDescent="0.2">
      <c r="B142" s="11">
        <v>7</v>
      </c>
      <c r="C142" s="11">
        <v>4000</v>
      </c>
      <c r="D142" s="11"/>
      <c r="E142" s="11"/>
    </row>
    <row r="143" spans="1:8" x14ac:dyDescent="0.2">
      <c r="B143" s="11">
        <v>8</v>
      </c>
      <c r="C143" s="11"/>
      <c r="D143" s="11"/>
      <c r="E143" s="11">
        <v>40000</v>
      </c>
    </row>
    <row r="144" spans="1:8" x14ac:dyDescent="0.2">
      <c r="B144" s="11">
        <v>9</v>
      </c>
      <c r="C144" s="11"/>
      <c r="D144" s="11"/>
      <c r="E144" s="11">
        <v>40000</v>
      </c>
    </row>
    <row r="145" spans="1:8" x14ac:dyDescent="0.2">
      <c r="B145" s="11">
        <v>10</v>
      </c>
      <c r="C145" s="11"/>
      <c r="D145" s="11"/>
      <c r="E145" s="11">
        <v>40000</v>
      </c>
    </row>
    <row r="146" spans="1:8" ht="17" thickBot="1" x14ac:dyDescent="0.25"/>
    <row r="147" spans="1:8" x14ac:dyDescent="0.2">
      <c r="A147" s="12" t="s">
        <v>30</v>
      </c>
      <c r="B147" s="13"/>
      <c r="C147" s="13"/>
      <c r="D147" s="13"/>
      <c r="E147" s="13"/>
      <c r="F147" s="13"/>
      <c r="G147" s="13"/>
      <c r="H147" s="14"/>
    </row>
    <row r="148" spans="1:8" ht="17" thickBot="1" x14ac:dyDescent="0.25">
      <c r="A148" s="15" t="s">
        <v>31</v>
      </c>
      <c r="B148" s="16"/>
      <c r="C148" s="16"/>
      <c r="D148" s="16"/>
      <c r="E148" s="16"/>
      <c r="F148" s="16"/>
      <c r="G148" s="16"/>
      <c r="H148" s="17"/>
    </row>
    <row r="150" spans="1:8" x14ac:dyDescent="0.2">
      <c r="A150" s="86" t="s">
        <v>1807</v>
      </c>
    </row>
    <row r="151" spans="1:8" x14ac:dyDescent="0.2">
      <c r="A151" s="1" t="s">
        <v>105</v>
      </c>
    </row>
    <row r="153" spans="1:8" x14ac:dyDescent="0.2">
      <c r="F153" s="21" t="s">
        <v>84</v>
      </c>
    </row>
    <row r="154" spans="1:8" x14ac:dyDescent="0.2">
      <c r="A154" s="48" t="s">
        <v>109</v>
      </c>
      <c r="B154" s="48" t="s">
        <v>108</v>
      </c>
      <c r="C154" s="20" t="s">
        <v>107</v>
      </c>
      <c r="E154" s="20">
        <v>4</v>
      </c>
      <c r="F154" s="1" t="s">
        <v>63</v>
      </c>
      <c r="G154" s="1" t="s">
        <v>1804</v>
      </c>
    </row>
    <row r="155" spans="1:8" x14ac:dyDescent="0.2">
      <c r="A155" s="117" t="s">
        <v>87</v>
      </c>
      <c r="B155" s="117" t="s">
        <v>87</v>
      </c>
      <c r="C155" s="27" t="s">
        <v>87</v>
      </c>
      <c r="D155" s="10"/>
      <c r="F155" s="1" t="s">
        <v>106</v>
      </c>
    </row>
    <row r="156" spans="1:8" x14ac:dyDescent="0.2">
      <c r="A156" s="48">
        <v>0</v>
      </c>
      <c r="B156" s="48">
        <v>0</v>
      </c>
      <c r="C156" s="20">
        <v>0</v>
      </c>
      <c r="D156" s="20">
        <v>1</v>
      </c>
      <c r="E156" s="1" t="s">
        <v>1805</v>
      </c>
    </row>
    <row r="157" spans="1:8" x14ac:dyDescent="0.2">
      <c r="A157" s="48">
        <v>0</v>
      </c>
      <c r="B157" s="48">
        <v>0</v>
      </c>
      <c r="C157" s="20">
        <v>4000</v>
      </c>
      <c r="D157" s="20">
        <v>2</v>
      </c>
      <c r="E157" s="1" t="s">
        <v>1806</v>
      </c>
    </row>
    <row r="158" spans="1:8" x14ac:dyDescent="0.2">
      <c r="A158" s="48">
        <v>0</v>
      </c>
      <c r="B158" s="48">
        <v>9000</v>
      </c>
      <c r="C158" s="20">
        <v>4000</v>
      </c>
      <c r="D158" s="20">
        <v>3</v>
      </c>
    </row>
    <row r="159" spans="1:8" x14ac:dyDescent="0.2">
      <c r="A159" s="48">
        <v>0</v>
      </c>
      <c r="B159" s="48">
        <v>9000</v>
      </c>
      <c r="C159" s="20">
        <v>4000</v>
      </c>
      <c r="D159" s="20">
        <v>4</v>
      </c>
    </row>
    <row r="160" spans="1:8" x14ac:dyDescent="0.2">
      <c r="A160" s="48">
        <v>0</v>
      </c>
      <c r="B160" s="48">
        <v>9000</v>
      </c>
      <c r="C160" s="20">
        <v>4000</v>
      </c>
      <c r="D160" s="20">
        <v>5</v>
      </c>
    </row>
    <row r="161" spans="1:7" x14ac:dyDescent="0.2">
      <c r="A161" s="48">
        <v>0</v>
      </c>
      <c r="B161" s="48">
        <v>9000</v>
      </c>
      <c r="C161" s="20">
        <v>4000</v>
      </c>
      <c r="D161" s="20">
        <v>6</v>
      </c>
    </row>
    <row r="162" spans="1:7" x14ac:dyDescent="0.2">
      <c r="A162" s="48">
        <v>0</v>
      </c>
      <c r="B162" s="48"/>
      <c r="C162" s="20">
        <v>4000</v>
      </c>
      <c r="D162" s="20">
        <v>7</v>
      </c>
    </row>
    <row r="163" spans="1:7" x14ac:dyDescent="0.2">
      <c r="A163" s="48">
        <v>0</v>
      </c>
      <c r="B163" s="48"/>
      <c r="C163" s="20">
        <v>4000</v>
      </c>
      <c r="D163" s="20">
        <v>8</v>
      </c>
    </row>
    <row r="164" spans="1:7" x14ac:dyDescent="0.2">
      <c r="A164" s="48">
        <v>40000</v>
      </c>
      <c r="B164" s="48"/>
      <c r="C164" s="20"/>
      <c r="D164" s="20">
        <v>9</v>
      </c>
    </row>
    <row r="165" spans="1:7" x14ac:dyDescent="0.2">
      <c r="A165" s="48">
        <f>A164</f>
        <v>40000</v>
      </c>
      <c r="B165" s="48"/>
      <c r="C165" s="20"/>
      <c r="D165" s="20">
        <v>10</v>
      </c>
    </row>
    <row r="166" spans="1:7" x14ac:dyDescent="0.2">
      <c r="A166" s="48">
        <f t="shared" ref="A166" si="2">A165</f>
        <v>40000</v>
      </c>
      <c r="B166" s="48"/>
      <c r="C166" s="20"/>
      <c r="D166" s="20">
        <v>11</v>
      </c>
    </row>
    <row r="167" spans="1:7" x14ac:dyDescent="0.2">
      <c r="B167" s="20"/>
      <c r="C167" s="20"/>
    </row>
    <row r="169" spans="1:7" x14ac:dyDescent="0.2">
      <c r="A169" s="25">
        <f>NPV($E$154/100,A157:A166)</f>
        <v>84353.644376264521</v>
      </c>
      <c r="B169" s="25">
        <f>NPV($E$154/100,B157:B163)</f>
        <v>31412.554825299692</v>
      </c>
      <c r="C169" s="25">
        <f>NPV($E$154/100,C157:C163)</f>
        <v>24008.218679793659</v>
      </c>
      <c r="F169" s="1" t="s">
        <v>90</v>
      </c>
      <c r="G169" s="1" t="s">
        <v>77</v>
      </c>
    </row>
    <row r="170" spans="1:7" x14ac:dyDescent="0.2">
      <c r="A170" s="25"/>
      <c r="B170" s="25"/>
      <c r="C170" s="25"/>
    </row>
    <row r="171" spans="1:7" x14ac:dyDescent="0.2">
      <c r="A171" s="412" t="s">
        <v>1808</v>
      </c>
    </row>
    <row r="172" spans="1:7" x14ac:dyDescent="0.2">
      <c r="A172" s="404" t="s">
        <v>2988</v>
      </c>
    </row>
    <row r="173" spans="1:7" x14ac:dyDescent="0.2">
      <c r="A173" s="1" t="s">
        <v>110</v>
      </c>
    </row>
    <row r="175" spans="1:7" x14ac:dyDescent="0.2">
      <c r="B175" s="27" t="s">
        <v>109</v>
      </c>
      <c r="C175" s="27" t="s">
        <v>108</v>
      </c>
      <c r="D175" s="27" t="s">
        <v>107</v>
      </c>
      <c r="E175" s="28" t="s">
        <v>60</v>
      </c>
    </row>
    <row r="176" spans="1:7" x14ac:dyDescent="0.2">
      <c r="B176" s="48" t="s">
        <v>75</v>
      </c>
      <c r="C176" s="48" t="s">
        <v>75</v>
      </c>
      <c r="D176" s="48" t="s">
        <v>75</v>
      </c>
      <c r="E176" s="1" t="s">
        <v>111</v>
      </c>
      <c r="F176" s="1" t="s">
        <v>112</v>
      </c>
    </row>
    <row r="177" spans="2:11" x14ac:dyDescent="0.2">
      <c r="B177" s="407">
        <v>3</v>
      </c>
      <c r="C177" s="407">
        <v>4</v>
      </c>
      <c r="D177" s="48">
        <v>7</v>
      </c>
      <c r="E177" s="1" t="s">
        <v>62</v>
      </c>
      <c r="F177" s="1" t="s">
        <v>113</v>
      </c>
    </row>
    <row r="178" spans="2:11" x14ac:dyDescent="0.2">
      <c r="B178" s="407">
        <v>4</v>
      </c>
      <c r="C178" s="407">
        <v>4</v>
      </c>
      <c r="D178" s="48">
        <v>4</v>
      </c>
      <c r="E178" s="1" t="s">
        <v>63</v>
      </c>
      <c r="F178" s="1" t="s">
        <v>114</v>
      </c>
    </row>
    <row r="179" spans="2:11" x14ac:dyDescent="0.2">
      <c r="B179" s="408">
        <f>PV(B178/100,B177,B180)</f>
        <v>-111003.64132908519</v>
      </c>
      <c r="C179" s="408">
        <f>PV(C178/100,C177,C180)</f>
        <v>-32669.057018311716</v>
      </c>
      <c r="D179" s="23">
        <f>PV(D178/100,D177,D180)</f>
        <v>-24008.218679793674</v>
      </c>
      <c r="E179" s="1" t="s">
        <v>64</v>
      </c>
      <c r="F179" s="212" t="s">
        <v>77</v>
      </c>
      <c r="G179" s="1" t="s">
        <v>115</v>
      </c>
    </row>
    <row r="180" spans="2:11" x14ac:dyDescent="0.2">
      <c r="B180" s="407">
        <v>40000</v>
      </c>
      <c r="C180" s="407">
        <v>9000</v>
      </c>
      <c r="D180" s="48">
        <v>4000</v>
      </c>
      <c r="E180" s="1" t="s">
        <v>65</v>
      </c>
      <c r="F180" s="1" t="s">
        <v>116</v>
      </c>
    </row>
    <row r="181" spans="2:11" x14ac:dyDescent="0.2">
      <c r="B181" s="407">
        <v>0</v>
      </c>
      <c r="C181" s="407">
        <v>0</v>
      </c>
      <c r="D181" s="48">
        <v>0</v>
      </c>
      <c r="E181" s="1" t="s">
        <v>66</v>
      </c>
      <c r="F181" s="1" t="s">
        <v>117</v>
      </c>
    </row>
    <row r="182" spans="2:11" x14ac:dyDescent="0.2">
      <c r="B182" s="20"/>
      <c r="C182" s="20"/>
      <c r="D182" s="20"/>
    </row>
    <row r="183" spans="2:11" x14ac:dyDescent="0.2">
      <c r="B183" s="20"/>
      <c r="C183" s="20"/>
      <c r="D183" s="20"/>
      <c r="K183" s="404" t="s">
        <v>2990</v>
      </c>
    </row>
    <row r="184" spans="2:11" x14ac:dyDescent="0.2">
      <c r="B184" s="20" t="s">
        <v>128</v>
      </c>
      <c r="C184" s="20"/>
      <c r="D184" s="29" t="s">
        <v>118</v>
      </c>
      <c r="K184" s="404" t="s">
        <v>2991</v>
      </c>
    </row>
    <row r="185" spans="2:11" x14ac:dyDescent="0.2">
      <c r="B185" s="20" t="s">
        <v>129</v>
      </c>
      <c r="C185" s="20"/>
      <c r="D185" s="29" t="s">
        <v>119</v>
      </c>
      <c r="K185" s="404" t="s">
        <v>2992</v>
      </c>
    </row>
    <row r="186" spans="2:11" x14ac:dyDescent="0.2">
      <c r="B186" s="20" t="s">
        <v>130</v>
      </c>
      <c r="C186" s="20"/>
      <c r="D186" s="413" t="s">
        <v>2989</v>
      </c>
      <c r="K186" s="404" t="s">
        <v>2993</v>
      </c>
    </row>
    <row r="187" spans="2:11" x14ac:dyDescent="0.2">
      <c r="B187" s="20" t="s">
        <v>131</v>
      </c>
      <c r="C187" s="20"/>
      <c r="D187" s="30">
        <f>-D179</f>
        <v>24008.218679793674</v>
      </c>
      <c r="K187" s="404" t="s">
        <v>2994</v>
      </c>
    </row>
    <row r="188" spans="2:11" x14ac:dyDescent="0.2">
      <c r="B188" s="20" t="s">
        <v>132</v>
      </c>
      <c r="K188" s="404" t="s">
        <v>2995</v>
      </c>
    </row>
    <row r="189" spans="2:11" x14ac:dyDescent="0.2">
      <c r="B189" s="20" t="s">
        <v>133</v>
      </c>
      <c r="C189" s="1" t="s">
        <v>120</v>
      </c>
      <c r="K189" s="404" t="s">
        <v>77</v>
      </c>
    </row>
    <row r="190" spans="2:11" x14ac:dyDescent="0.2">
      <c r="B190" s="20" t="s">
        <v>134</v>
      </c>
      <c r="C190" s="1" t="s">
        <v>121</v>
      </c>
    </row>
    <row r="191" spans="2:11" x14ac:dyDescent="0.2">
      <c r="B191" s="20" t="s">
        <v>135</v>
      </c>
      <c r="C191" s="1" t="s">
        <v>122</v>
      </c>
    </row>
    <row r="192" spans="2:11" x14ac:dyDescent="0.2">
      <c r="B192" s="20" t="s">
        <v>136</v>
      </c>
      <c r="E192" s="1">
        <f>-C179/1.04</f>
        <v>31412.554825299725</v>
      </c>
      <c r="G192" s="1" t="s">
        <v>123</v>
      </c>
    </row>
    <row r="193" spans="1:10" x14ac:dyDescent="0.2">
      <c r="B193" s="20" t="s">
        <v>137</v>
      </c>
    </row>
    <row r="194" spans="1:10" x14ac:dyDescent="0.2">
      <c r="C194" s="1" t="s">
        <v>127</v>
      </c>
    </row>
    <row r="195" spans="1:10" x14ac:dyDescent="0.2">
      <c r="B195" s="27" t="s">
        <v>109</v>
      </c>
      <c r="C195" s="27" t="s">
        <v>108</v>
      </c>
      <c r="D195" s="27" t="s">
        <v>107</v>
      </c>
      <c r="E195" s="28" t="s">
        <v>60</v>
      </c>
    </row>
    <row r="196" spans="1:10" x14ac:dyDescent="0.2">
      <c r="B196" s="20" t="s">
        <v>75</v>
      </c>
      <c r="C196" s="20" t="s">
        <v>75</v>
      </c>
      <c r="D196" s="20" t="s">
        <v>138</v>
      </c>
      <c r="E196" s="1" t="s">
        <v>111</v>
      </c>
    </row>
    <row r="197" spans="1:10" x14ac:dyDescent="0.2">
      <c r="B197" s="31">
        <v>7</v>
      </c>
      <c r="C197" s="31">
        <v>1</v>
      </c>
      <c r="D197" s="20" t="s">
        <v>139</v>
      </c>
      <c r="E197" s="1" t="s">
        <v>62</v>
      </c>
      <c r="F197" s="1" t="s">
        <v>124</v>
      </c>
    </row>
    <row r="198" spans="1:10" x14ac:dyDescent="0.2">
      <c r="B198" s="20">
        <v>4</v>
      </c>
      <c r="C198" s="20">
        <v>4</v>
      </c>
      <c r="D198" s="20" t="s">
        <v>140</v>
      </c>
      <c r="E198" s="1" t="s">
        <v>63</v>
      </c>
      <c r="F198" s="1" t="s">
        <v>125</v>
      </c>
    </row>
    <row r="199" spans="1:10" ht="18" x14ac:dyDescent="0.2">
      <c r="A199" s="210" t="s">
        <v>145</v>
      </c>
      <c r="B199" s="33">
        <f>PV(B198/100,B197,B200,B201)</f>
        <v>-84353.644376264594</v>
      </c>
      <c r="C199" s="33">
        <f>PV(C198/100,C197,C200,C201)</f>
        <v>-31412.554825299725</v>
      </c>
      <c r="D199" s="34">
        <f>D179</f>
        <v>-24008.218679793674</v>
      </c>
      <c r="E199" s="1" t="s">
        <v>64</v>
      </c>
      <c r="F199" s="212" t="s">
        <v>77</v>
      </c>
    </row>
    <row r="200" spans="1:10" x14ac:dyDescent="0.2">
      <c r="B200" s="20">
        <v>0</v>
      </c>
      <c r="C200" s="20">
        <v>0</v>
      </c>
      <c r="D200" s="488"/>
      <c r="E200" s="1" t="s">
        <v>65</v>
      </c>
    </row>
    <row r="201" spans="1:10" x14ac:dyDescent="0.2">
      <c r="B201" s="30">
        <f>-B179</f>
        <v>111003.64132908519</v>
      </c>
      <c r="C201" s="30">
        <f>-C179</f>
        <v>32669.057018311716</v>
      </c>
      <c r="D201" s="488"/>
      <c r="E201" s="1" t="s">
        <v>66</v>
      </c>
      <c r="F201" s="1" t="s">
        <v>126</v>
      </c>
    </row>
    <row r="202" spans="1:10" ht="17" thickBot="1" x14ac:dyDescent="0.25"/>
    <row r="203" spans="1:10" x14ac:dyDescent="0.2">
      <c r="A203" s="132" t="s">
        <v>141</v>
      </c>
      <c r="B203" s="13"/>
      <c r="C203" s="13"/>
      <c r="D203" s="13"/>
      <c r="E203" s="13"/>
      <c r="F203" s="13"/>
      <c r="G203" s="13"/>
      <c r="H203" s="13"/>
      <c r="I203" s="13"/>
      <c r="J203" s="14"/>
    </row>
    <row r="204" spans="1:10" x14ac:dyDescent="0.2">
      <c r="A204" s="72" t="s">
        <v>1809</v>
      </c>
      <c r="J204" s="73"/>
    </row>
    <row r="205" spans="1:10" x14ac:dyDescent="0.2">
      <c r="A205" s="72" t="s">
        <v>1810</v>
      </c>
      <c r="J205" s="73"/>
    </row>
    <row r="206" spans="1:10" x14ac:dyDescent="0.2">
      <c r="A206" s="72"/>
      <c r="B206" s="1" t="s">
        <v>142</v>
      </c>
      <c r="J206" s="73"/>
    </row>
    <row r="207" spans="1:10" x14ac:dyDescent="0.2">
      <c r="A207" s="72"/>
      <c r="B207" s="1" t="s">
        <v>143</v>
      </c>
      <c r="J207" s="73"/>
    </row>
    <row r="208" spans="1:10" ht="17" thickBot="1" x14ac:dyDescent="0.25">
      <c r="A208" s="15"/>
      <c r="B208" s="16"/>
      <c r="C208" s="16"/>
      <c r="D208" s="16"/>
      <c r="E208" s="16" t="s">
        <v>144</v>
      </c>
      <c r="F208" s="16"/>
      <c r="G208" s="16"/>
      <c r="H208" s="16"/>
      <c r="I208" s="16"/>
      <c r="J208" s="17"/>
    </row>
    <row r="210" spans="1:8" x14ac:dyDescent="0.2">
      <c r="A210" s="214" t="s">
        <v>1811</v>
      </c>
      <c r="B210" s="215"/>
      <c r="C210" s="215"/>
      <c r="D210" s="215"/>
      <c r="E210" s="215"/>
      <c r="F210" s="215"/>
      <c r="G210" s="215"/>
      <c r="H210" s="215"/>
    </row>
    <row r="212" spans="1:8" x14ac:dyDescent="0.2">
      <c r="A212" s="1" t="s">
        <v>1812</v>
      </c>
    </row>
    <row r="213" spans="1:8" x14ac:dyDescent="0.2">
      <c r="A213" s="1" t="s">
        <v>1813</v>
      </c>
    </row>
    <row r="214" spans="1:8" x14ac:dyDescent="0.2">
      <c r="A214" s="1" t="s">
        <v>1814</v>
      </c>
    </row>
    <row r="216" spans="1:8" x14ac:dyDescent="0.2">
      <c r="A216" s="18" t="s">
        <v>1821</v>
      </c>
    </row>
    <row r="217" spans="1:8" x14ac:dyDescent="0.2">
      <c r="B217" s="20" t="s">
        <v>1817</v>
      </c>
      <c r="D217" s="20" t="s">
        <v>1816</v>
      </c>
      <c r="G217" s="20" t="s">
        <v>1815</v>
      </c>
    </row>
    <row r="218" spans="1:8" x14ac:dyDescent="0.2">
      <c r="B218" s="20">
        <v>12</v>
      </c>
      <c r="D218" s="20">
        <v>4</v>
      </c>
      <c r="E218" s="20">
        <v>3</v>
      </c>
      <c r="G218" s="20">
        <v>0</v>
      </c>
    </row>
    <row r="219" spans="1:8" x14ac:dyDescent="0.2">
      <c r="B219" s="20"/>
      <c r="D219" s="20"/>
      <c r="G219" s="20"/>
    </row>
    <row r="220" spans="1:8" x14ac:dyDescent="0.2">
      <c r="D220" s="20"/>
      <c r="G220" s="20" t="s">
        <v>1128</v>
      </c>
    </row>
    <row r="221" spans="1:8" x14ac:dyDescent="0.2">
      <c r="C221" s="20" t="s">
        <v>1818</v>
      </c>
      <c r="D221" s="20"/>
      <c r="G221" s="20"/>
    </row>
    <row r="222" spans="1:8" x14ac:dyDescent="0.2">
      <c r="C222" s="20" t="s">
        <v>1819</v>
      </c>
      <c r="D222" s="20"/>
      <c r="G222" s="20"/>
    </row>
    <row r="223" spans="1:8" x14ac:dyDescent="0.2">
      <c r="C223" s="20" t="s">
        <v>1820</v>
      </c>
      <c r="D223" s="20"/>
      <c r="G223" s="20"/>
    </row>
    <row r="224" spans="1:8" x14ac:dyDescent="0.2">
      <c r="C224" s="20"/>
      <c r="D224" s="20"/>
      <c r="G224" s="20"/>
    </row>
    <row r="225" spans="1:7" x14ac:dyDescent="0.2">
      <c r="C225" s="20"/>
      <c r="D225" s="20"/>
      <c r="G225" s="20"/>
    </row>
    <row r="226" spans="1:7" x14ac:dyDescent="0.2">
      <c r="C226" s="20"/>
      <c r="D226" s="20"/>
      <c r="G226" s="20"/>
    </row>
    <row r="227" spans="1:7" x14ac:dyDescent="0.2">
      <c r="C227" s="20"/>
      <c r="D227" s="20"/>
      <c r="G227" s="20"/>
    </row>
    <row r="228" spans="1:7" x14ac:dyDescent="0.2">
      <c r="D228" s="20"/>
      <c r="G228" s="20"/>
    </row>
    <row r="229" spans="1:7" x14ac:dyDescent="0.2">
      <c r="D229" s="20"/>
      <c r="G229" s="20"/>
    </row>
    <row r="230" spans="1:7" x14ac:dyDescent="0.2">
      <c r="D230" s="20"/>
      <c r="G230" s="20"/>
    </row>
    <row r="231" spans="1:7" x14ac:dyDescent="0.2">
      <c r="D231" s="20"/>
      <c r="G231" s="20"/>
    </row>
    <row r="232" spans="1:7" x14ac:dyDescent="0.2">
      <c r="D232" s="20"/>
      <c r="G232" s="20"/>
    </row>
    <row r="233" spans="1:7" x14ac:dyDescent="0.2">
      <c r="D233" s="20"/>
      <c r="G233" s="20"/>
    </row>
    <row r="234" spans="1:7" x14ac:dyDescent="0.2">
      <c r="D234" s="20"/>
      <c r="G234" s="20"/>
    </row>
    <row r="235" spans="1:7" x14ac:dyDescent="0.2">
      <c r="D235" s="20"/>
      <c r="G235" s="20"/>
    </row>
    <row r="236" spans="1:7" x14ac:dyDescent="0.2">
      <c r="A236" s="18" t="s">
        <v>1822</v>
      </c>
      <c r="D236" s="20"/>
      <c r="G236" s="20"/>
    </row>
    <row r="237" spans="1:7" x14ac:dyDescent="0.2">
      <c r="D237" s="20" t="s">
        <v>1216</v>
      </c>
      <c r="E237" s="20" t="s">
        <v>1130</v>
      </c>
      <c r="F237" s="1" t="s">
        <v>60</v>
      </c>
      <c r="G237" s="20"/>
    </row>
    <row r="238" spans="1:7" x14ac:dyDescent="0.2">
      <c r="D238" s="20" t="s">
        <v>75</v>
      </c>
      <c r="E238" s="20" t="s">
        <v>75</v>
      </c>
      <c r="F238" s="1" t="s">
        <v>111</v>
      </c>
      <c r="G238" s="20"/>
    </row>
    <row r="239" spans="1:7" x14ac:dyDescent="0.2">
      <c r="D239" s="20">
        <v>3</v>
      </c>
      <c r="E239" s="20">
        <v>9</v>
      </c>
      <c r="F239" s="1" t="s">
        <v>62</v>
      </c>
      <c r="G239" s="20"/>
    </row>
    <row r="240" spans="1:7" x14ac:dyDescent="0.2">
      <c r="D240" s="20">
        <v>3</v>
      </c>
      <c r="E240" s="20">
        <v>3</v>
      </c>
      <c r="F240" s="1" t="s">
        <v>63</v>
      </c>
      <c r="G240" s="20"/>
    </row>
    <row r="241" spans="1:7" x14ac:dyDescent="0.2">
      <c r="C241" s="1" t="s">
        <v>77</v>
      </c>
      <c r="D241" s="349">
        <f>PV(D240/100,D239,D242,D243)</f>
        <v>-356269.63193364412</v>
      </c>
      <c r="E241" s="50">
        <f>PV(E240/100,E239,E242,E243)</f>
        <v>-389305.44609395514</v>
      </c>
      <c r="F241" s="1" t="s">
        <v>64</v>
      </c>
      <c r="G241" s="20" t="s">
        <v>77</v>
      </c>
    </row>
    <row r="242" spans="1:7" x14ac:dyDescent="0.2">
      <c r="D242" s="20">
        <v>0</v>
      </c>
      <c r="E242" s="20">
        <v>50000</v>
      </c>
      <c r="F242" s="1" t="s">
        <v>65</v>
      </c>
      <c r="G242" s="20"/>
    </row>
    <row r="243" spans="1:7" x14ac:dyDescent="0.2">
      <c r="D243" s="30">
        <f>-E241</f>
        <v>389305.44609395514</v>
      </c>
      <c r="E243" s="20">
        <v>0</v>
      </c>
      <c r="F243" s="1" t="s">
        <v>66</v>
      </c>
      <c r="G243" s="20"/>
    </row>
    <row r="244" spans="1:7" x14ac:dyDescent="0.2">
      <c r="D244" s="20"/>
      <c r="G244" s="20"/>
    </row>
    <row r="245" spans="1:7" x14ac:dyDescent="0.2">
      <c r="A245" s="18" t="s">
        <v>1823</v>
      </c>
      <c r="D245" s="20"/>
      <c r="G245" s="20"/>
    </row>
    <row r="246" spans="1:7" x14ac:dyDescent="0.2">
      <c r="D246" s="20"/>
      <c r="F246" s="1" t="s">
        <v>84</v>
      </c>
      <c r="G246" s="20"/>
    </row>
    <row r="247" spans="1:7" x14ac:dyDescent="0.2">
      <c r="D247" s="20"/>
      <c r="E247" s="1">
        <v>3</v>
      </c>
      <c r="F247" s="1" t="s">
        <v>63</v>
      </c>
      <c r="G247" s="20"/>
    </row>
    <row r="248" spans="1:7" x14ac:dyDescent="0.2">
      <c r="D248" s="20" t="s">
        <v>87</v>
      </c>
      <c r="F248" s="1" t="s">
        <v>995</v>
      </c>
      <c r="G248" s="414" t="s">
        <v>2996</v>
      </c>
    </row>
    <row r="249" spans="1:7" x14ac:dyDescent="0.2">
      <c r="D249" s="20">
        <v>0</v>
      </c>
      <c r="E249" s="1">
        <v>1</v>
      </c>
      <c r="G249" s="20"/>
    </row>
    <row r="250" spans="1:7" x14ac:dyDescent="0.2">
      <c r="D250" s="20">
        <v>0</v>
      </c>
      <c r="E250" s="1">
        <f>E249+1</f>
        <v>2</v>
      </c>
      <c r="G250" s="20"/>
    </row>
    <row r="251" spans="1:7" x14ac:dyDescent="0.2">
      <c r="D251" s="20">
        <v>0</v>
      </c>
      <c r="E251" s="1">
        <f t="shared" ref="E251:E261" si="3">E250+1</f>
        <v>3</v>
      </c>
      <c r="G251" s="20"/>
    </row>
    <row r="252" spans="1:7" x14ac:dyDescent="0.2">
      <c r="D252" s="20">
        <v>0</v>
      </c>
      <c r="E252" s="1">
        <f t="shared" si="3"/>
        <v>4</v>
      </c>
      <c r="G252" s="20"/>
    </row>
    <row r="253" spans="1:7" x14ac:dyDescent="0.2">
      <c r="D253" s="20">
        <v>50000</v>
      </c>
      <c r="E253" s="1">
        <f t="shared" si="3"/>
        <v>5</v>
      </c>
      <c r="G253" s="20"/>
    </row>
    <row r="254" spans="1:7" x14ac:dyDescent="0.2">
      <c r="D254" s="20">
        <v>50000</v>
      </c>
      <c r="E254" s="1">
        <f t="shared" si="3"/>
        <v>6</v>
      </c>
      <c r="G254" s="20"/>
    </row>
    <row r="255" spans="1:7" x14ac:dyDescent="0.2">
      <c r="D255" s="20">
        <v>50000</v>
      </c>
      <c r="E255" s="1">
        <f t="shared" si="3"/>
        <v>7</v>
      </c>
      <c r="G255" s="20"/>
    </row>
    <row r="256" spans="1:7" x14ac:dyDescent="0.2">
      <c r="D256" s="20">
        <v>50000</v>
      </c>
      <c r="E256" s="1">
        <f t="shared" si="3"/>
        <v>8</v>
      </c>
      <c r="G256" s="20"/>
    </row>
    <row r="257" spans="1:8" x14ac:dyDescent="0.2">
      <c r="D257" s="20">
        <v>50000</v>
      </c>
      <c r="E257" s="1">
        <f t="shared" si="3"/>
        <v>9</v>
      </c>
      <c r="G257" s="20"/>
    </row>
    <row r="258" spans="1:8" x14ac:dyDescent="0.2">
      <c r="D258" s="20">
        <v>50000</v>
      </c>
      <c r="E258" s="1">
        <f t="shared" si="3"/>
        <v>10</v>
      </c>
      <c r="G258" s="20"/>
    </row>
    <row r="259" spans="1:8" x14ac:dyDescent="0.2">
      <c r="D259" s="20">
        <v>50000</v>
      </c>
      <c r="E259" s="1">
        <f t="shared" si="3"/>
        <v>11</v>
      </c>
      <c r="G259" s="20"/>
    </row>
    <row r="260" spans="1:8" x14ac:dyDescent="0.2">
      <c r="D260" s="20">
        <v>50000</v>
      </c>
      <c r="E260" s="1">
        <f t="shared" si="3"/>
        <v>12</v>
      </c>
      <c r="G260" s="20"/>
    </row>
    <row r="261" spans="1:8" x14ac:dyDescent="0.2">
      <c r="D261" s="20">
        <v>50000</v>
      </c>
      <c r="E261" s="1">
        <f t="shared" si="3"/>
        <v>13</v>
      </c>
      <c r="F261" s="404" t="s">
        <v>2997</v>
      </c>
      <c r="G261" s="20"/>
    </row>
    <row r="262" spans="1:8" x14ac:dyDescent="0.2">
      <c r="D262" s="20"/>
      <c r="G262" s="20"/>
    </row>
    <row r="263" spans="1:8" ht="21" x14ac:dyDescent="0.25">
      <c r="D263" s="216">
        <f>NPV(E247/100,D250:D261)</f>
        <v>356269.63193364412</v>
      </c>
      <c r="F263" s="1" t="s">
        <v>1266</v>
      </c>
      <c r="G263" s="20"/>
    </row>
    <row r="264" spans="1:8" x14ac:dyDescent="0.2">
      <c r="D264" s="20"/>
      <c r="G264" s="20"/>
    </row>
    <row r="265" spans="1:8" x14ac:dyDescent="0.2">
      <c r="D265" s="20"/>
      <c r="G265" s="20"/>
    </row>
    <row r="266" spans="1:8" x14ac:dyDescent="0.2">
      <c r="A266" s="6" t="s">
        <v>33</v>
      </c>
      <c r="B266" s="5"/>
      <c r="C266" s="5"/>
      <c r="D266" s="5"/>
      <c r="E266" s="5"/>
      <c r="F266" s="5"/>
      <c r="G266" s="5"/>
      <c r="H266" s="5">
        <v>1.3</v>
      </c>
    </row>
    <row r="268" spans="1:8" x14ac:dyDescent="0.2">
      <c r="A268" s="1" t="s">
        <v>34</v>
      </c>
    </row>
    <row r="269" spans="1:8" x14ac:dyDescent="0.2">
      <c r="A269" s="1" t="s">
        <v>35</v>
      </c>
    </row>
    <row r="270" spans="1:8" x14ac:dyDescent="0.2">
      <c r="A270" s="1" t="s">
        <v>36</v>
      </c>
    </row>
    <row r="271" spans="1:8" x14ac:dyDescent="0.2">
      <c r="A271" s="1" t="s">
        <v>37</v>
      </c>
    </row>
    <row r="272" spans="1:8" x14ac:dyDescent="0.2">
      <c r="A272" s="1" t="s">
        <v>38</v>
      </c>
    </row>
    <row r="274" spans="1:8" x14ac:dyDescent="0.2">
      <c r="A274" s="1" t="s">
        <v>146</v>
      </c>
    </row>
    <row r="276" spans="1:8" x14ac:dyDescent="0.2">
      <c r="A276" s="1" t="s">
        <v>147</v>
      </c>
    </row>
    <row r="277" spans="1:8" x14ac:dyDescent="0.2">
      <c r="A277" s="1" t="s">
        <v>148</v>
      </c>
    </row>
    <row r="279" spans="1:8" x14ac:dyDescent="0.2">
      <c r="A279" s="1" t="s">
        <v>149</v>
      </c>
    </row>
    <row r="280" spans="1:8" x14ac:dyDescent="0.2">
      <c r="A280" s="1" t="s">
        <v>150</v>
      </c>
    </row>
    <row r="282" spans="1:8" x14ac:dyDescent="0.2">
      <c r="A282" s="1" t="s">
        <v>151</v>
      </c>
    </row>
    <row r="284" spans="1:8" x14ac:dyDescent="0.2">
      <c r="D284" s="409"/>
      <c r="E284" s="416" t="s">
        <v>60</v>
      </c>
      <c r="F284" s="409"/>
      <c r="G284" s="409"/>
      <c r="H284" s="409"/>
    </row>
    <row r="285" spans="1:8" x14ac:dyDescent="0.2">
      <c r="A285" s="409"/>
      <c r="B285" s="20" t="s">
        <v>75</v>
      </c>
      <c r="D285" s="407" t="s">
        <v>152</v>
      </c>
      <c r="E285" s="409" t="s">
        <v>111</v>
      </c>
      <c r="F285" s="409" t="s">
        <v>153</v>
      </c>
      <c r="G285" s="409"/>
      <c r="H285" s="409"/>
    </row>
    <row r="286" spans="1:8" x14ac:dyDescent="0.2">
      <c r="A286" s="409"/>
      <c r="B286" s="20">
        <v>20</v>
      </c>
      <c r="D286" s="407">
        <v>20</v>
      </c>
      <c r="E286" s="409" t="s">
        <v>62</v>
      </c>
      <c r="F286" s="409" t="s">
        <v>156</v>
      </c>
      <c r="G286" s="409"/>
      <c r="H286" s="409"/>
    </row>
    <row r="287" spans="1:8" x14ac:dyDescent="0.2">
      <c r="A287" s="409"/>
      <c r="B287" s="20">
        <v>3</v>
      </c>
      <c r="D287" s="407">
        <v>3</v>
      </c>
      <c r="E287" s="409" t="s">
        <v>63</v>
      </c>
      <c r="F287" s="409"/>
      <c r="G287" s="409"/>
      <c r="H287" s="409"/>
    </row>
    <row r="288" spans="1:8" x14ac:dyDescent="0.2">
      <c r="A288" s="409"/>
      <c r="B288" s="34">
        <f>PV(B287/100,B286,B289,B290,0)</f>
        <v>-148774.748604555</v>
      </c>
      <c r="D288" s="415">
        <f>PV(D287/100,D286,D289,D290,1)</f>
        <v>-153237.99106269167</v>
      </c>
      <c r="E288" s="409" t="s">
        <v>64</v>
      </c>
      <c r="F288" s="409" t="s">
        <v>77</v>
      </c>
      <c r="G288" s="409"/>
      <c r="H288" s="409"/>
    </row>
    <row r="289" spans="1:8" x14ac:dyDescent="0.2">
      <c r="A289" s="409"/>
      <c r="B289" s="20">
        <v>10000</v>
      </c>
      <c r="D289" s="407">
        <v>10000</v>
      </c>
      <c r="E289" s="409" t="s">
        <v>65</v>
      </c>
      <c r="F289" s="409"/>
      <c r="G289" s="409"/>
      <c r="H289" s="409"/>
    </row>
    <row r="290" spans="1:8" x14ac:dyDescent="0.2">
      <c r="A290" s="409"/>
      <c r="B290" s="20">
        <v>0</v>
      </c>
      <c r="D290" s="407">
        <v>0</v>
      </c>
      <c r="E290" s="409" t="s">
        <v>66</v>
      </c>
      <c r="F290" s="409"/>
      <c r="G290" s="409"/>
      <c r="H290" s="409"/>
    </row>
    <row r="291" spans="1:8" x14ac:dyDescent="0.2">
      <c r="A291" s="409"/>
      <c r="B291" s="20"/>
      <c r="D291" s="407"/>
      <c r="E291" s="409"/>
      <c r="F291" s="409"/>
      <c r="G291" s="409"/>
      <c r="H291" s="409"/>
    </row>
    <row r="292" spans="1:8" x14ac:dyDescent="0.2">
      <c r="A292" s="409"/>
      <c r="B292" s="20"/>
      <c r="D292" s="407"/>
      <c r="E292" s="409"/>
      <c r="F292" s="409"/>
      <c r="G292" s="409"/>
      <c r="H292" s="409"/>
    </row>
    <row r="293" spans="1:8" x14ac:dyDescent="0.2">
      <c r="A293" s="407" t="s">
        <v>160</v>
      </c>
      <c r="D293" s="407" t="s">
        <v>159</v>
      </c>
      <c r="E293" s="409"/>
      <c r="F293" s="409"/>
    </row>
    <row r="294" spans="1:8" x14ac:dyDescent="0.2">
      <c r="A294" s="20" t="s">
        <v>161</v>
      </c>
      <c r="D294" s="407"/>
      <c r="E294" s="409"/>
      <c r="F294" s="409"/>
    </row>
    <row r="295" spans="1:8" x14ac:dyDescent="0.2">
      <c r="A295" s="1" t="s">
        <v>162</v>
      </c>
      <c r="C295" s="1" t="s">
        <v>163</v>
      </c>
      <c r="D295" s="409"/>
      <c r="E295" s="409"/>
      <c r="F295" s="409"/>
    </row>
    <row r="296" spans="1:8" x14ac:dyDescent="0.2">
      <c r="B296" s="32">
        <f>-D288</f>
        <v>153237.99106269167</v>
      </c>
    </row>
    <row r="298" spans="1:8" x14ac:dyDescent="0.2">
      <c r="A298" s="1" t="s">
        <v>154</v>
      </c>
    </row>
    <row r="299" spans="1:8" x14ac:dyDescent="0.2">
      <c r="A299" s="1" t="s">
        <v>155</v>
      </c>
    </row>
    <row r="301" spans="1:8" x14ac:dyDescent="0.2">
      <c r="A301" s="1" t="s">
        <v>157</v>
      </c>
    </row>
    <row r="302" spans="1:8" x14ac:dyDescent="0.2">
      <c r="A302" s="1" t="s">
        <v>158</v>
      </c>
    </row>
    <row r="308" spans="1:8" x14ac:dyDescent="0.2">
      <c r="A308" s="6" t="s">
        <v>39</v>
      </c>
      <c r="B308" s="5"/>
      <c r="C308" s="5"/>
      <c r="D308" s="5"/>
      <c r="E308" s="5"/>
      <c r="F308" s="56" t="s">
        <v>340</v>
      </c>
      <c r="G308" s="5"/>
      <c r="H308" s="5">
        <v>1.5</v>
      </c>
    </row>
    <row r="310" spans="1:8" ht="17" thickBot="1" x14ac:dyDescent="0.25">
      <c r="A310" s="1" t="s">
        <v>40</v>
      </c>
    </row>
    <row r="311" spans="1:8" ht="17" thickBot="1" x14ac:dyDescent="0.25">
      <c r="A311" s="7" t="s">
        <v>41</v>
      </c>
      <c r="B311" s="8"/>
      <c r="C311" s="8"/>
      <c r="D311" s="8"/>
      <c r="E311" s="8"/>
      <c r="F311" s="8"/>
      <c r="G311" s="8"/>
      <c r="H311" s="9"/>
    </row>
    <row r="313" spans="1:8" x14ac:dyDescent="0.2">
      <c r="A313" s="1" t="s">
        <v>341</v>
      </c>
    </row>
    <row r="314" spans="1:8" x14ac:dyDescent="0.2">
      <c r="A314" s="1" t="s">
        <v>342</v>
      </c>
    </row>
    <row r="315" spans="1:8" x14ac:dyDescent="0.2">
      <c r="A315" s="1" t="s">
        <v>343</v>
      </c>
    </row>
    <row r="317" spans="1:8" x14ac:dyDescent="0.2">
      <c r="A317" s="1" t="s">
        <v>349</v>
      </c>
    </row>
    <row r="320" spans="1:8" x14ac:dyDescent="0.2">
      <c r="A320" s="1" t="s">
        <v>344</v>
      </c>
    </row>
    <row r="321" spans="1:8" x14ac:dyDescent="0.2">
      <c r="A321" s="1" t="s">
        <v>345</v>
      </c>
    </row>
    <row r="322" spans="1:8" x14ac:dyDescent="0.2">
      <c r="A322" s="1" t="s">
        <v>346</v>
      </c>
    </row>
    <row r="323" spans="1:8" x14ac:dyDescent="0.2">
      <c r="A323" s="1" t="s">
        <v>347</v>
      </c>
    </row>
    <row r="325" spans="1:8" x14ac:dyDescent="0.2">
      <c r="A325" s="1" t="s">
        <v>348</v>
      </c>
      <c r="E325" s="489">
        <f>70000/7%</f>
        <v>999999.99999999988</v>
      </c>
    </row>
    <row r="326" spans="1:8" x14ac:dyDescent="0.2">
      <c r="E326" s="489"/>
    </row>
    <row r="328" spans="1:8" x14ac:dyDescent="0.2">
      <c r="A328" s="1" t="s">
        <v>350</v>
      </c>
    </row>
    <row r="329" spans="1:8" x14ac:dyDescent="0.2">
      <c r="F329" s="20" t="s">
        <v>75</v>
      </c>
      <c r="G329" s="1" t="s">
        <v>111</v>
      </c>
    </row>
    <row r="330" spans="1:8" x14ac:dyDescent="0.2">
      <c r="A330" s="1" t="s">
        <v>351</v>
      </c>
      <c r="F330" s="46">
        <v>999</v>
      </c>
      <c r="G330" s="1" t="s">
        <v>62</v>
      </c>
    </row>
    <row r="331" spans="1:8" x14ac:dyDescent="0.2">
      <c r="F331" s="20">
        <v>7</v>
      </c>
      <c r="G331" s="1" t="s">
        <v>63</v>
      </c>
    </row>
    <row r="332" spans="1:8" x14ac:dyDescent="0.2">
      <c r="F332" s="57">
        <f>PV(F331/100,F330,F333,F334)</f>
        <v>-999999.99999999988</v>
      </c>
      <c r="G332" s="1" t="s">
        <v>64</v>
      </c>
      <c r="H332" s="1" t="s">
        <v>77</v>
      </c>
    </row>
    <row r="333" spans="1:8" x14ac:dyDescent="0.2">
      <c r="F333" s="20">
        <v>70000</v>
      </c>
      <c r="G333" s="1" t="s">
        <v>65</v>
      </c>
    </row>
    <row r="334" spans="1:8" x14ac:dyDescent="0.2">
      <c r="F334" s="20">
        <v>0</v>
      </c>
      <c r="G334" s="1" t="s">
        <v>66</v>
      </c>
    </row>
    <row r="336" spans="1:8" x14ac:dyDescent="0.2">
      <c r="A336" s="1" t="s">
        <v>352</v>
      </c>
    </row>
    <row r="337" spans="1:17" ht="17" thickBot="1" x14ac:dyDescent="0.25"/>
    <row r="338" spans="1:17" x14ac:dyDescent="0.2">
      <c r="A338" s="12" t="s">
        <v>42</v>
      </c>
      <c r="B338" s="13"/>
      <c r="C338" s="13"/>
      <c r="D338" s="13"/>
      <c r="E338" s="13"/>
      <c r="F338" s="13"/>
      <c r="G338" s="13"/>
      <c r="H338" s="14"/>
      <c r="L338" s="6" t="s">
        <v>543</v>
      </c>
      <c r="M338" s="5"/>
      <c r="N338" s="5"/>
      <c r="O338" s="5"/>
      <c r="P338" s="5"/>
      <c r="Q338" s="5"/>
    </row>
    <row r="339" spans="1:17" ht="17" thickBot="1" x14ac:dyDescent="0.25">
      <c r="A339" s="15" t="s">
        <v>43</v>
      </c>
      <c r="B339" s="16"/>
      <c r="C339" s="16"/>
      <c r="D339" s="16"/>
      <c r="E339" s="16"/>
      <c r="F339" s="16"/>
      <c r="G339" s="16"/>
      <c r="H339" s="17"/>
      <c r="L339" s="6" t="s">
        <v>544</v>
      </c>
      <c r="M339" s="5"/>
      <c r="N339" s="5"/>
      <c r="O339" s="5"/>
      <c r="P339" s="5"/>
      <c r="Q339" s="5"/>
    </row>
    <row r="341" spans="1:17" x14ac:dyDescent="0.2">
      <c r="A341" s="1" t="s">
        <v>353</v>
      </c>
      <c r="N341" s="58" t="s">
        <v>366</v>
      </c>
      <c r="O341" s="58"/>
    </row>
    <row r="342" spans="1:17" x14ac:dyDescent="0.2">
      <c r="A342" s="1" t="s">
        <v>354</v>
      </c>
      <c r="N342" s="58" t="s">
        <v>364</v>
      </c>
      <c r="O342" s="58" t="s">
        <v>362</v>
      </c>
    </row>
    <row r="343" spans="1:17" x14ac:dyDescent="0.2">
      <c r="A343" s="1" t="s">
        <v>355</v>
      </c>
      <c r="N343" s="58" t="s">
        <v>546</v>
      </c>
      <c r="O343" s="58" t="s">
        <v>545</v>
      </c>
    </row>
    <row r="344" spans="1:17" x14ac:dyDescent="0.2">
      <c r="N344" s="20" t="s">
        <v>75</v>
      </c>
      <c r="O344" s="20" t="s">
        <v>75</v>
      </c>
      <c r="P344" s="1" t="s">
        <v>111</v>
      </c>
    </row>
    <row r="345" spans="1:17" x14ac:dyDescent="0.2">
      <c r="A345" s="1" t="s">
        <v>356</v>
      </c>
      <c r="N345" s="46">
        <v>15</v>
      </c>
      <c r="O345" s="46">
        <v>999</v>
      </c>
      <c r="P345" s="1" t="s">
        <v>62</v>
      </c>
    </row>
    <row r="346" spans="1:17" x14ac:dyDescent="0.2">
      <c r="A346" s="1" t="s">
        <v>357</v>
      </c>
      <c r="N346" s="20">
        <v>8</v>
      </c>
      <c r="O346" s="20">
        <v>8</v>
      </c>
      <c r="P346" s="1" t="s">
        <v>63</v>
      </c>
    </row>
    <row r="347" spans="1:17" x14ac:dyDescent="0.2">
      <c r="M347" s="1" t="s">
        <v>547</v>
      </c>
      <c r="N347" s="59">
        <f>PV(N346/100,N345,N348,N349)</f>
        <v>-364535.30819133739</v>
      </c>
      <c r="O347" s="57">
        <f>PV(O346/100,O345,O348,O349)</f>
        <v>-287500</v>
      </c>
      <c r="P347" s="1" t="s">
        <v>64</v>
      </c>
      <c r="Q347" s="1" t="s">
        <v>77</v>
      </c>
    </row>
    <row r="348" spans="1:17" x14ac:dyDescent="0.2">
      <c r="A348" s="1" t="s">
        <v>358</v>
      </c>
      <c r="N348" s="20">
        <v>32000</v>
      </c>
      <c r="O348" s="20">
        <v>23000</v>
      </c>
      <c r="P348" s="1" t="s">
        <v>65</v>
      </c>
    </row>
    <row r="349" spans="1:17" x14ac:dyDescent="0.2">
      <c r="A349" s="1" t="s">
        <v>359</v>
      </c>
      <c r="N349" s="57">
        <f>-O347</f>
        <v>287500</v>
      </c>
      <c r="O349" s="20">
        <v>0</v>
      </c>
      <c r="P349" s="1" t="s">
        <v>66</v>
      </c>
    </row>
    <row r="350" spans="1:17" x14ac:dyDescent="0.2">
      <c r="A350" s="1" t="s">
        <v>360</v>
      </c>
    </row>
    <row r="351" spans="1:17" x14ac:dyDescent="0.2">
      <c r="A351" s="1" t="s">
        <v>361</v>
      </c>
      <c r="L351" s="1" t="s">
        <v>403</v>
      </c>
    </row>
    <row r="353" spans="1:8" x14ac:dyDescent="0.2">
      <c r="E353" s="58" t="s">
        <v>366</v>
      </c>
      <c r="F353" s="58"/>
    </row>
    <row r="354" spans="1:8" x14ac:dyDescent="0.2">
      <c r="E354" s="58" t="s">
        <v>364</v>
      </c>
      <c r="F354" s="58" t="s">
        <v>362</v>
      </c>
    </row>
    <row r="355" spans="1:8" x14ac:dyDescent="0.2">
      <c r="E355" s="58" t="s">
        <v>365</v>
      </c>
      <c r="F355" s="58" t="s">
        <v>363</v>
      </c>
    </row>
    <row r="356" spans="1:8" x14ac:dyDescent="0.2">
      <c r="E356" s="20" t="s">
        <v>75</v>
      </c>
      <c r="F356" s="20" t="s">
        <v>75</v>
      </c>
      <c r="G356" s="1" t="s">
        <v>111</v>
      </c>
    </row>
    <row r="357" spans="1:8" x14ac:dyDescent="0.2">
      <c r="E357" s="46">
        <v>10</v>
      </c>
      <c r="F357" s="46">
        <v>999</v>
      </c>
      <c r="G357" s="1" t="s">
        <v>62</v>
      </c>
    </row>
    <row r="358" spans="1:8" x14ac:dyDescent="0.2">
      <c r="E358" s="20">
        <v>7</v>
      </c>
      <c r="F358" s="20">
        <v>7</v>
      </c>
      <c r="G358" s="1" t="s">
        <v>63</v>
      </c>
    </row>
    <row r="359" spans="1:8" x14ac:dyDescent="0.2">
      <c r="B359" s="1" t="s">
        <v>367</v>
      </c>
      <c r="D359" s="20" t="s">
        <v>368</v>
      </c>
      <c r="E359" s="59">
        <f>PV(E358/100,E357,E360,E361)</f>
        <v>-1145242.6548956337</v>
      </c>
      <c r="F359" s="57">
        <f>PV(F358/100,F357,F360,F361)</f>
        <v>-1285714.2857142854</v>
      </c>
      <c r="G359" s="1" t="s">
        <v>64</v>
      </c>
      <c r="H359" s="1" t="s">
        <v>77</v>
      </c>
    </row>
    <row r="360" spans="1:8" x14ac:dyDescent="0.2">
      <c r="E360" s="20">
        <v>70000</v>
      </c>
      <c r="F360" s="20">
        <v>90000</v>
      </c>
      <c r="G360" s="1" t="s">
        <v>65</v>
      </c>
    </row>
    <row r="361" spans="1:8" x14ac:dyDescent="0.2">
      <c r="E361" s="57">
        <f>-F359</f>
        <v>1285714.2857142854</v>
      </c>
      <c r="F361" s="20">
        <v>0</v>
      </c>
      <c r="G361" s="1" t="s">
        <v>66</v>
      </c>
    </row>
    <row r="363" spans="1:8" x14ac:dyDescent="0.2">
      <c r="B363" s="1" t="s">
        <v>369</v>
      </c>
    </row>
    <row r="365" spans="1:8" x14ac:dyDescent="0.2">
      <c r="A365" s="1" t="s">
        <v>370</v>
      </c>
    </row>
    <row r="368" spans="1:8" x14ac:dyDescent="0.2">
      <c r="C368" s="490">
        <f>90000/7%*1.07^-10+70000*(1-1/1.07^10)/0.07</f>
        <v>1145242.6548956337</v>
      </c>
    </row>
    <row r="369" spans="1:8" x14ac:dyDescent="0.2">
      <c r="C369" s="490"/>
    </row>
    <row r="372" spans="1:8" x14ac:dyDescent="0.2">
      <c r="C372" s="20" t="s">
        <v>385</v>
      </c>
      <c r="E372" s="1" t="s">
        <v>377</v>
      </c>
      <c r="G372" s="1" t="s">
        <v>371</v>
      </c>
    </row>
    <row r="373" spans="1:8" x14ac:dyDescent="0.2">
      <c r="C373" s="20" t="s">
        <v>386</v>
      </c>
      <c r="E373" s="1" t="s">
        <v>378</v>
      </c>
      <c r="G373" s="1" t="s">
        <v>372</v>
      </c>
    </row>
    <row r="374" spans="1:8" x14ac:dyDescent="0.2">
      <c r="E374" s="1" t="s">
        <v>379</v>
      </c>
      <c r="G374" s="1" t="s">
        <v>373</v>
      </c>
    </row>
    <row r="375" spans="1:8" x14ac:dyDescent="0.2">
      <c r="E375" s="1" t="s">
        <v>380</v>
      </c>
      <c r="G375" s="1" t="s">
        <v>374</v>
      </c>
    </row>
    <row r="376" spans="1:8" x14ac:dyDescent="0.2">
      <c r="E376" s="1" t="s">
        <v>381</v>
      </c>
      <c r="G376" s="1" t="s">
        <v>375</v>
      </c>
    </row>
    <row r="377" spans="1:8" x14ac:dyDescent="0.2">
      <c r="E377" s="1" t="s">
        <v>382</v>
      </c>
      <c r="G377" s="1" t="s">
        <v>376</v>
      </c>
    </row>
    <row r="378" spans="1:8" x14ac:dyDescent="0.2">
      <c r="E378" s="1" t="s">
        <v>383</v>
      </c>
    </row>
    <row r="379" spans="1:8" x14ac:dyDescent="0.2">
      <c r="E379" s="1" t="s">
        <v>384</v>
      </c>
    </row>
    <row r="384" spans="1:8" x14ac:dyDescent="0.2">
      <c r="A384" s="6" t="s">
        <v>45</v>
      </c>
      <c r="B384" s="5"/>
      <c r="C384" s="5"/>
      <c r="D384" s="5"/>
      <c r="E384" s="55" t="s">
        <v>339</v>
      </c>
      <c r="F384" s="5"/>
      <c r="G384" s="5"/>
      <c r="H384" s="5">
        <v>1.6</v>
      </c>
    </row>
    <row r="386" spans="1:1" x14ac:dyDescent="0.2">
      <c r="A386" s="1" t="s">
        <v>46</v>
      </c>
    </row>
    <row r="387" spans="1:1" x14ac:dyDescent="0.2">
      <c r="A387" s="1" t="s">
        <v>47</v>
      </c>
    </row>
    <row r="388" spans="1:1" x14ac:dyDescent="0.2">
      <c r="A388" s="1" t="s">
        <v>48</v>
      </c>
    </row>
    <row r="389" spans="1:1" x14ac:dyDescent="0.2">
      <c r="A389" s="1" t="s">
        <v>49</v>
      </c>
    </row>
    <row r="391" spans="1:1" x14ac:dyDescent="0.2">
      <c r="A391" s="1" t="s">
        <v>146</v>
      </c>
    </row>
    <row r="393" spans="1:1" x14ac:dyDescent="0.2">
      <c r="A393" s="1" t="s">
        <v>322</v>
      </c>
    </row>
    <row r="394" spans="1:1" x14ac:dyDescent="0.2">
      <c r="A394" s="1" t="s">
        <v>323</v>
      </c>
    </row>
    <row r="395" spans="1:1" x14ac:dyDescent="0.2">
      <c r="A395" s="1" t="s">
        <v>324</v>
      </c>
    </row>
    <row r="396" spans="1:1" x14ac:dyDescent="0.2">
      <c r="A396" s="1" t="s">
        <v>325</v>
      </c>
    </row>
    <row r="398" spans="1:1" x14ac:dyDescent="0.2">
      <c r="A398" s="1" t="s">
        <v>326</v>
      </c>
    </row>
    <row r="399" spans="1:1" x14ac:dyDescent="0.2">
      <c r="A399" s="1" t="s">
        <v>327</v>
      </c>
    </row>
    <row r="400" spans="1:1" x14ac:dyDescent="0.2">
      <c r="A400" s="1" t="s">
        <v>328</v>
      </c>
    </row>
    <row r="401" spans="1:8" x14ac:dyDescent="0.2">
      <c r="A401" s="1" t="s">
        <v>329</v>
      </c>
    </row>
    <row r="402" spans="1:8" x14ac:dyDescent="0.2">
      <c r="E402" s="20">
        <v>10</v>
      </c>
      <c r="F402" s="20">
        <v>15</v>
      </c>
    </row>
    <row r="403" spans="1:8" x14ac:dyDescent="0.2">
      <c r="A403" s="1" t="s">
        <v>332</v>
      </c>
      <c r="E403" s="27" t="s">
        <v>331</v>
      </c>
      <c r="F403" s="27" t="s">
        <v>330</v>
      </c>
      <c r="G403" s="10" t="s">
        <v>60</v>
      </c>
    </row>
    <row r="404" spans="1:8" x14ac:dyDescent="0.2">
      <c r="A404" s="1" t="s">
        <v>333</v>
      </c>
      <c r="E404" s="20" t="s">
        <v>75</v>
      </c>
      <c r="F404" s="20" t="s">
        <v>75</v>
      </c>
      <c r="G404" s="1" t="s">
        <v>111</v>
      </c>
    </row>
    <row r="405" spans="1:8" x14ac:dyDescent="0.2">
      <c r="E405" s="20">
        <v>10</v>
      </c>
      <c r="F405" s="20">
        <v>15</v>
      </c>
      <c r="G405" s="1" t="s">
        <v>62</v>
      </c>
    </row>
    <row r="406" spans="1:8" x14ac:dyDescent="0.2">
      <c r="E406" s="20">
        <v>10</v>
      </c>
      <c r="F406" s="20">
        <v>10</v>
      </c>
      <c r="G406" s="1" t="s">
        <v>63</v>
      </c>
    </row>
    <row r="407" spans="1:8" x14ac:dyDescent="0.2">
      <c r="E407" s="54">
        <f>PV(E406/100,E405,E408,E409)</f>
        <v>-163945.96288943914</v>
      </c>
      <c r="F407" s="50">
        <f>PV(F406/100,F405,F408,F409)</f>
        <v>-106485.11308831713</v>
      </c>
      <c r="G407" s="1" t="s">
        <v>64</v>
      </c>
      <c r="H407" s="1" t="s">
        <v>77</v>
      </c>
    </row>
    <row r="408" spans="1:8" x14ac:dyDescent="0.2">
      <c r="E408" s="20">
        <v>20000</v>
      </c>
      <c r="F408" s="24">
        <v>14000</v>
      </c>
      <c r="G408" s="1" t="s">
        <v>65</v>
      </c>
    </row>
    <row r="409" spans="1:8" x14ac:dyDescent="0.2">
      <c r="E409" s="30">
        <f>-F407</f>
        <v>106485.11308831713</v>
      </c>
      <c r="F409" s="20">
        <v>0</v>
      </c>
      <c r="G409" s="1" t="s">
        <v>66</v>
      </c>
    </row>
    <row r="411" spans="1:8" x14ac:dyDescent="0.2">
      <c r="A411" s="1" t="s">
        <v>334</v>
      </c>
      <c r="F411" s="20" t="s">
        <v>335</v>
      </c>
    </row>
    <row r="412" spans="1:8" x14ac:dyDescent="0.2">
      <c r="A412" s="1" t="s">
        <v>338</v>
      </c>
      <c r="F412" s="27">
        <v>10</v>
      </c>
      <c r="G412" s="10" t="s">
        <v>60</v>
      </c>
    </row>
    <row r="413" spans="1:8" x14ac:dyDescent="0.2">
      <c r="A413" s="1" t="s">
        <v>336</v>
      </c>
      <c r="F413" s="20" t="s">
        <v>75</v>
      </c>
      <c r="G413" s="1" t="s">
        <v>111</v>
      </c>
    </row>
    <row r="414" spans="1:8" x14ac:dyDescent="0.2">
      <c r="F414" s="20">
        <v>10</v>
      </c>
      <c r="G414" s="1" t="s">
        <v>62</v>
      </c>
    </row>
    <row r="415" spans="1:8" x14ac:dyDescent="0.2">
      <c r="F415" s="20">
        <v>10</v>
      </c>
      <c r="G415" s="1" t="s">
        <v>63</v>
      </c>
    </row>
    <row r="416" spans="1:8" x14ac:dyDescent="0.2">
      <c r="A416" s="1" t="s">
        <v>337</v>
      </c>
      <c r="F416" s="54">
        <f>PV(F415/100,F414,F417,F418)</f>
        <v>-154217.3157718126</v>
      </c>
      <c r="G416" s="1" t="s">
        <v>64</v>
      </c>
      <c r="H416" s="1" t="s">
        <v>77</v>
      </c>
    </row>
    <row r="417" spans="6:7" x14ac:dyDescent="0.2">
      <c r="F417" s="24">
        <v>0</v>
      </c>
      <c r="G417" s="1" t="s">
        <v>65</v>
      </c>
    </row>
    <row r="418" spans="6:7" x14ac:dyDescent="0.2">
      <c r="F418" s="20">
        <v>400000</v>
      </c>
      <c r="G418" s="1" t="s">
        <v>66</v>
      </c>
    </row>
  </sheetData>
  <mergeCells count="5">
    <mergeCell ref="A1:H1"/>
    <mergeCell ref="D200:D201"/>
    <mergeCell ref="E325:E326"/>
    <mergeCell ref="C368:C369"/>
    <mergeCell ref="F98:G98"/>
  </mergeCells>
  <pageMargins left="0.7" right="0.7" top="0.75" bottom="0.75" header="0.3" footer="0.3"/>
  <ignoredErrors>
    <ignoredError sqref="H100" formulaRange="1"/>
  </ignoredErrors>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94C15-724C-904B-9457-744898487E8B}">
  <dimension ref="A1:J305"/>
  <sheetViews>
    <sheetView rightToLeft="1" topLeftCell="A141" zoomScale="240" zoomScaleNormal="240" workbookViewId="0">
      <selection activeCell="H142" sqref="H142"/>
    </sheetView>
  </sheetViews>
  <sheetFormatPr baseColWidth="10" defaultRowHeight="16" x14ac:dyDescent="0.2"/>
  <cols>
    <col min="1" max="4" width="10.83203125" style="1"/>
    <col min="5" max="5" width="11.6640625" style="1" bestFit="1" customWidth="1"/>
    <col min="6" max="9" width="10.83203125" style="1"/>
    <col min="10" max="10" width="12.83203125" style="1" customWidth="1"/>
    <col min="11" max="16384" width="10.83203125" style="1"/>
  </cols>
  <sheetData>
    <row r="1" spans="1:10" x14ac:dyDescent="0.2">
      <c r="A1" s="487" t="s">
        <v>164</v>
      </c>
      <c r="B1" s="487"/>
      <c r="C1" s="487"/>
      <c r="D1" s="487"/>
      <c r="E1" s="487"/>
      <c r="F1" s="487"/>
      <c r="G1" s="487"/>
      <c r="H1" s="487"/>
      <c r="J1" s="1" t="s">
        <v>212</v>
      </c>
    </row>
    <row r="2" spans="1:10" x14ac:dyDescent="0.2">
      <c r="H2" s="4">
        <v>45883</v>
      </c>
      <c r="J2" s="1" t="s">
        <v>213</v>
      </c>
    </row>
    <row r="3" spans="1:10" x14ac:dyDescent="0.2">
      <c r="A3" s="2" t="s">
        <v>165</v>
      </c>
      <c r="B3" s="2"/>
      <c r="C3" s="2"/>
      <c r="D3" s="2"/>
      <c r="E3" s="2"/>
      <c r="F3" s="2"/>
      <c r="G3" s="2"/>
      <c r="H3" s="2"/>
      <c r="J3" s="1" t="s">
        <v>214</v>
      </c>
    </row>
    <row r="4" spans="1:10" x14ac:dyDescent="0.2">
      <c r="A4" s="1" t="s">
        <v>166</v>
      </c>
      <c r="J4" s="1" t="s">
        <v>215</v>
      </c>
    </row>
    <row r="5" spans="1:10" x14ac:dyDescent="0.2">
      <c r="A5" s="1" t="s">
        <v>167</v>
      </c>
      <c r="J5" s="1" t="s">
        <v>216</v>
      </c>
    </row>
    <row r="6" spans="1:10" x14ac:dyDescent="0.2">
      <c r="A6" s="1" t="s">
        <v>168</v>
      </c>
      <c r="J6" s="1" t="s">
        <v>217</v>
      </c>
    </row>
    <row r="8" spans="1:10" x14ac:dyDescent="0.2">
      <c r="A8" s="1" t="s">
        <v>191</v>
      </c>
      <c r="B8" s="1" t="s">
        <v>192</v>
      </c>
    </row>
    <row r="9" spans="1:10" x14ac:dyDescent="0.2">
      <c r="B9" s="1" t="s">
        <v>193</v>
      </c>
    </row>
    <row r="10" spans="1:10" x14ac:dyDescent="0.2">
      <c r="B10" s="1" t="s">
        <v>194</v>
      </c>
    </row>
    <row r="12" spans="1:10" x14ac:dyDescent="0.2">
      <c r="A12" s="2" t="s">
        <v>195</v>
      </c>
      <c r="B12" s="2"/>
      <c r="C12" s="2"/>
      <c r="D12" s="2"/>
      <c r="E12" s="2"/>
      <c r="F12" s="2"/>
      <c r="G12" s="2"/>
      <c r="H12" s="2"/>
    </row>
    <row r="13" spans="1:10" x14ac:dyDescent="0.2">
      <c r="A13" s="1" t="s">
        <v>196</v>
      </c>
    </row>
    <row r="14" spans="1:10" x14ac:dyDescent="0.2">
      <c r="A14" s="1" t="s">
        <v>197</v>
      </c>
    </row>
    <row r="16" spans="1:10" x14ac:dyDescent="0.2">
      <c r="A16" s="1" t="s">
        <v>191</v>
      </c>
      <c r="B16" s="1" t="s">
        <v>198</v>
      </c>
    </row>
    <row r="17" spans="1:8" x14ac:dyDescent="0.2">
      <c r="B17" s="1" t="s">
        <v>199</v>
      </c>
    </row>
    <row r="18" spans="1:8" x14ac:dyDescent="0.2">
      <c r="B18" s="1" t="s">
        <v>200</v>
      </c>
    </row>
    <row r="20" spans="1:8" x14ac:dyDescent="0.2">
      <c r="A20" s="1" t="s">
        <v>201</v>
      </c>
    </row>
    <row r="22" spans="1:8" x14ac:dyDescent="0.2">
      <c r="A22" s="5" t="s">
        <v>179</v>
      </c>
      <c r="B22" s="5"/>
      <c r="C22" s="5"/>
      <c r="D22" s="5"/>
      <c r="E22" s="5"/>
      <c r="F22" s="5"/>
      <c r="G22" s="5"/>
      <c r="H22" s="40" t="s">
        <v>180</v>
      </c>
    </row>
    <row r="23" spans="1:8" x14ac:dyDescent="0.2">
      <c r="A23" s="1" t="s">
        <v>169</v>
      </c>
    </row>
    <row r="24" spans="1:8" x14ac:dyDescent="0.2">
      <c r="G24" s="404" t="s">
        <v>2999</v>
      </c>
    </row>
    <row r="25" spans="1:8" x14ac:dyDescent="0.2">
      <c r="A25" s="11" t="s">
        <v>170</v>
      </c>
      <c r="B25" s="11" t="s">
        <v>175</v>
      </c>
      <c r="C25" s="11" t="s">
        <v>176</v>
      </c>
      <c r="D25" s="11" t="s">
        <v>177</v>
      </c>
      <c r="G25" s="406" t="s">
        <v>3000</v>
      </c>
      <c r="H25" s="406"/>
    </row>
    <row r="26" spans="1:8" x14ac:dyDescent="0.2">
      <c r="A26" s="11" t="s">
        <v>171</v>
      </c>
      <c r="B26" s="38">
        <v>4000</v>
      </c>
      <c r="C26" s="11">
        <v>7</v>
      </c>
      <c r="D26" s="39">
        <v>0.04</v>
      </c>
      <c r="G26" s="406"/>
      <c r="H26" s="406" t="s">
        <v>3001</v>
      </c>
    </row>
    <row r="27" spans="1:8" x14ac:dyDescent="0.2">
      <c r="A27" s="11" t="s">
        <v>172</v>
      </c>
      <c r="B27" s="38">
        <v>5000</v>
      </c>
      <c r="C27" s="11">
        <v>12</v>
      </c>
      <c r="D27" s="39">
        <v>0.12</v>
      </c>
    </row>
    <row r="28" spans="1:8" x14ac:dyDescent="0.2">
      <c r="A28" s="11" t="s">
        <v>173</v>
      </c>
      <c r="B28" s="38">
        <v>7000</v>
      </c>
      <c r="C28" s="11">
        <v>17</v>
      </c>
      <c r="D28" s="39">
        <v>0.09</v>
      </c>
    </row>
    <row r="29" spans="1:8" x14ac:dyDescent="0.2">
      <c r="A29" s="11" t="s">
        <v>174</v>
      </c>
      <c r="B29" s="38">
        <v>12000</v>
      </c>
      <c r="C29" s="11">
        <v>9</v>
      </c>
      <c r="D29" s="39">
        <v>0.05</v>
      </c>
    </row>
    <row r="31" spans="1:8" x14ac:dyDescent="0.2">
      <c r="A31" s="404" t="s">
        <v>2998</v>
      </c>
    </row>
    <row r="32" spans="1:8" x14ac:dyDescent="0.2">
      <c r="A32" s="1" t="s">
        <v>178</v>
      </c>
    </row>
    <row r="34" spans="1:10" x14ac:dyDescent="0.2">
      <c r="A34" s="1" t="s">
        <v>146</v>
      </c>
    </row>
    <row r="36" spans="1:10" x14ac:dyDescent="0.2">
      <c r="A36" s="406" t="s">
        <v>218</v>
      </c>
      <c r="B36" s="406"/>
      <c r="C36" s="406"/>
      <c r="D36" s="406"/>
      <c r="E36" s="406"/>
      <c r="F36" s="406"/>
      <c r="G36" s="406"/>
      <c r="H36" s="406"/>
    </row>
    <row r="37" spans="1:10" x14ac:dyDescent="0.2">
      <c r="A37" s="406" t="s">
        <v>219</v>
      </c>
      <c r="B37" s="406"/>
      <c r="C37" s="406"/>
      <c r="D37" s="406"/>
      <c r="E37" s="406"/>
      <c r="F37" s="406"/>
      <c r="G37" s="406"/>
      <c r="H37" s="406"/>
    </row>
    <row r="38" spans="1:10" x14ac:dyDescent="0.2">
      <c r="A38" s="1" t="s">
        <v>220</v>
      </c>
    </row>
    <row r="39" spans="1:10" x14ac:dyDescent="0.2">
      <c r="A39" s="1" t="s">
        <v>221</v>
      </c>
    </row>
    <row r="40" spans="1:10" ht="17" thickBot="1" x14ac:dyDescent="0.25">
      <c r="A40" s="1" t="s">
        <v>222</v>
      </c>
      <c r="F40" s="404" t="s">
        <v>3002</v>
      </c>
      <c r="I40" s="404" t="s">
        <v>3003</v>
      </c>
    </row>
    <row r="41" spans="1:10" ht="17" thickBot="1" x14ac:dyDescent="0.25">
      <c r="J41" s="43" t="s">
        <v>230</v>
      </c>
    </row>
    <row r="42" spans="1:10" ht="17" thickBot="1" x14ac:dyDescent="0.25">
      <c r="B42" s="42" t="s">
        <v>174</v>
      </c>
      <c r="C42" s="42" t="s">
        <v>173</v>
      </c>
      <c r="D42" s="42" t="s">
        <v>172</v>
      </c>
      <c r="E42" s="42" t="s">
        <v>171</v>
      </c>
      <c r="F42" s="1" t="s">
        <v>60</v>
      </c>
      <c r="J42" s="44" t="s">
        <v>231</v>
      </c>
    </row>
    <row r="43" spans="1:10" x14ac:dyDescent="0.2">
      <c r="B43" s="20" t="s">
        <v>75</v>
      </c>
      <c r="C43" s="20" t="s">
        <v>75</v>
      </c>
      <c r="D43" s="20" t="s">
        <v>75</v>
      </c>
      <c r="E43" s="20" t="s">
        <v>75</v>
      </c>
      <c r="F43" s="1" t="s">
        <v>111</v>
      </c>
      <c r="J43" s="44" t="s">
        <v>232</v>
      </c>
    </row>
    <row r="44" spans="1:10" x14ac:dyDescent="0.2">
      <c r="B44" s="20">
        <v>9</v>
      </c>
      <c r="C44" s="20">
        <v>17</v>
      </c>
      <c r="D44" s="20">
        <v>12</v>
      </c>
      <c r="E44" s="20">
        <v>7</v>
      </c>
      <c r="F44" s="1" t="s">
        <v>62</v>
      </c>
      <c r="G44" s="1" t="s">
        <v>223</v>
      </c>
      <c r="J44" s="44" t="s">
        <v>233</v>
      </c>
    </row>
    <row r="45" spans="1:10" x14ac:dyDescent="0.2">
      <c r="B45" s="20">
        <v>5</v>
      </c>
      <c r="C45" s="20">
        <v>9</v>
      </c>
      <c r="D45" s="20">
        <v>12</v>
      </c>
      <c r="E45" s="20">
        <v>4</v>
      </c>
      <c r="F45" s="1" t="s">
        <v>63</v>
      </c>
      <c r="G45" s="1" t="s">
        <v>224</v>
      </c>
      <c r="J45" s="44" t="s">
        <v>234</v>
      </c>
    </row>
    <row r="46" spans="1:10" x14ac:dyDescent="0.2">
      <c r="B46" s="20">
        <v>0</v>
      </c>
      <c r="C46" s="20">
        <v>0</v>
      </c>
      <c r="D46" s="20">
        <v>0</v>
      </c>
      <c r="E46" s="20">
        <v>0</v>
      </c>
      <c r="F46" s="1" t="s">
        <v>64</v>
      </c>
      <c r="G46" s="1" t="s">
        <v>226</v>
      </c>
      <c r="J46" s="44" t="s">
        <v>235</v>
      </c>
    </row>
    <row r="47" spans="1:10" ht="17" thickBot="1" x14ac:dyDescent="0.25">
      <c r="B47" s="20">
        <v>-12000</v>
      </c>
      <c r="C47" s="20">
        <v>-7000</v>
      </c>
      <c r="D47" s="20">
        <v>-5000</v>
      </c>
      <c r="E47" s="20">
        <v>-4000</v>
      </c>
      <c r="F47" s="1" t="s">
        <v>65</v>
      </c>
      <c r="G47" s="1" t="s">
        <v>225</v>
      </c>
      <c r="J47" s="44" t="s">
        <v>236</v>
      </c>
    </row>
    <row r="48" spans="1:10" ht="17" thickBot="1" x14ac:dyDescent="0.25">
      <c r="B48" s="41">
        <f t="shared" ref="B48:D48" si="0">FV(B45/100,B44,B47,B46)</f>
        <v>132318.77183484379</v>
      </c>
      <c r="C48" s="41">
        <f t="shared" si="0"/>
        <v>258815.93191648024</v>
      </c>
      <c r="D48" s="41">
        <f t="shared" si="0"/>
        <v>120665.66635612413</v>
      </c>
      <c r="E48" s="41">
        <f>FV(E45/100,E44,E47,E46)</f>
        <v>31593.177923584026</v>
      </c>
      <c r="F48" s="1" t="s">
        <v>66</v>
      </c>
      <c r="G48" s="1" t="s">
        <v>227</v>
      </c>
      <c r="J48" s="44" t="s">
        <v>237</v>
      </c>
    </row>
    <row r="49" spans="1:10" x14ac:dyDescent="0.2">
      <c r="J49" s="44" t="s">
        <v>241</v>
      </c>
    </row>
    <row r="50" spans="1:10" x14ac:dyDescent="0.2">
      <c r="J50" s="44" t="s">
        <v>238</v>
      </c>
    </row>
    <row r="51" spans="1:10" x14ac:dyDescent="0.2">
      <c r="A51" s="1" t="s">
        <v>228</v>
      </c>
      <c r="J51" s="44" t="s">
        <v>240</v>
      </c>
    </row>
    <row r="52" spans="1:10" ht="17" thickBot="1" x14ac:dyDescent="0.25">
      <c r="J52" s="45" t="s">
        <v>239</v>
      </c>
    </row>
    <row r="54" spans="1:10" x14ac:dyDescent="0.2">
      <c r="A54" s="1" t="s">
        <v>229</v>
      </c>
    </row>
    <row r="58" spans="1:10" x14ac:dyDescent="0.2">
      <c r="A58" s="5" t="s">
        <v>186</v>
      </c>
      <c r="B58" s="5"/>
      <c r="C58" s="5"/>
      <c r="D58" s="5"/>
      <c r="E58" s="5"/>
      <c r="F58" s="5"/>
      <c r="G58" s="5"/>
      <c r="H58" s="40" t="s">
        <v>187</v>
      </c>
    </row>
    <row r="59" spans="1:10" x14ac:dyDescent="0.2">
      <c r="A59" s="1" t="s">
        <v>188</v>
      </c>
    </row>
    <row r="61" spans="1:10" x14ac:dyDescent="0.2">
      <c r="A61" s="11" t="s">
        <v>170</v>
      </c>
      <c r="B61" s="11" t="s">
        <v>175</v>
      </c>
      <c r="C61" s="11" t="s">
        <v>176</v>
      </c>
      <c r="D61" s="11" t="s">
        <v>177</v>
      </c>
    </row>
    <row r="62" spans="1:10" x14ac:dyDescent="0.2">
      <c r="A62" s="11" t="s">
        <v>171</v>
      </c>
      <c r="B62" s="38">
        <v>500</v>
      </c>
      <c r="C62" s="11">
        <v>3</v>
      </c>
      <c r="D62" s="39">
        <v>0.05</v>
      </c>
    </row>
    <row r="63" spans="1:10" x14ac:dyDescent="0.2">
      <c r="A63" s="11" t="s">
        <v>172</v>
      </c>
      <c r="B63" s="38">
        <v>800</v>
      </c>
      <c r="C63" s="11">
        <v>9</v>
      </c>
      <c r="D63" s="39">
        <v>0.06</v>
      </c>
    </row>
    <row r="64" spans="1:10" x14ac:dyDescent="0.2">
      <c r="A64" s="11" t="s">
        <v>173</v>
      </c>
      <c r="B64" s="38">
        <v>1000</v>
      </c>
      <c r="C64" s="11">
        <v>4</v>
      </c>
      <c r="D64" s="39">
        <v>0.03</v>
      </c>
    </row>
    <row r="65" spans="1:8" x14ac:dyDescent="0.2">
      <c r="A65" s="11" t="s">
        <v>174</v>
      </c>
      <c r="B65" s="38">
        <v>900</v>
      </c>
      <c r="C65" s="11">
        <v>6</v>
      </c>
      <c r="D65" s="39">
        <v>0.02</v>
      </c>
    </row>
    <row r="67" spans="1:8" x14ac:dyDescent="0.2">
      <c r="A67" s="1" t="s">
        <v>189</v>
      </c>
    </row>
    <row r="68" spans="1:8" x14ac:dyDescent="0.2">
      <c r="A68" s="1" t="s">
        <v>190</v>
      </c>
    </row>
    <row r="69" spans="1:8" x14ac:dyDescent="0.2">
      <c r="F69" s="116"/>
      <c r="G69" s="116"/>
      <c r="H69" s="116"/>
    </row>
    <row r="70" spans="1:8" x14ac:dyDescent="0.2">
      <c r="E70" s="407" t="s">
        <v>244</v>
      </c>
      <c r="F70" s="407" t="s">
        <v>243</v>
      </c>
      <c r="G70" s="116" t="s">
        <v>60</v>
      </c>
      <c r="H70" s="116"/>
    </row>
    <row r="71" spans="1:8" x14ac:dyDescent="0.2">
      <c r="E71" s="407" t="s">
        <v>75</v>
      </c>
      <c r="F71" s="407" t="s">
        <v>75</v>
      </c>
      <c r="G71" s="116" t="s">
        <v>111</v>
      </c>
      <c r="H71" s="116"/>
    </row>
    <row r="72" spans="1:8" x14ac:dyDescent="0.2">
      <c r="E72" s="407">
        <v>6</v>
      </c>
      <c r="F72" s="407">
        <v>3</v>
      </c>
      <c r="G72" s="116" t="s">
        <v>62</v>
      </c>
      <c r="H72" s="116"/>
    </row>
    <row r="73" spans="1:8" x14ac:dyDescent="0.2">
      <c r="E73" s="407">
        <f>F73</f>
        <v>5</v>
      </c>
      <c r="F73" s="407">
        <v>5</v>
      </c>
      <c r="G73" s="116" t="s">
        <v>63</v>
      </c>
      <c r="H73" s="116"/>
    </row>
    <row r="74" spans="1:8" x14ac:dyDescent="0.2">
      <c r="E74" s="419">
        <f>-F76</f>
        <v>-1576.2500000000014</v>
      </c>
      <c r="F74" s="407">
        <v>0</v>
      </c>
      <c r="G74" s="116" t="s">
        <v>64</v>
      </c>
      <c r="H74" s="116"/>
    </row>
    <row r="75" spans="1:8" ht="17" thickBot="1" x14ac:dyDescent="0.25">
      <c r="E75" s="407">
        <v>0</v>
      </c>
      <c r="F75" s="407">
        <v>-500</v>
      </c>
      <c r="G75" s="116" t="s">
        <v>65</v>
      </c>
      <c r="H75" s="116"/>
    </row>
    <row r="76" spans="1:8" ht="17" thickBot="1" x14ac:dyDescent="0.25">
      <c r="E76" s="420">
        <f>FV(E73/100,E72,E75,E74)</f>
        <v>2112.3257535351581</v>
      </c>
      <c r="F76" s="418">
        <f>FV(F73/100,F72,F75,F74)</f>
        <v>1576.2500000000014</v>
      </c>
      <c r="G76" s="116" t="s">
        <v>66</v>
      </c>
      <c r="H76" s="116" t="s">
        <v>77</v>
      </c>
    </row>
    <row r="77" spans="1:8" x14ac:dyDescent="0.2">
      <c r="E77" s="219" t="s">
        <v>245</v>
      </c>
      <c r="F77" s="218" t="s">
        <v>242</v>
      </c>
      <c r="G77" s="115"/>
    </row>
    <row r="79" spans="1:8" x14ac:dyDescent="0.2">
      <c r="C79" s="1" t="s">
        <v>246</v>
      </c>
      <c r="D79" s="421">
        <f>E76</f>
        <v>2112.3257535351581</v>
      </c>
      <c r="F79" s="404" t="s">
        <v>247</v>
      </c>
      <c r="G79" s="1" t="s">
        <v>248</v>
      </c>
    </row>
    <row r="84" spans="1:7" x14ac:dyDescent="0.2">
      <c r="D84" s="32">
        <f>D79</f>
        <v>2112.3257535351581</v>
      </c>
    </row>
    <row r="87" spans="1:7" x14ac:dyDescent="0.2">
      <c r="E87" s="1" t="s">
        <v>251</v>
      </c>
      <c r="G87" s="1" t="s">
        <v>249</v>
      </c>
    </row>
    <row r="88" spans="1:7" x14ac:dyDescent="0.2">
      <c r="E88" s="1" t="s">
        <v>252</v>
      </c>
      <c r="G88" s="1" t="s">
        <v>250</v>
      </c>
    </row>
    <row r="90" spans="1:7" x14ac:dyDescent="0.2">
      <c r="A90" s="1" t="s">
        <v>255</v>
      </c>
      <c r="F90" s="20" t="s">
        <v>253</v>
      </c>
      <c r="G90" s="1" t="s">
        <v>60</v>
      </c>
    </row>
    <row r="91" spans="1:7" x14ac:dyDescent="0.2">
      <c r="A91" s="1" t="s">
        <v>256</v>
      </c>
      <c r="F91" s="20" t="s">
        <v>75</v>
      </c>
      <c r="G91" s="1" t="s">
        <v>111</v>
      </c>
    </row>
    <row r="92" spans="1:7" x14ac:dyDescent="0.2">
      <c r="A92" s="1" t="s">
        <v>257</v>
      </c>
      <c r="F92" s="20">
        <v>9</v>
      </c>
      <c r="G92" s="1" t="s">
        <v>62</v>
      </c>
    </row>
    <row r="93" spans="1:7" x14ac:dyDescent="0.2">
      <c r="A93" s="1" t="s">
        <v>258</v>
      </c>
      <c r="F93" s="20">
        <v>6</v>
      </c>
      <c r="G93" s="1" t="s">
        <v>63</v>
      </c>
    </row>
    <row r="94" spans="1:7" x14ac:dyDescent="0.2">
      <c r="F94" s="20">
        <v>0</v>
      </c>
      <c r="G94" s="1" t="s">
        <v>64</v>
      </c>
    </row>
    <row r="95" spans="1:7" ht="17" thickBot="1" x14ac:dyDescent="0.25">
      <c r="F95" s="20">
        <v>-800</v>
      </c>
      <c r="G95" s="1" t="s">
        <v>65</v>
      </c>
    </row>
    <row r="96" spans="1:7" ht="17" thickBot="1" x14ac:dyDescent="0.25">
      <c r="F96" s="41">
        <f>FV(F93/100,F92,F95,F94)</f>
        <v>9193.0527867025721</v>
      </c>
      <c r="G96" s="1" t="s">
        <v>66</v>
      </c>
    </row>
    <row r="97" spans="1:8" x14ac:dyDescent="0.2">
      <c r="F97" s="20" t="s">
        <v>254</v>
      </c>
    </row>
    <row r="98" spans="1:8" x14ac:dyDescent="0.2">
      <c r="F98" s="1" t="s">
        <v>259</v>
      </c>
    </row>
    <row r="100" spans="1:8" x14ac:dyDescent="0.2">
      <c r="A100" s="20" t="s">
        <v>263</v>
      </c>
      <c r="B100" s="20" t="s">
        <v>262</v>
      </c>
      <c r="C100" s="1" t="s">
        <v>60</v>
      </c>
      <c r="F100" s="20" t="s">
        <v>260</v>
      </c>
      <c r="G100" s="20" t="s">
        <v>261</v>
      </c>
      <c r="H100" s="1" t="s">
        <v>60</v>
      </c>
    </row>
    <row r="101" spans="1:8" x14ac:dyDescent="0.2">
      <c r="A101" s="20" t="s">
        <v>75</v>
      </c>
      <c r="B101" s="20" t="s">
        <v>75</v>
      </c>
      <c r="C101" s="1" t="s">
        <v>111</v>
      </c>
      <c r="F101" s="20" t="s">
        <v>75</v>
      </c>
      <c r="G101" s="20" t="s">
        <v>75</v>
      </c>
      <c r="H101" s="1" t="s">
        <v>111</v>
      </c>
    </row>
    <row r="102" spans="1:8" x14ac:dyDescent="0.2">
      <c r="A102" s="20">
        <v>3</v>
      </c>
      <c r="B102" s="20">
        <v>6</v>
      </c>
      <c r="C102" s="1" t="s">
        <v>62</v>
      </c>
      <c r="F102" s="20">
        <v>5</v>
      </c>
      <c r="G102" s="20">
        <v>4</v>
      </c>
      <c r="H102" s="1" t="s">
        <v>62</v>
      </c>
    </row>
    <row r="103" spans="1:8" x14ac:dyDescent="0.2">
      <c r="A103" s="20">
        <v>2</v>
      </c>
      <c r="B103" s="20">
        <v>2</v>
      </c>
      <c r="C103" s="1" t="s">
        <v>63</v>
      </c>
      <c r="F103" s="20">
        <v>3</v>
      </c>
      <c r="G103" s="20">
        <v>3</v>
      </c>
      <c r="H103" s="1" t="s">
        <v>63</v>
      </c>
    </row>
    <row r="104" spans="1:8" x14ac:dyDescent="0.2">
      <c r="A104" s="30">
        <f>-B106</f>
        <v>-5677.3088668800028</v>
      </c>
      <c r="B104" s="20">
        <v>0</v>
      </c>
      <c r="C104" s="1" t="s">
        <v>64</v>
      </c>
      <c r="F104" s="30">
        <f>-G106</f>
        <v>-4183.6269999999977</v>
      </c>
      <c r="G104" s="20">
        <v>0</v>
      </c>
      <c r="H104" s="1" t="s">
        <v>64</v>
      </c>
    </row>
    <row r="105" spans="1:8" ht="17" thickBot="1" x14ac:dyDescent="0.25">
      <c r="A105" s="20">
        <v>0</v>
      </c>
      <c r="B105" s="20">
        <v>-900</v>
      </c>
      <c r="C105" s="1" t="s">
        <v>65</v>
      </c>
      <c r="F105" s="20">
        <v>0</v>
      </c>
      <c r="G105" s="20">
        <v>-1000</v>
      </c>
      <c r="H105" s="1" t="s">
        <v>65</v>
      </c>
    </row>
    <row r="106" spans="1:8" ht="17" thickBot="1" x14ac:dyDescent="0.25">
      <c r="A106" s="41">
        <f>FV(A103/100,A102,A105,A104)</f>
        <v>6024.8055880039938</v>
      </c>
      <c r="B106" s="41">
        <f>FV(B103/100,B102,B105,B104)</f>
        <v>5677.3088668800028</v>
      </c>
      <c r="C106" s="1" t="s">
        <v>66</v>
      </c>
      <c r="F106" s="41">
        <f>FV(F103/100,F102,F105,F104)</f>
        <v>4849.9703176414823</v>
      </c>
      <c r="G106" s="41">
        <f>FV(G103/100,G102,G105,G104)</f>
        <v>4183.6269999999977</v>
      </c>
      <c r="H106" s="1" t="s">
        <v>66</v>
      </c>
    </row>
    <row r="107" spans="1:8" x14ac:dyDescent="0.2">
      <c r="A107" s="20" t="s">
        <v>265</v>
      </c>
      <c r="F107" s="20" t="s">
        <v>264</v>
      </c>
    </row>
    <row r="108" spans="1:8" x14ac:dyDescent="0.2">
      <c r="A108" s="20" t="s">
        <v>252</v>
      </c>
      <c r="F108" s="20" t="s">
        <v>252</v>
      </c>
    </row>
    <row r="111" spans="1:8" x14ac:dyDescent="0.2">
      <c r="A111" s="5" t="s">
        <v>202</v>
      </c>
      <c r="B111" s="5"/>
      <c r="C111" s="5"/>
      <c r="D111" s="5"/>
      <c r="E111" s="5"/>
      <c r="F111" s="5"/>
      <c r="G111" s="5"/>
      <c r="H111" s="40" t="s">
        <v>181</v>
      </c>
    </row>
    <row r="112" spans="1:8" x14ac:dyDescent="0.2">
      <c r="A112" s="1" t="s">
        <v>182</v>
      </c>
    </row>
    <row r="114" spans="1:4" x14ac:dyDescent="0.2">
      <c r="A114" s="11" t="s">
        <v>170</v>
      </c>
      <c r="B114" s="11" t="s">
        <v>175</v>
      </c>
      <c r="C114" s="11" t="s">
        <v>176</v>
      </c>
      <c r="D114" s="11" t="s">
        <v>177</v>
      </c>
    </row>
    <row r="115" spans="1:4" x14ac:dyDescent="0.2">
      <c r="A115" s="11" t="s">
        <v>171</v>
      </c>
      <c r="B115" s="38">
        <v>4000</v>
      </c>
      <c r="C115" s="11">
        <v>5</v>
      </c>
      <c r="D115" s="39">
        <v>0.09</v>
      </c>
    </row>
    <row r="116" spans="1:4" x14ac:dyDescent="0.2">
      <c r="A116" s="11" t="s">
        <v>172</v>
      </c>
      <c r="B116" s="38">
        <v>5000</v>
      </c>
      <c r="C116" s="11">
        <v>3</v>
      </c>
      <c r="D116" s="39">
        <v>7.0000000000000007E-2</v>
      </c>
    </row>
    <row r="117" spans="1:4" x14ac:dyDescent="0.2">
      <c r="A117" s="11" t="s">
        <v>173</v>
      </c>
      <c r="B117" s="38">
        <v>7000</v>
      </c>
      <c r="C117" s="11">
        <v>7</v>
      </c>
      <c r="D117" s="39">
        <v>0.11</v>
      </c>
    </row>
    <row r="118" spans="1:4" x14ac:dyDescent="0.2">
      <c r="A118" s="11" t="s">
        <v>174</v>
      </c>
      <c r="B118" s="38">
        <v>12000</v>
      </c>
      <c r="C118" s="11">
        <v>12</v>
      </c>
      <c r="D118" s="39">
        <v>0.05</v>
      </c>
    </row>
    <row r="120" spans="1:4" x14ac:dyDescent="0.2">
      <c r="A120" s="404" t="s">
        <v>3004</v>
      </c>
    </row>
    <row r="121" spans="1:4" x14ac:dyDescent="0.2">
      <c r="A121" s="1" t="s">
        <v>183</v>
      </c>
    </row>
    <row r="122" spans="1:4" x14ac:dyDescent="0.2">
      <c r="A122" s="1" t="s">
        <v>184</v>
      </c>
    </row>
    <row r="123" spans="1:4" x14ac:dyDescent="0.2">
      <c r="A123" s="1" t="s">
        <v>185</v>
      </c>
    </row>
    <row r="125" spans="1:4" x14ac:dyDescent="0.2">
      <c r="A125" s="1" t="s">
        <v>146</v>
      </c>
    </row>
    <row r="126" spans="1:4" x14ac:dyDescent="0.2">
      <c r="A126" s="1" t="s">
        <v>266</v>
      </c>
    </row>
    <row r="127" spans="1:4" x14ac:dyDescent="0.2">
      <c r="A127" s="1" t="s">
        <v>267</v>
      </c>
    </row>
    <row r="129" spans="1:7" x14ac:dyDescent="0.2">
      <c r="C129" s="20">
        <v>5</v>
      </c>
      <c r="D129" s="20"/>
      <c r="E129" s="20"/>
      <c r="F129" s="20">
        <v>1</v>
      </c>
      <c r="G129" s="20">
        <v>0</v>
      </c>
    </row>
    <row r="130" spans="1:7" x14ac:dyDescent="0.2">
      <c r="A130" s="1" t="s">
        <v>268</v>
      </c>
      <c r="C130" s="20"/>
      <c r="D130" s="20"/>
      <c r="E130" s="20"/>
      <c r="F130" s="20"/>
      <c r="G130" s="20"/>
    </row>
    <row r="131" spans="1:7" x14ac:dyDescent="0.2">
      <c r="C131" s="20"/>
      <c r="D131" s="20"/>
      <c r="E131" s="20"/>
      <c r="F131" s="20"/>
      <c r="G131" s="20"/>
    </row>
    <row r="132" spans="1:7" x14ac:dyDescent="0.2">
      <c r="C132" s="20"/>
      <c r="D132" s="20"/>
      <c r="E132" s="20"/>
      <c r="F132" s="20"/>
      <c r="G132" s="20"/>
    </row>
    <row r="133" spans="1:7" x14ac:dyDescent="0.2">
      <c r="A133" s="1" t="s">
        <v>269</v>
      </c>
      <c r="C133" s="20">
        <v>5</v>
      </c>
      <c r="D133" s="20">
        <v>4</v>
      </c>
      <c r="E133" s="20"/>
      <c r="F133" s="20">
        <v>1</v>
      </c>
      <c r="G133" s="20">
        <v>0</v>
      </c>
    </row>
    <row r="134" spans="1:7" x14ac:dyDescent="0.2">
      <c r="C134" s="20"/>
      <c r="D134" s="20"/>
      <c r="E134" s="20"/>
      <c r="F134" s="20"/>
      <c r="G134" s="20"/>
    </row>
    <row r="135" spans="1:7" x14ac:dyDescent="0.2">
      <c r="C135" s="20" t="s">
        <v>270</v>
      </c>
      <c r="D135" s="20"/>
      <c r="E135" s="20"/>
      <c r="F135" s="20"/>
      <c r="G135" s="20"/>
    </row>
    <row r="137" spans="1:7" x14ac:dyDescent="0.2">
      <c r="A137" s="1" t="s">
        <v>273</v>
      </c>
      <c r="E137" s="423" t="s">
        <v>272</v>
      </c>
      <c r="F137" s="27" t="s">
        <v>271</v>
      </c>
      <c r="G137" s="10" t="s">
        <v>60</v>
      </c>
    </row>
    <row r="138" spans="1:7" x14ac:dyDescent="0.2">
      <c r="A138" s="1" t="s">
        <v>274</v>
      </c>
      <c r="E138" s="407" t="s">
        <v>75</v>
      </c>
      <c r="F138" s="407" t="s">
        <v>75</v>
      </c>
      <c r="G138" s="1" t="s">
        <v>111</v>
      </c>
    </row>
    <row r="139" spans="1:7" x14ac:dyDescent="0.2">
      <c r="A139" s="1" t="s">
        <v>275</v>
      </c>
      <c r="E139" s="407">
        <v>1</v>
      </c>
      <c r="F139" s="407">
        <v>5</v>
      </c>
      <c r="G139" s="1" t="s">
        <v>62</v>
      </c>
    </row>
    <row r="140" spans="1:7" x14ac:dyDescent="0.2">
      <c r="A140" s="1" t="s">
        <v>276</v>
      </c>
      <c r="E140" s="407">
        <v>9</v>
      </c>
      <c r="F140" s="407">
        <v>9</v>
      </c>
      <c r="G140" s="1" t="s">
        <v>63</v>
      </c>
    </row>
    <row r="141" spans="1:7" x14ac:dyDescent="0.2">
      <c r="A141" s="1" t="s">
        <v>277</v>
      </c>
      <c r="E141" s="419">
        <f>-F143</f>
        <v>-23938.842440000022</v>
      </c>
      <c r="F141" s="407">
        <v>0</v>
      </c>
      <c r="G141" s="1" t="s">
        <v>64</v>
      </c>
    </row>
    <row r="142" spans="1:7" ht="17" thickBot="1" x14ac:dyDescent="0.25">
      <c r="E142" s="407">
        <v>0</v>
      </c>
      <c r="F142" s="407">
        <v>-4000</v>
      </c>
      <c r="G142" s="1" t="s">
        <v>65</v>
      </c>
    </row>
    <row r="143" spans="1:7" ht="17" thickBot="1" x14ac:dyDescent="0.25">
      <c r="E143" s="418">
        <f>FV(E140/100,E139,E142,E141)</f>
        <v>26093.338259600027</v>
      </c>
      <c r="F143" s="418">
        <f>FV(F140/100,F139,F142,F141)</f>
        <v>23938.842440000022</v>
      </c>
      <c r="G143" s="1" t="s">
        <v>66</v>
      </c>
    </row>
    <row r="144" spans="1:7" x14ac:dyDescent="0.2">
      <c r="E144" s="417" t="s">
        <v>245</v>
      </c>
      <c r="F144" s="422"/>
    </row>
    <row r="146" spans="1:7" x14ac:dyDescent="0.2">
      <c r="A146" s="1" t="s">
        <v>278</v>
      </c>
      <c r="F146" s="27" t="s">
        <v>271</v>
      </c>
      <c r="G146" s="10" t="s">
        <v>60</v>
      </c>
    </row>
    <row r="147" spans="1:7" x14ac:dyDescent="0.2">
      <c r="A147" s="1" t="s">
        <v>279</v>
      </c>
      <c r="F147" s="46" t="s">
        <v>152</v>
      </c>
      <c r="G147" s="1" t="s">
        <v>111</v>
      </c>
    </row>
    <row r="148" spans="1:7" x14ac:dyDescent="0.2">
      <c r="F148" s="20">
        <v>5</v>
      </c>
      <c r="G148" s="1" t="s">
        <v>62</v>
      </c>
    </row>
    <row r="149" spans="1:7" x14ac:dyDescent="0.2">
      <c r="A149" s="1" t="s">
        <v>280</v>
      </c>
      <c r="F149" s="20">
        <v>9</v>
      </c>
      <c r="G149" s="1" t="s">
        <v>63</v>
      </c>
    </row>
    <row r="150" spans="1:7" x14ac:dyDescent="0.2">
      <c r="A150" s="1" t="s">
        <v>281</v>
      </c>
      <c r="F150" s="20">
        <v>0</v>
      </c>
      <c r="G150" s="1" t="s">
        <v>64</v>
      </c>
    </row>
    <row r="151" spans="1:7" ht="17" thickBot="1" x14ac:dyDescent="0.25">
      <c r="A151" s="1" t="s">
        <v>282</v>
      </c>
      <c r="F151" s="20">
        <v>-4000</v>
      </c>
      <c r="G151" s="1" t="s">
        <v>65</v>
      </c>
    </row>
    <row r="152" spans="1:7" ht="17" thickBot="1" x14ac:dyDescent="0.25">
      <c r="A152" s="1" t="s">
        <v>283</v>
      </c>
      <c r="F152" s="47">
        <f>FV(F149/100,F148,F151,F150,1)</f>
        <v>26093.338259600027</v>
      </c>
      <c r="G152" s="1" t="s">
        <v>66</v>
      </c>
    </row>
    <row r="153" spans="1:7" x14ac:dyDescent="0.2">
      <c r="A153" s="1" t="s">
        <v>284</v>
      </c>
      <c r="F153" s="20" t="s">
        <v>245</v>
      </c>
    </row>
    <row r="154" spans="1:7" x14ac:dyDescent="0.2">
      <c r="A154" s="1" t="s">
        <v>285</v>
      </c>
    </row>
    <row r="155" spans="1:7" x14ac:dyDescent="0.2">
      <c r="A155" s="1" t="s">
        <v>286</v>
      </c>
    </row>
    <row r="157" spans="1:7" x14ac:dyDescent="0.2">
      <c r="E157" s="27" t="s">
        <v>287</v>
      </c>
      <c r="F157" s="27" t="s">
        <v>288</v>
      </c>
      <c r="G157" s="10" t="s">
        <v>60</v>
      </c>
    </row>
    <row r="158" spans="1:7" x14ac:dyDescent="0.2">
      <c r="E158" s="20" t="s">
        <v>75</v>
      </c>
      <c r="F158" s="20" t="s">
        <v>75</v>
      </c>
      <c r="G158" s="1" t="s">
        <v>111</v>
      </c>
    </row>
    <row r="159" spans="1:7" x14ac:dyDescent="0.2">
      <c r="E159" s="20">
        <v>1</v>
      </c>
      <c r="F159" s="20">
        <v>3</v>
      </c>
      <c r="G159" s="1" t="s">
        <v>62</v>
      </c>
    </row>
    <row r="160" spans="1:7" x14ac:dyDescent="0.2">
      <c r="E160" s="20">
        <v>7</v>
      </c>
      <c r="F160" s="20">
        <v>7</v>
      </c>
      <c r="G160" s="1" t="s">
        <v>63</v>
      </c>
    </row>
    <row r="161" spans="5:7" x14ac:dyDescent="0.2">
      <c r="E161" s="30">
        <f>-F163</f>
        <v>-16074.500000000005</v>
      </c>
      <c r="F161" s="20">
        <v>0</v>
      </c>
      <c r="G161" s="1" t="s">
        <v>64</v>
      </c>
    </row>
    <row r="162" spans="5:7" ht="17" thickBot="1" x14ac:dyDescent="0.25">
      <c r="E162" s="20">
        <v>0</v>
      </c>
      <c r="F162" s="20">
        <v>-5000</v>
      </c>
      <c r="G162" s="1" t="s">
        <v>65</v>
      </c>
    </row>
    <row r="163" spans="5:7" ht="17" thickBot="1" x14ac:dyDescent="0.25">
      <c r="E163" s="41">
        <f>FV(E160/100,E159,E162,E161)</f>
        <v>17199.715000000007</v>
      </c>
      <c r="F163" s="41">
        <f>FV(F160/100,F159,F162,F161)</f>
        <v>16074.500000000005</v>
      </c>
      <c r="G163" s="1" t="s">
        <v>66</v>
      </c>
    </row>
    <row r="164" spans="5:7" x14ac:dyDescent="0.2">
      <c r="E164" s="20" t="s">
        <v>245</v>
      </c>
    </row>
    <row r="194" spans="1:8" x14ac:dyDescent="0.2">
      <c r="A194" s="5" t="s">
        <v>1824</v>
      </c>
      <c r="B194" s="5"/>
      <c r="C194" s="5"/>
      <c r="D194" s="5"/>
      <c r="E194" s="5"/>
      <c r="F194" s="5"/>
      <c r="G194" s="5"/>
      <c r="H194" s="5">
        <v>1.7</v>
      </c>
    </row>
    <row r="195" spans="1:8" x14ac:dyDescent="0.2">
      <c r="A195" s="1" t="s">
        <v>203</v>
      </c>
    </row>
    <row r="196" spans="1:8" x14ac:dyDescent="0.2">
      <c r="A196" s="1" t="s">
        <v>204</v>
      </c>
    </row>
    <row r="197" spans="1:8" x14ac:dyDescent="0.2">
      <c r="A197" s="1" t="s">
        <v>1825</v>
      </c>
    </row>
    <row r="199" spans="1:8" x14ac:dyDescent="0.2">
      <c r="A199" s="1" t="s">
        <v>205</v>
      </c>
    </row>
    <row r="201" spans="1:8" x14ac:dyDescent="0.2">
      <c r="A201" s="115"/>
      <c r="B201" s="48" t="s">
        <v>1826</v>
      </c>
      <c r="C201" s="116"/>
      <c r="D201" s="48" t="s">
        <v>303</v>
      </c>
      <c r="E201" s="48" t="s">
        <v>301</v>
      </c>
      <c r="F201" s="48" t="s">
        <v>302</v>
      </c>
      <c r="G201" s="48" t="s">
        <v>300</v>
      </c>
    </row>
    <row r="202" spans="1:8" x14ac:dyDescent="0.2">
      <c r="A202" s="115"/>
      <c r="B202" s="48">
        <v>47</v>
      </c>
      <c r="C202" s="48"/>
      <c r="D202" s="48">
        <v>23</v>
      </c>
      <c r="E202" s="48">
        <v>22</v>
      </c>
      <c r="F202" s="48">
        <v>1</v>
      </c>
      <c r="G202" s="48">
        <v>0</v>
      </c>
    </row>
    <row r="203" spans="1:8" x14ac:dyDescent="0.2">
      <c r="A203" s="115"/>
      <c r="B203" s="218"/>
      <c r="C203" s="218"/>
      <c r="D203" s="218"/>
      <c r="E203" s="116"/>
      <c r="F203" s="116"/>
      <c r="G203" s="48"/>
    </row>
    <row r="204" spans="1:8" x14ac:dyDescent="0.2">
      <c r="A204" s="115"/>
      <c r="B204" s="218"/>
      <c r="C204" s="218"/>
      <c r="D204" s="218"/>
      <c r="E204" s="116"/>
      <c r="F204" s="116"/>
      <c r="G204" s="48"/>
    </row>
    <row r="205" spans="1:8" x14ac:dyDescent="0.2">
      <c r="A205" s="115"/>
      <c r="B205" s="209" t="s">
        <v>308</v>
      </c>
      <c r="C205" s="48"/>
      <c r="D205" s="48"/>
      <c r="E205" s="134" t="s">
        <v>304</v>
      </c>
      <c r="F205" s="116"/>
      <c r="G205" s="116"/>
    </row>
    <row r="206" spans="1:8" x14ac:dyDescent="0.2">
      <c r="A206" s="115"/>
      <c r="B206" s="116" t="s">
        <v>309</v>
      </c>
      <c r="C206" s="119">
        <v>19000</v>
      </c>
      <c r="D206" s="116"/>
      <c r="E206" s="116" t="s">
        <v>305</v>
      </c>
      <c r="F206" s="48" t="s">
        <v>306</v>
      </c>
      <c r="G206" s="116"/>
    </row>
    <row r="207" spans="1:8" x14ac:dyDescent="0.2">
      <c r="A207" s="115"/>
      <c r="B207" s="116" t="s">
        <v>310</v>
      </c>
      <c r="C207" s="48">
        <v>25</v>
      </c>
      <c r="D207" s="115"/>
      <c r="E207" s="116" t="s">
        <v>307</v>
      </c>
      <c r="F207" s="48">
        <v>22</v>
      </c>
      <c r="G207" s="116"/>
    </row>
    <row r="208" spans="1:8" x14ac:dyDescent="0.2">
      <c r="A208" s="115"/>
      <c r="B208" s="116" t="s">
        <v>216</v>
      </c>
      <c r="C208" s="220">
        <v>0.06</v>
      </c>
      <c r="D208" s="115"/>
      <c r="E208" s="116" t="s">
        <v>216</v>
      </c>
      <c r="F208" s="220">
        <v>0.06</v>
      </c>
      <c r="G208" s="116"/>
    </row>
    <row r="209" spans="1:9" x14ac:dyDescent="0.2">
      <c r="A209" s="115"/>
      <c r="B209" s="115"/>
      <c r="C209" s="115"/>
      <c r="D209" s="115"/>
      <c r="E209" s="115"/>
      <c r="F209" s="115"/>
      <c r="G209" s="115"/>
    </row>
    <row r="210" spans="1:9" x14ac:dyDescent="0.2">
      <c r="A210" s="115"/>
      <c r="B210" s="115"/>
      <c r="C210" s="115"/>
      <c r="D210" s="116" t="s">
        <v>1828</v>
      </c>
      <c r="E210" s="115"/>
      <c r="F210" s="115"/>
      <c r="G210" s="115"/>
    </row>
    <row r="211" spans="1:9" x14ac:dyDescent="0.2">
      <c r="A211" s="115"/>
      <c r="B211" s="116"/>
      <c r="C211" s="115"/>
      <c r="D211" s="115"/>
      <c r="E211" s="115"/>
      <c r="F211" s="115"/>
      <c r="G211" s="115"/>
    </row>
    <row r="212" spans="1:9" x14ac:dyDescent="0.2">
      <c r="A212" s="221" t="s">
        <v>1827</v>
      </c>
      <c r="B212" s="115"/>
      <c r="C212" s="115"/>
      <c r="D212" s="115"/>
      <c r="E212" s="115"/>
      <c r="F212" s="221" t="s">
        <v>1829</v>
      </c>
      <c r="G212" s="222"/>
      <c r="H212" s="86"/>
      <c r="I212" s="86"/>
    </row>
    <row r="213" spans="1:9" x14ac:dyDescent="0.2">
      <c r="A213" s="115"/>
      <c r="B213" s="115"/>
      <c r="C213" s="115"/>
      <c r="D213" s="115"/>
      <c r="E213" s="115"/>
      <c r="F213" s="116" t="s">
        <v>1830</v>
      </c>
      <c r="G213" s="116"/>
      <c r="H213" s="116"/>
      <c r="I213" s="116"/>
    </row>
    <row r="214" spans="1:9" x14ac:dyDescent="0.2">
      <c r="A214" s="115"/>
      <c r="B214" s="115"/>
      <c r="C214" s="115"/>
      <c r="D214" s="115"/>
      <c r="E214" s="115"/>
      <c r="F214" s="116" t="s">
        <v>1831</v>
      </c>
      <c r="G214" s="116"/>
      <c r="H214" s="116"/>
      <c r="I214" s="116"/>
    </row>
    <row r="215" spans="1:9" x14ac:dyDescent="0.2">
      <c r="A215" s="115"/>
      <c r="B215" s="115"/>
      <c r="C215" s="115"/>
      <c r="D215" s="115"/>
      <c r="E215" s="115"/>
      <c r="F215" s="116"/>
      <c r="G215" s="116"/>
      <c r="H215" s="116"/>
      <c r="I215" s="116"/>
    </row>
    <row r="216" spans="1:9" x14ac:dyDescent="0.2">
      <c r="A216" s="115"/>
      <c r="B216" s="115"/>
      <c r="C216" s="115"/>
      <c r="D216" s="115"/>
      <c r="E216" s="115"/>
      <c r="F216" s="116"/>
      <c r="G216" s="116"/>
      <c r="H216" s="116"/>
      <c r="I216" s="116"/>
    </row>
    <row r="217" spans="1:9" x14ac:dyDescent="0.2">
      <c r="A217" s="115"/>
      <c r="B217" s="115"/>
      <c r="C217" s="115"/>
      <c r="D217" s="115"/>
      <c r="E217" s="115"/>
      <c r="F217" s="115"/>
      <c r="G217" s="115"/>
    </row>
    <row r="218" spans="1:9" x14ac:dyDescent="0.2">
      <c r="D218" s="115"/>
      <c r="E218" s="115"/>
      <c r="F218" s="115"/>
      <c r="G218" s="115"/>
    </row>
    <row r="219" spans="1:9" x14ac:dyDescent="0.2">
      <c r="D219" s="115"/>
      <c r="E219" s="116"/>
      <c r="F219" s="135"/>
      <c r="G219" s="115"/>
    </row>
    <row r="220" spans="1:9" x14ac:dyDescent="0.2">
      <c r="D220" s="115"/>
      <c r="E220" s="115"/>
      <c r="F220" s="223" t="s">
        <v>1832</v>
      </c>
      <c r="G220" s="116"/>
      <c r="H220" s="116"/>
      <c r="I220" s="116"/>
    </row>
    <row r="221" spans="1:9" x14ac:dyDescent="0.2">
      <c r="D221" s="115"/>
      <c r="E221" s="115"/>
      <c r="F221" s="223" t="s">
        <v>1833</v>
      </c>
      <c r="G221" s="116"/>
      <c r="H221" s="116"/>
      <c r="I221" s="116"/>
    </row>
    <row r="222" spans="1:9" x14ac:dyDescent="0.2">
      <c r="D222" s="115"/>
      <c r="E222" s="115"/>
      <c r="F222" s="116"/>
      <c r="G222" s="116"/>
      <c r="H222" s="116"/>
      <c r="I222" s="116"/>
    </row>
    <row r="223" spans="1:9" x14ac:dyDescent="0.2">
      <c r="D223" s="115"/>
      <c r="E223" s="115"/>
      <c r="F223" s="116"/>
      <c r="G223" s="116"/>
      <c r="H223" s="116"/>
    </row>
    <row r="224" spans="1:9" x14ac:dyDescent="0.2">
      <c r="D224" s="115"/>
      <c r="E224" s="115"/>
      <c r="F224" s="116" t="s">
        <v>1834</v>
      </c>
      <c r="G224" s="116"/>
      <c r="H224" s="116"/>
    </row>
    <row r="225" spans="1:8" x14ac:dyDescent="0.2">
      <c r="A225" s="115"/>
      <c r="B225" s="115"/>
      <c r="C225" s="115"/>
      <c r="D225" s="115"/>
      <c r="E225" s="115"/>
      <c r="F225" s="116"/>
      <c r="G225" s="116"/>
      <c r="H225" s="116"/>
    </row>
    <row r="226" spans="1:8" x14ac:dyDescent="0.2">
      <c r="A226" s="27" t="s">
        <v>315</v>
      </c>
      <c r="B226" s="10" t="s">
        <v>60</v>
      </c>
      <c r="D226" s="115"/>
      <c r="E226" s="115"/>
      <c r="F226" s="27" t="s">
        <v>316</v>
      </c>
      <c r="G226" s="10" t="s">
        <v>60</v>
      </c>
    </row>
    <row r="227" spans="1:8" x14ac:dyDescent="0.2">
      <c r="A227" s="20" t="s">
        <v>75</v>
      </c>
      <c r="B227" s="1" t="s">
        <v>111</v>
      </c>
      <c r="D227" s="115"/>
      <c r="E227" s="115"/>
      <c r="F227" s="20" t="s">
        <v>75</v>
      </c>
      <c r="G227" s="1" t="s">
        <v>111</v>
      </c>
    </row>
    <row r="228" spans="1:8" x14ac:dyDescent="0.2">
      <c r="A228" s="20">
        <v>25</v>
      </c>
      <c r="B228" s="1" t="s">
        <v>62</v>
      </c>
      <c r="D228" s="115"/>
      <c r="E228" s="115"/>
      <c r="F228" s="20">
        <v>22</v>
      </c>
      <c r="G228" s="1" t="s">
        <v>62</v>
      </c>
    </row>
    <row r="229" spans="1:8" x14ac:dyDescent="0.2">
      <c r="A229" s="20">
        <v>6</v>
      </c>
      <c r="B229" s="1" t="s">
        <v>63</v>
      </c>
      <c r="D229" s="115"/>
      <c r="E229" s="115"/>
      <c r="F229" s="20">
        <v>6</v>
      </c>
      <c r="G229" s="1" t="s">
        <v>63</v>
      </c>
    </row>
    <row r="230" spans="1:8" x14ac:dyDescent="0.2">
      <c r="A230" s="50">
        <f>PV(A229/100,A228,A231,A232)</f>
        <v>-242883.76700709984</v>
      </c>
      <c r="B230" s="1" t="s">
        <v>64</v>
      </c>
      <c r="C230" s="1" t="s">
        <v>77</v>
      </c>
      <c r="D230" s="115"/>
      <c r="E230" s="115"/>
      <c r="F230" s="48">
        <v>0</v>
      </c>
      <c r="G230" s="1" t="s">
        <v>64</v>
      </c>
      <c r="H230" s="1" t="s">
        <v>1836</v>
      </c>
    </row>
    <row r="231" spans="1:8" ht="23" x14ac:dyDescent="0.25">
      <c r="A231" s="20">
        <v>19000</v>
      </c>
      <c r="B231" s="1" t="s">
        <v>65</v>
      </c>
      <c r="D231" s="115"/>
      <c r="E231" s="115"/>
      <c r="F231" s="224">
        <v>-5598</v>
      </c>
      <c r="G231" s="1" t="s">
        <v>65</v>
      </c>
      <c r="H231" s="212" t="s">
        <v>77</v>
      </c>
    </row>
    <row r="232" spans="1:8" x14ac:dyDescent="0.2">
      <c r="A232" s="20">
        <v>0</v>
      </c>
      <c r="B232" s="1" t="s">
        <v>66</v>
      </c>
      <c r="D232" s="115"/>
      <c r="E232" s="115"/>
      <c r="F232" s="50">
        <f>-A230</f>
        <v>242883.76700709984</v>
      </c>
      <c r="G232" s="1" t="s">
        <v>1835</v>
      </c>
    </row>
    <row r="233" spans="1:8" x14ac:dyDescent="0.2">
      <c r="A233" s="115"/>
      <c r="B233" s="115"/>
      <c r="C233" s="115"/>
      <c r="D233" s="115"/>
      <c r="E233" s="115"/>
      <c r="F233" s="115"/>
      <c r="G233" s="115"/>
    </row>
    <row r="234" spans="1:8" x14ac:dyDescent="0.2">
      <c r="A234" s="115"/>
      <c r="B234" s="115"/>
      <c r="C234" s="115"/>
      <c r="D234" s="115"/>
      <c r="E234" s="115"/>
      <c r="F234" s="115"/>
      <c r="G234" s="115"/>
    </row>
    <row r="235" spans="1:8" x14ac:dyDescent="0.2">
      <c r="A235" s="1" t="s">
        <v>311</v>
      </c>
    </row>
    <row r="236" spans="1:8" x14ac:dyDescent="0.2">
      <c r="A236" s="1" t="s">
        <v>312</v>
      </c>
    </row>
    <row r="237" spans="1:8" x14ac:dyDescent="0.2">
      <c r="A237" s="1" t="s">
        <v>313</v>
      </c>
    </row>
    <row r="238" spans="1:8" x14ac:dyDescent="0.2">
      <c r="A238" s="1" t="s">
        <v>314</v>
      </c>
    </row>
    <row r="241" spans="1:10" x14ac:dyDescent="0.2">
      <c r="A241" s="1" t="s">
        <v>317</v>
      </c>
    </row>
    <row r="242" spans="1:10" x14ac:dyDescent="0.2">
      <c r="A242" s="1" t="s">
        <v>318</v>
      </c>
      <c r="G242" s="27" t="s">
        <v>316</v>
      </c>
      <c r="H242" s="27" t="s">
        <v>315</v>
      </c>
      <c r="I242" s="10" t="s">
        <v>60</v>
      </c>
    </row>
    <row r="243" spans="1:10" x14ac:dyDescent="0.2">
      <c r="A243" s="1" t="s">
        <v>319</v>
      </c>
      <c r="G243" s="20" t="s">
        <v>75</v>
      </c>
      <c r="H243" s="20" t="s">
        <v>75</v>
      </c>
      <c r="I243" s="1" t="s">
        <v>111</v>
      </c>
    </row>
    <row r="244" spans="1:10" x14ac:dyDescent="0.2">
      <c r="A244" s="1" t="s">
        <v>320</v>
      </c>
      <c r="G244" s="20">
        <v>22</v>
      </c>
      <c r="H244" s="20">
        <v>25</v>
      </c>
      <c r="I244" s="1" t="s">
        <v>62</v>
      </c>
    </row>
    <row r="245" spans="1:10" x14ac:dyDescent="0.2">
      <c r="A245" s="1" t="s">
        <v>321</v>
      </c>
      <c r="G245" s="20">
        <v>6</v>
      </c>
      <c r="H245" s="20">
        <v>6</v>
      </c>
      <c r="I245" s="1" t="s">
        <v>63</v>
      </c>
    </row>
    <row r="246" spans="1:10" ht="17" thickBot="1" x14ac:dyDescent="0.25">
      <c r="G246" s="20">
        <v>0</v>
      </c>
      <c r="H246" s="50">
        <f>PV(H245/100,H244,H247,H248)</f>
        <v>-242883.76700709984</v>
      </c>
      <c r="I246" s="1" t="s">
        <v>64</v>
      </c>
      <c r="J246" s="1" t="s">
        <v>77</v>
      </c>
    </row>
    <row r="247" spans="1:10" ht="17" thickBot="1" x14ac:dyDescent="0.25">
      <c r="F247" s="7" t="s">
        <v>245</v>
      </c>
      <c r="G247" s="53">
        <f>PMT(G245/100,G244,G246,G248)</f>
        <v>-5597.3945016616299</v>
      </c>
      <c r="H247" s="20">
        <v>19000</v>
      </c>
      <c r="I247" s="1" t="s">
        <v>65</v>
      </c>
    </row>
    <row r="248" spans="1:10" x14ac:dyDescent="0.2">
      <c r="G248" s="50">
        <f>-H246</f>
        <v>242883.76700709984</v>
      </c>
      <c r="H248" s="20">
        <v>0</v>
      </c>
      <c r="I248" s="1" t="s">
        <v>66</v>
      </c>
    </row>
    <row r="251" spans="1:10" x14ac:dyDescent="0.2">
      <c r="A251" s="5" t="s">
        <v>206</v>
      </c>
      <c r="B251" s="5"/>
      <c r="C251" s="5"/>
      <c r="D251" s="5"/>
      <c r="E251" s="5"/>
      <c r="F251" s="5"/>
      <c r="G251" s="5"/>
      <c r="H251" s="5">
        <v>1.8</v>
      </c>
    </row>
    <row r="252" spans="1:10" x14ac:dyDescent="0.2">
      <c r="A252" s="1" t="s">
        <v>207</v>
      </c>
    </row>
    <row r="253" spans="1:10" x14ac:dyDescent="0.2">
      <c r="A253" s="1" t="s">
        <v>208</v>
      </c>
    </row>
    <row r="255" spans="1:10" x14ac:dyDescent="0.2">
      <c r="B255" s="1" t="s">
        <v>209</v>
      </c>
      <c r="C255" s="1" t="s">
        <v>210</v>
      </c>
      <c r="D255" s="1" t="s">
        <v>177</v>
      </c>
    </row>
    <row r="256" spans="1:10" x14ac:dyDescent="0.2">
      <c r="B256" s="1">
        <v>1</v>
      </c>
      <c r="C256" s="1">
        <v>3</v>
      </c>
      <c r="D256" s="37">
        <v>0.04</v>
      </c>
    </row>
    <row r="257" spans="1:7" x14ac:dyDescent="0.2">
      <c r="B257" s="1">
        <v>4</v>
      </c>
      <c r="C257" s="1">
        <v>9</v>
      </c>
      <c r="D257" s="37">
        <v>0.02</v>
      </c>
    </row>
    <row r="258" spans="1:7" x14ac:dyDescent="0.2">
      <c r="B258" s="1">
        <v>10</v>
      </c>
      <c r="C258" s="1">
        <v>20</v>
      </c>
      <c r="D258" s="37">
        <v>7.0000000000000007E-2</v>
      </c>
    </row>
    <row r="260" spans="1:7" x14ac:dyDescent="0.2">
      <c r="A260" s="1" t="s">
        <v>289</v>
      </c>
    </row>
    <row r="262" spans="1:7" x14ac:dyDescent="0.2">
      <c r="A262" s="1" t="s">
        <v>211</v>
      </c>
    </row>
    <row r="264" spans="1:7" x14ac:dyDescent="0.2">
      <c r="A264" s="204">
        <v>20</v>
      </c>
      <c r="B264" s="20">
        <v>10</v>
      </c>
      <c r="C264" s="20">
        <v>9</v>
      </c>
      <c r="D264" s="20">
        <v>4</v>
      </c>
      <c r="E264" s="20">
        <v>3</v>
      </c>
      <c r="F264" s="20">
        <v>1</v>
      </c>
      <c r="G264" s="20">
        <v>0</v>
      </c>
    </row>
    <row r="265" spans="1:7" x14ac:dyDescent="0.2">
      <c r="G265" s="20"/>
    </row>
    <row r="266" spans="1:7" x14ac:dyDescent="0.2">
      <c r="G266" s="20"/>
    </row>
    <row r="267" spans="1:7" x14ac:dyDescent="0.2">
      <c r="G267" s="20"/>
    </row>
    <row r="268" spans="1:7" x14ac:dyDescent="0.2">
      <c r="G268" s="20"/>
    </row>
    <row r="269" spans="1:7" x14ac:dyDescent="0.2">
      <c r="G269" s="20"/>
    </row>
    <row r="270" spans="1:7" x14ac:dyDescent="0.2">
      <c r="G270" s="20"/>
    </row>
    <row r="271" spans="1:7" x14ac:dyDescent="0.2">
      <c r="G271" s="20"/>
    </row>
    <row r="278" spans="1:7" x14ac:dyDescent="0.2">
      <c r="A278" s="18" t="s">
        <v>1837</v>
      </c>
    </row>
    <row r="279" spans="1:7" x14ac:dyDescent="0.2">
      <c r="A279" s="1" t="s">
        <v>1838</v>
      </c>
    </row>
    <row r="282" spans="1:7" x14ac:dyDescent="0.2">
      <c r="C282" s="48" t="s">
        <v>291</v>
      </c>
      <c r="D282" s="48" t="s">
        <v>252</v>
      </c>
      <c r="E282" s="20" t="s">
        <v>290</v>
      </c>
      <c r="F282" s="20" t="s">
        <v>60</v>
      </c>
    </row>
    <row r="283" spans="1:7" x14ac:dyDescent="0.2">
      <c r="C283" s="48" t="s">
        <v>75</v>
      </c>
      <c r="D283" s="48" t="s">
        <v>75</v>
      </c>
      <c r="E283" s="48" t="s">
        <v>75</v>
      </c>
      <c r="F283" s="20" t="s">
        <v>111</v>
      </c>
    </row>
    <row r="284" spans="1:7" x14ac:dyDescent="0.2">
      <c r="C284" s="48">
        <v>11</v>
      </c>
      <c r="D284" s="48">
        <v>6</v>
      </c>
      <c r="E284" s="48">
        <v>3</v>
      </c>
      <c r="F284" s="20" t="s">
        <v>62</v>
      </c>
    </row>
    <row r="285" spans="1:7" x14ac:dyDescent="0.2">
      <c r="C285" s="48">
        <v>7</v>
      </c>
      <c r="D285" s="48">
        <v>2</v>
      </c>
      <c r="E285" s="48">
        <v>4</v>
      </c>
      <c r="F285" s="20" t="s">
        <v>63</v>
      </c>
    </row>
    <row r="286" spans="1:7" x14ac:dyDescent="0.2">
      <c r="C286" s="49">
        <f>-D288</f>
        <v>-9.8235495711745084</v>
      </c>
      <c r="D286" s="49">
        <f>-E288</f>
        <v>-3.1216000000000022</v>
      </c>
      <c r="E286" s="48">
        <v>0</v>
      </c>
      <c r="F286" s="20" t="s">
        <v>64</v>
      </c>
    </row>
    <row r="287" spans="1:7" ht="17" thickBot="1" x14ac:dyDescent="0.25">
      <c r="C287" s="48">
        <v>-1</v>
      </c>
      <c r="D287" s="48">
        <v>-1</v>
      </c>
      <c r="E287" s="48">
        <v>-1</v>
      </c>
      <c r="F287" s="20" t="s">
        <v>65</v>
      </c>
    </row>
    <row r="288" spans="1:7" ht="17" thickBot="1" x14ac:dyDescent="0.25">
      <c r="C288" s="225">
        <f>FV(C285/100,C284,C287,C286)</f>
        <v>36.460716811969952</v>
      </c>
      <c r="D288" s="225">
        <f>FV(D285/100,D284,D287,D286)</f>
        <v>9.8235495711745084</v>
      </c>
      <c r="E288" s="225">
        <f>FV(E285/100,E284,E287,E286)</f>
        <v>3.1216000000000022</v>
      </c>
      <c r="F288" s="20" t="s">
        <v>66</v>
      </c>
      <c r="G288" s="22" t="s">
        <v>77</v>
      </c>
    </row>
    <row r="290" spans="1:6" x14ac:dyDescent="0.2">
      <c r="A290" s="1" t="s">
        <v>292</v>
      </c>
    </row>
    <row r="291" spans="1:6" x14ac:dyDescent="0.2">
      <c r="A291" s="1" t="s">
        <v>293</v>
      </c>
    </row>
    <row r="293" spans="1:6" x14ac:dyDescent="0.2">
      <c r="E293" s="1" t="s">
        <v>294</v>
      </c>
    </row>
    <row r="294" spans="1:6" x14ac:dyDescent="0.2">
      <c r="C294" s="1" t="s">
        <v>245</v>
      </c>
      <c r="D294" s="50">
        <f>500000/C288</f>
        <v>13713.389195789245</v>
      </c>
      <c r="E294" s="1" t="s">
        <v>295</v>
      </c>
      <c r="F294" s="18" t="s">
        <v>1839</v>
      </c>
    </row>
    <row r="296" spans="1:6" x14ac:dyDescent="0.2">
      <c r="A296" s="1" t="s">
        <v>296</v>
      </c>
    </row>
    <row r="297" spans="1:6" x14ac:dyDescent="0.2">
      <c r="A297" s="1" t="s">
        <v>297</v>
      </c>
    </row>
    <row r="298" spans="1:6" x14ac:dyDescent="0.2">
      <c r="A298" s="1" t="s">
        <v>298</v>
      </c>
    </row>
    <row r="305" spans="2:2" x14ac:dyDescent="0.2">
      <c r="B305" s="1" t="s">
        <v>299</v>
      </c>
    </row>
  </sheetData>
  <mergeCells count="1">
    <mergeCell ref="A1:H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C0CD2-1963-FD42-AD03-9DBA64B23BBB}">
  <dimension ref="A1:Q417"/>
  <sheetViews>
    <sheetView rightToLeft="1" topLeftCell="A187" zoomScale="200" zoomScaleNormal="160" workbookViewId="0">
      <selection activeCell="H115" sqref="H115"/>
    </sheetView>
  </sheetViews>
  <sheetFormatPr baseColWidth="10" defaultRowHeight="16" x14ac:dyDescent="0.2"/>
  <cols>
    <col min="1" max="4" width="10.83203125" style="1"/>
    <col min="5" max="5" width="11.33203125" style="1" customWidth="1"/>
    <col min="6" max="6" width="10.83203125" style="1"/>
    <col min="7" max="7" width="11.6640625" style="1" bestFit="1" customWidth="1"/>
    <col min="8" max="16384" width="10.83203125" style="1"/>
  </cols>
  <sheetData>
    <row r="1" spans="1:14" x14ac:dyDescent="0.2">
      <c r="A1" s="6" t="s">
        <v>1840</v>
      </c>
      <c r="B1" s="5"/>
      <c r="C1" s="5"/>
      <c r="D1" s="5"/>
      <c r="E1" s="5"/>
      <c r="F1" s="5"/>
      <c r="G1" s="5"/>
      <c r="H1" s="226" t="s">
        <v>3036</v>
      </c>
      <c r="L1" s="52" t="s">
        <v>3037</v>
      </c>
      <c r="M1" s="52"/>
      <c r="N1" s="52"/>
    </row>
    <row r="2" spans="1:14" ht="17" thickBot="1" x14ac:dyDescent="0.25">
      <c r="L2" s="52" t="s">
        <v>3038</v>
      </c>
      <c r="M2" s="52"/>
      <c r="N2" s="52"/>
    </row>
    <row r="3" spans="1:14" x14ac:dyDescent="0.2">
      <c r="A3" s="12" t="s">
        <v>1841</v>
      </c>
      <c r="B3" s="13"/>
      <c r="C3" s="13"/>
      <c r="D3" s="13"/>
      <c r="E3" s="13"/>
      <c r="F3" s="13"/>
      <c r="G3" s="13"/>
      <c r="H3" s="13"/>
      <c r="I3" s="13"/>
      <c r="J3" s="14"/>
    </row>
    <row r="4" spans="1:14" x14ac:dyDescent="0.2">
      <c r="A4" s="72" t="s">
        <v>1846</v>
      </c>
      <c r="J4" s="73"/>
      <c r="L4" s="52" t="s">
        <v>3039</v>
      </c>
      <c r="M4" s="52"/>
      <c r="N4" s="52"/>
    </row>
    <row r="5" spans="1:14" x14ac:dyDescent="0.2">
      <c r="A5" s="72" t="s">
        <v>1842</v>
      </c>
      <c r="J5" s="73"/>
      <c r="L5" s="52" t="s">
        <v>3040</v>
      </c>
      <c r="M5" s="52"/>
      <c r="N5" s="52"/>
    </row>
    <row r="6" spans="1:14" x14ac:dyDescent="0.2">
      <c r="A6" s="227" t="s">
        <v>1847</v>
      </c>
      <c r="B6" s="228"/>
      <c r="C6" s="228"/>
      <c r="D6" s="228"/>
      <c r="E6" s="228"/>
      <c r="F6" s="228"/>
      <c r="G6" s="228"/>
      <c r="H6" s="228"/>
      <c r="I6" s="228"/>
      <c r="J6" s="229"/>
    </row>
    <row r="7" spans="1:14" x14ac:dyDescent="0.2">
      <c r="A7" s="72" t="s">
        <v>1845</v>
      </c>
      <c r="J7" s="73"/>
    </row>
    <row r="8" spans="1:14" x14ac:dyDescent="0.2">
      <c r="A8" s="72" t="s">
        <v>1843</v>
      </c>
      <c r="J8" s="73"/>
    </row>
    <row r="9" spans="1:14" ht="17" thickBot="1" x14ac:dyDescent="0.25">
      <c r="A9" s="15" t="s">
        <v>1844</v>
      </c>
      <c r="B9" s="16"/>
      <c r="C9" s="16"/>
      <c r="D9" s="16"/>
      <c r="E9" s="16"/>
      <c r="F9" s="16"/>
      <c r="G9" s="16"/>
      <c r="H9" s="16"/>
      <c r="I9" s="16"/>
      <c r="J9" s="17"/>
    </row>
    <row r="10" spans="1:14" ht="17" thickBot="1" x14ac:dyDescent="0.25"/>
    <row r="11" spans="1:14" x14ac:dyDescent="0.2">
      <c r="A11" s="12" t="s">
        <v>433</v>
      </c>
      <c r="B11" s="13" t="s">
        <v>1848</v>
      </c>
      <c r="C11" s="13"/>
      <c r="D11" s="13"/>
      <c r="E11" s="13"/>
      <c r="F11" s="13"/>
      <c r="G11" s="13"/>
      <c r="H11" s="13"/>
      <c r="I11" s="13"/>
      <c r="J11" s="14"/>
    </row>
    <row r="12" spans="1:14" ht="17" thickBot="1" x14ac:dyDescent="0.25">
      <c r="A12" s="15"/>
      <c r="B12" s="16" t="s">
        <v>1849</v>
      </c>
      <c r="C12" s="16"/>
      <c r="D12" s="16"/>
      <c r="E12" s="16"/>
      <c r="F12" s="16"/>
      <c r="G12" s="16"/>
      <c r="H12" s="16"/>
      <c r="I12" s="16"/>
      <c r="J12" s="17"/>
    </row>
    <row r="14" spans="1:14" x14ac:dyDescent="0.2">
      <c r="A14" s="1" t="s">
        <v>434</v>
      </c>
      <c r="B14" s="1" t="s">
        <v>435</v>
      </c>
    </row>
    <row r="15" spans="1:14" ht="17" thickBot="1" x14ac:dyDescent="0.25"/>
    <row r="16" spans="1:14" ht="17" thickBot="1" x14ac:dyDescent="0.25">
      <c r="A16" s="60" t="s">
        <v>406</v>
      </c>
      <c r="B16" s="61"/>
      <c r="C16" s="61"/>
      <c r="D16" s="61"/>
      <c r="E16" s="61"/>
      <c r="F16" s="61"/>
      <c r="G16" s="61"/>
      <c r="H16" s="62" t="s">
        <v>387</v>
      </c>
      <c r="I16" s="1" t="s">
        <v>1850</v>
      </c>
    </row>
    <row r="17" spans="1:8" x14ac:dyDescent="0.2">
      <c r="H17" s="406" t="s">
        <v>3005</v>
      </c>
    </row>
    <row r="18" spans="1:8" x14ac:dyDescent="0.2">
      <c r="A18" s="1" t="s">
        <v>388</v>
      </c>
      <c r="H18" s="406" t="s">
        <v>2371</v>
      </c>
    </row>
    <row r="19" spans="1:8" x14ac:dyDescent="0.2">
      <c r="A19" s="404" t="s">
        <v>3008</v>
      </c>
      <c r="H19" s="406" t="s">
        <v>3006</v>
      </c>
    </row>
    <row r="20" spans="1:8" x14ac:dyDescent="0.2">
      <c r="H20" s="406" t="s">
        <v>3007</v>
      </c>
    </row>
    <row r="21" spans="1:8" x14ac:dyDescent="0.2">
      <c r="A21" s="1" t="s">
        <v>389</v>
      </c>
    </row>
    <row r="22" spans="1:8" x14ac:dyDescent="0.2">
      <c r="G22" s="63" t="s">
        <v>449</v>
      </c>
    </row>
    <row r="23" spans="1:8" x14ac:dyDescent="0.2">
      <c r="A23" s="1" t="s">
        <v>146</v>
      </c>
      <c r="D23" s="20" t="s">
        <v>60</v>
      </c>
      <c r="G23" s="1" t="s">
        <v>442</v>
      </c>
    </row>
    <row r="24" spans="1:8" x14ac:dyDescent="0.2">
      <c r="A24" s="18" t="s">
        <v>391</v>
      </c>
      <c r="D24" s="407" t="s">
        <v>75</v>
      </c>
      <c r="E24" s="1" t="s">
        <v>390</v>
      </c>
      <c r="G24" s="1" t="s">
        <v>443</v>
      </c>
    </row>
    <row r="25" spans="1:8" x14ac:dyDescent="0.2">
      <c r="A25" s="1" t="s">
        <v>451</v>
      </c>
      <c r="D25" s="407">
        <v>120</v>
      </c>
      <c r="E25" s="1" t="s">
        <v>62</v>
      </c>
      <c r="G25" s="1" t="s">
        <v>444</v>
      </c>
    </row>
    <row r="26" spans="1:8" x14ac:dyDescent="0.2">
      <c r="A26" s="1" t="s">
        <v>454</v>
      </c>
      <c r="D26" s="407">
        <f>12/12</f>
        <v>1</v>
      </c>
      <c r="E26" s="1" t="s">
        <v>63</v>
      </c>
      <c r="G26" s="1" t="s">
        <v>445</v>
      </c>
    </row>
    <row r="27" spans="1:8" x14ac:dyDescent="0.2">
      <c r="A27" s="1" t="s">
        <v>452</v>
      </c>
      <c r="D27" s="407">
        <f>30000*90%</f>
        <v>27000</v>
      </c>
      <c r="E27" s="1" t="s">
        <v>64</v>
      </c>
      <c r="G27" s="1" t="s">
        <v>446</v>
      </c>
    </row>
    <row r="28" spans="1:8" x14ac:dyDescent="0.2">
      <c r="A28" s="1" t="s">
        <v>455</v>
      </c>
      <c r="D28" s="424">
        <f>PMT(D26/100,D25,D27,D29)</f>
        <v>-387.3715606869859</v>
      </c>
      <c r="E28" s="1" t="s">
        <v>65</v>
      </c>
      <c r="F28" s="1" t="s">
        <v>77</v>
      </c>
      <c r="G28" s="1" t="s">
        <v>447</v>
      </c>
    </row>
    <row r="29" spans="1:8" x14ac:dyDescent="0.2">
      <c r="A29" s="1" t="s">
        <v>453</v>
      </c>
      <c r="D29" s="407">
        <v>0</v>
      </c>
      <c r="E29" s="1" t="s">
        <v>66</v>
      </c>
    </row>
    <row r="30" spans="1:8" x14ac:dyDescent="0.2">
      <c r="G30" s="1" t="s">
        <v>450</v>
      </c>
    </row>
    <row r="31" spans="1:8" x14ac:dyDescent="0.2">
      <c r="A31" s="18" t="s">
        <v>392</v>
      </c>
      <c r="G31" s="1" t="s">
        <v>448</v>
      </c>
    </row>
    <row r="32" spans="1:8" x14ac:dyDescent="0.2">
      <c r="A32" s="1" t="s">
        <v>393</v>
      </c>
    </row>
    <row r="36" spans="1:9" x14ac:dyDescent="0.2">
      <c r="A36" s="1" t="s">
        <v>394</v>
      </c>
    </row>
    <row r="40" spans="1:9" ht="17" thickBot="1" x14ac:dyDescent="0.25"/>
    <row r="41" spans="1:9" ht="17" thickBot="1" x14ac:dyDescent="0.25">
      <c r="A41" s="60" t="s">
        <v>407</v>
      </c>
      <c r="B41" s="61"/>
      <c r="C41" s="61"/>
      <c r="D41" s="61"/>
      <c r="E41" s="61"/>
      <c r="F41" s="61"/>
      <c r="G41" s="61"/>
      <c r="H41" s="62" t="s">
        <v>395</v>
      </c>
      <c r="I41" s="1" t="s">
        <v>1850</v>
      </c>
    </row>
    <row r="43" spans="1:9" x14ac:dyDescent="0.2">
      <c r="A43" s="1" t="s">
        <v>396</v>
      </c>
    </row>
    <row r="44" spans="1:9" x14ac:dyDescent="0.2">
      <c r="A44" s="1" t="s">
        <v>412</v>
      </c>
    </row>
    <row r="46" spans="1:9" x14ac:dyDescent="0.2">
      <c r="A46" s="1" t="s">
        <v>397</v>
      </c>
      <c r="F46" s="404" t="s">
        <v>3009</v>
      </c>
    </row>
    <row r="48" spans="1:9" x14ac:dyDescent="0.2">
      <c r="A48" s="1" t="s">
        <v>146</v>
      </c>
    </row>
    <row r="50" spans="1:7" x14ac:dyDescent="0.2">
      <c r="A50" s="1" t="s">
        <v>398</v>
      </c>
      <c r="E50" s="20" t="s">
        <v>60</v>
      </c>
    </row>
    <row r="51" spans="1:7" x14ac:dyDescent="0.2">
      <c r="E51" s="48" t="s">
        <v>75</v>
      </c>
      <c r="F51" s="1" t="s">
        <v>390</v>
      </c>
    </row>
    <row r="52" spans="1:7" x14ac:dyDescent="0.2">
      <c r="A52" s="404" t="s">
        <v>403</v>
      </c>
      <c r="E52" s="48">
        <f>5*12</f>
        <v>60</v>
      </c>
      <c r="F52" s="1" t="s">
        <v>62</v>
      </c>
      <c r="G52" s="404" t="s">
        <v>3010</v>
      </c>
    </row>
    <row r="53" spans="1:7" x14ac:dyDescent="0.2">
      <c r="E53" s="48">
        <f>6/12</f>
        <v>0.5</v>
      </c>
      <c r="F53" s="1" t="s">
        <v>63</v>
      </c>
    </row>
    <row r="54" spans="1:7" x14ac:dyDescent="0.2">
      <c r="E54" s="48">
        <f>5000*80%</f>
        <v>4000</v>
      </c>
      <c r="F54" s="1" t="s">
        <v>64</v>
      </c>
    </row>
    <row r="55" spans="1:7" x14ac:dyDescent="0.2">
      <c r="E55" s="64">
        <f>PMT(E53/100,E52,E54,E56)</f>
        <v>-77.331206117711659</v>
      </c>
      <c r="F55" s="1" t="s">
        <v>65</v>
      </c>
      <c r="G55" s="1" t="s">
        <v>456</v>
      </c>
    </row>
    <row r="56" spans="1:7" x14ac:dyDescent="0.2">
      <c r="A56" s="425" t="s">
        <v>3011</v>
      </c>
      <c r="E56" s="48">
        <v>0</v>
      </c>
      <c r="F56" s="1" t="s">
        <v>66</v>
      </c>
    </row>
    <row r="58" spans="1:7" x14ac:dyDescent="0.2">
      <c r="A58" s="1" t="s">
        <v>399</v>
      </c>
    </row>
    <row r="59" spans="1:7" x14ac:dyDescent="0.2">
      <c r="A59" s="1" t="s">
        <v>400</v>
      </c>
    </row>
    <row r="60" spans="1:7" x14ac:dyDescent="0.2">
      <c r="A60" s="1" t="s">
        <v>401</v>
      </c>
    </row>
    <row r="61" spans="1:7" x14ac:dyDescent="0.2">
      <c r="A61" s="1" t="s">
        <v>402</v>
      </c>
    </row>
    <row r="62" spans="1:7" x14ac:dyDescent="0.2">
      <c r="A62" s="18" t="s">
        <v>457</v>
      </c>
    </row>
    <row r="64" spans="1:7" x14ac:dyDescent="0.2">
      <c r="F64" s="416" t="s">
        <v>436</v>
      </c>
    </row>
    <row r="65" spans="1:7" x14ac:dyDescent="0.2">
      <c r="A65" s="1" t="s">
        <v>458</v>
      </c>
      <c r="E65" s="20">
        <v>26</v>
      </c>
      <c r="F65" s="1" t="s">
        <v>437</v>
      </c>
    </row>
    <row r="66" spans="1:7" x14ac:dyDescent="0.2">
      <c r="A66" s="1" t="s">
        <v>458</v>
      </c>
      <c r="E66" s="20">
        <v>26</v>
      </c>
      <c r="F66" s="1" t="s">
        <v>438</v>
      </c>
    </row>
    <row r="67" spans="1:7" x14ac:dyDescent="0.2">
      <c r="A67" s="1" t="s">
        <v>459</v>
      </c>
      <c r="E67" s="65">
        <v>2412.39</v>
      </c>
      <c r="F67" s="1" t="s">
        <v>439</v>
      </c>
      <c r="G67" s="1" t="s">
        <v>461</v>
      </c>
    </row>
    <row r="69" spans="1:7" x14ac:dyDescent="0.2">
      <c r="A69" s="1" t="s">
        <v>460</v>
      </c>
    </row>
    <row r="72" spans="1:7" x14ac:dyDescent="0.2">
      <c r="A72" s="1" t="s">
        <v>403</v>
      </c>
    </row>
    <row r="73" spans="1:7" x14ac:dyDescent="0.2">
      <c r="A73" s="1" t="s">
        <v>404</v>
      </c>
    </row>
    <row r="79" spans="1:7" x14ac:dyDescent="0.2">
      <c r="A79" s="404" t="s">
        <v>3012</v>
      </c>
    </row>
    <row r="80" spans="1:7" x14ac:dyDescent="0.2">
      <c r="A80" s="1" t="s">
        <v>405</v>
      </c>
    </row>
    <row r="87" spans="1:9" ht="17" thickBot="1" x14ac:dyDescent="0.25"/>
    <row r="88" spans="1:9" ht="17" thickBot="1" x14ac:dyDescent="0.25">
      <c r="A88" s="60" t="s">
        <v>408</v>
      </c>
      <c r="B88" s="61"/>
      <c r="C88" s="61"/>
      <c r="D88" s="61"/>
      <c r="E88" s="61"/>
      <c r="F88" s="61"/>
      <c r="G88" s="61"/>
      <c r="H88" s="62" t="s">
        <v>409</v>
      </c>
      <c r="I88" s="1" t="s">
        <v>1850</v>
      </c>
    </row>
    <row r="90" spans="1:9" x14ac:dyDescent="0.2">
      <c r="A90" s="404" t="s">
        <v>3013</v>
      </c>
    </row>
    <row r="91" spans="1:9" x14ac:dyDescent="0.2">
      <c r="A91" s="1" t="s">
        <v>410</v>
      </c>
    </row>
    <row r="92" spans="1:9" x14ac:dyDescent="0.2">
      <c r="A92" s="1" t="s">
        <v>411</v>
      </c>
    </row>
    <row r="94" spans="1:9" x14ac:dyDescent="0.2">
      <c r="A94" s="1" t="s">
        <v>146</v>
      </c>
    </row>
    <row r="96" spans="1:9" x14ac:dyDescent="0.2">
      <c r="A96" s="404" t="s">
        <v>3014</v>
      </c>
    </row>
    <row r="97" spans="1:7" x14ac:dyDescent="0.2">
      <c r="A97" s="1" t="s">
        <v>413</v>
      </c>
    </row>
    <row r="100" spans="1:7" x14ac:dyDescent="0.2">
      <c r="A100" s="1" t="s">
        <v>465</v>
      </c>
    </row>
    <row r="101" spans="1:7" x14ac:dyDescent="0.2">
      <c r="A101" s="1" t="s">
        <v>466</v>
      </c>
    </row>
    <row r="102" spans="1:7" x14ac:dyDescent="0.2">
      <c r="A102" s="1" t="s">
        <v>467</v>
      </c>
    </row>
    <row r="103" spans="1:7" x14ac:dyDescent="0.2">
      <c r="A103" s="1" t="s">
        <v>468</v>
      </c>
      <c r="D103" s="1" t="s">
        <v>469</v>
      </c>
      <c r="E103" s="1" t="s">
        <v>462</v>
      </c>
    </row>
    <row r="104" spans="1:7" x14ac:dyDescent="0.2">
      <c r="D104" s="1" t="s">
        <v>470</v>
      </c>
      <c r="E104" s="1" t="s">
        <v>463</v>
      </c>
    </row>
    <row r="105" spans="1:7" x14ac:dyDescent="0.2">
      <c r="D105" s="1" t="s">
        <v>471</v>
      </c>
      <c r="E105" s="1" t="s">
        <v>464</v>
      </c>
    </row>
    <row r="106" spans="1:7" x14ac:dyDescent="0.2">
      <c r="D106" s="1" t="s">
        <v>472</v>
      </c>
      <c r="G106" s="404" t="s">
        <v>3015</v>
      </c>
    </row>
    <row r="107" spans="1:7" x14ac:dyDescent="0.2">
      <c r="G107" s="404" t="s">
        <v>3016</v>
      </c>
    </row>
    <row r="108" spans="1:7" x14ac:dyDescent="0.2">
      <c r="C108" s="66">
        <f>500000/96*(96-54)</f>
        <v>218750</v>
      </c>
      <c r="G108" s="404" t="s">
        <v>3017</v>
      </c>
    </row>
    <row r="109" spans="1:7" x14ac:dyDescent="0.2">
      <c r="G109" s="404" t="s">
        <v>3018</v>
      </c>
    </row>
    <row r="110" spans="1:7" x14ac:dyDescent="0.2">
      <c r="G110" s="404" t="s">
        <v>3019</v>
      </c>
    </row>
    <row r="111" spans="1:7" x14ac:dyDescent="0.2">
      <c r="A111" s="1" t="s">
        <v>473</v>
      </c>
    </row>
    <row r="113" spans="1:8" x14ac:dyDescent="0.2">
      <c r="A113" s="426" t="s">
        <v>3020</v>
      </c>
      <c r="B113" s="427"/>
      <c r="C113" s="427"/>
      <c r="D113" s="427"/>
      <c r="E113" s="427"/>
      <c r="F113" s="427"/>
      <c r="G113" s="427"/>
      <c r="H113" s="427"/>
    </row>
    <row r="114" spans="1:8" x14ac:dyDescent="0.2">
      <c r="A114" s="404" t="s">
        <v>3021</v>
      </c>
    </row>
    <row r="115" spans="1:8" x14ac:dyDescent="0.2">
      <c r="A115" s="404" t="s">
        <v>3022</v>
      </c>
    </row>
    <row r="116" spans="1:8" x14ac:dyDescent="0.2">
      <c r="A116" s="404" t="s">
        <v>568</v>
      </c>
    </row>
    <row r="117" spans="1:8" x14ac:dyDescent="0.2">
      <c r="A117" s="404" t="s">
        <v>3023</v>
      </c>
    </row>
    <row r="119" spans="1:8" x14ac:dyDescent="0.2">
      <c r="A119" s="404" t="s">
        <v>3024</v>
      </c>
      <c r="E119" s="32">
        <f>100000/120</f>
        <v>833.33333333333337</v>
      </c>
      <c r="G119" s="404" t="s">
        <v>3025</v>
      </c>
    </row>
    <row r="120" spans="1:8" x14ac:dyDescent="0.2">
      <c r="A120" s="404" t="s">
        <v>3026</v>
      </c>
    </row>
    <row r="121" spans="1:8" x14ac:dyDescent="0.2">
      <c r="A121" s="404" t="s">
        <v>3027</v>
      </c>
    </row>
    <row r="122" spans="1:8" x14ac:dyDescent="0.2">
      <c r="B122" s="404" t="s">
        <v>3028</v>
      </c>
    </row>
    <row r="124" spans="1:8" x14ac:dyDescent="0.2">
      <c r="A124" s="404" t="s">
        <v>3029</v>
      </c>
    </row>
    <row r="125" spans="1:8" x14ac:dyDescent="0.2">
      <c r="G125" s="404" t="s">
        <v>3030</v>
      </c>
    </row>
    <row r="126" spans="1:8" x14ac:dyDescent="0.2">
      <c r="D126" s="1">
        <f>E119*(120-47)</f>
        <v>60833.333333333336</v>
      </c>
      <c r="G126" s="404" t="s">
        <v>3031</v>
      </c>
    </row>
    <row r="128" spans="1:8" x14ac:dyDescent="0.2">
      <c r="A128" s="404" t="s">
        <v>3034</v>
      </c>
      <c r="E128" s="428">
        <f>D126*1%</f>
        <v>608.33333333333337</v>
      </c>
      <c r="G128" s="404" t="s">
        <v>3032</v>
      </c>
    </row>
    <row r="130" spans="1:9" x14ac:dyDescent="0.2">
      <c r="A130" s="404" t="s">
        <v>3033</v>
      </c>
      <c r="E130" s="90">
        <f>E119+E128</f>
        <v>1441.6666666666667</v>
      </c>
      <c r="G130" s="404" t="s">
        <v>3035</v>
      </c>
    </row>
    <row r="131" spans="1:9" ht="17" thickBot="1" x14ac:dyDescent="0.25"/>
    <row r="132" spans="1:9" ht="17" thickBot="1" x14ac:dyDescent="0.25">
      <c r="A132" s="60" t="s">
        <v>414</v>
      </c>
      <c r="B132" s="61"/>
      <c r="C132" s="61"/>
      <c r="D132" s="61"/>
      <c r="E132" s="61"/>
      <c r="F132" s="61"/>
      <c r="G132" s="61"/>
      <c r="H132" s="62">
        <v>2.2000000000000002</v>
      </c>
      <c r="I132" s="1" t="s">
        <v>1850</v>
      </c>
    </row>
    <row r="134" spans="1:9" x14ac:dyDescent="0.2">
      <c r="A134" s="1" t="s">
        <v>415</v>
      </c>
    </row>
    <row r="135" spans="1:9" x14ac:dyDescent="0.2">
      <c r="A135" s="1" t="s">
        <v>417</v>
      </c>
    </row>
    <row r="137" spans="1:9" x14ac:dyDescent="0.2">
      <c r="A137" s="1" t="s">
        <v>416</v>
      </c>
    </row>
    <row r="139" spans="1:9" x14ac:dyDescent="0.2">
      <c r="A139" s="18" t="s">
        <v>146</v>
      </c>
    </row>
    <row r="141" spans="1:9" x14ac:dyDescent="0.2">
      <c r="A141" s="1" t="s">
        <v>440</v>
      </c>
    </row>
    <row r="142" spans="1:9" x14ac:dyDescent="0.2">
      <c r="A142" s="1" t="s">
        <v>441</v>
      </c>
    </row>
    <row r="144" spans="1:9" x14ac:dyDescent="0.2">
      <c r="A144" s="1" t="s">
        <v>398</v>
      </c>
      <c r="E144" s="20" t="s">
        <v>60</v>
      </c>
    </row>
    <row r="145" spans="1:7" x14ac:dyDescent="0.2">
      <c r="E145" s="48" t="s">
        <v>75</v>
      </c>
      <c r="F145" s="1" t="s">
        <v>390</v>
      </c>
    </row>
    <row r="146" spans="1:7" x14ac:dyDescent="0.2">
      <c r="E146" s="48">
        <f>10*4</f>
        <v>40</v>
      </c>
      <c r="F146" s="1" t="s">
        <v>62</v>
      </c>
    </row>
    <row r="147" spans="1:7" x14ac:dyDescent="0.2">
      <c r="A147" s="1" t="s">
        <v>474</v>
      </c>
      <c r="E147" s="48">
        <f>8/4</f>
        <v>2</v>
      </c>
      <c r="F147" s="1" t="s">
        <v>63</v>
      </c>
    </row>
    <row r="148" spans="1:7" x14ac:dyDescent="0.2">
      <c r="E148" s="48">
        <v>200000</v>
      </c>
      <c r="F148" s="1" t="s">
        <v>64</v>
      </c>
    </row>
    <row r="149" spans="1:7" x14ac:dyDescent="0.2">
      <c r="E149" s="64">
        <f>PMT(E147/100,E146,E148,E150)</f>
        <v>-7311.1495594695007</v>
      </c>
      <c r="F149" s="1" t="s">
        <v>65</v>
      </c>
    </row>
    <row r="150" spans="1:7" x14ac:dyDescent="0.2">
      <c r="E150" s="48">
        <v>0</v>
      </c>
      <c r="F150" s="1" t="s">
        <v>66</v>
      </c>
    </row>
    <row r="152" spans="1:7" x14ac:dyDescent="0.2">
      <c r="A152" s="1" t="s">
        <v>399</v>
      </c>
    </row>
    <row r="153" spans="1:7" x14ac:dyDescent="0.2">
      <c r="A153" s="1" t="s">
        <v>400</v>
      </c>
    </row>
    <row r="154" spans="1:7" x14ac:dyDescent="0.2">
      <c r="A154" s="1" t="s">
        <v>401</v>
      </c>
    </row>
    <row r="155" spans="1:7" x14ac:dyDescent="0.2">
      <c r="A155" s="1" t="s">
        <v>402</v>
      </c>
    </row>
    <row r="157" spans="1:7" x14ac:dyDescent="0.2">
      <c r="F157" s="1" t="s">
        <v>436</v>
      </c>
    </row>
    <row r="158" spans="1:7" x14ac:dyDescent="0.2">
      <c r="A158" s="1" t="s">
        <v>475</v>
      </c>
      <c r="E158" s="20">
        <v>12</v>
      </c>
      <c r="F158" s="1" t="s">
        <v>437</v>
      </c>
    </row>
    <row r="159" spans="1:7" x14ac:dyDescent="0.2">
      <c r="A159" s="1" t="s">
        <v>475</v>
      </c>
      <c r="E159" s="20">
        <v>12</v>
      </c>
      <c r="F159" s="1" t="s">
        <v>438</v>
      </c>
    </row>
    <row r="160" spans="1:7" x14ac:dyDescent="0.2">
      <c r="E160" s="67">
        <v>155590</v>
      </c>
      <c r="F160" s="1" t="s">
        <v>439</v>
      </c>
      <c r="G160" s="1" t="s">
        <v>227</v>
      </c>
    </row>
    <row r="161" spans="1:9" ht="17" thickBot="1" x14ac:dyDescent="0.25"/>
    <row r="162" spans="1:9" ht="17" thickBot="1" x14ac:dyDescent="0.25">
      <c r="A162" s="60" t="s">
        <v>418</v>
      </c>
      <c r="B162" s="61"/>
      <c r="C162" s="61"/>
      <c r="D162" s="61"/>
      <c r="E162" s="61"/>
      <c r="F162" s="61"/>
      <c r="G162" s="61"/>
      <c r="H162" s="62">
        <v>2.6</v>
      </c>
      <c r="I162" s="1" t="s">
        <v>1850</v>
      </c>
    </row>
    <row r="164" spans="1:9" x14ac:dyDescent="0.2">
      <c r="A164" s="1" t="s">
        <v>419</v>
      </c>
    </row>
    <row r="165" spans="1:9" x14ac:dyDescent="0.2">
      <c r="A165" s="1" t="s">
        <v>420</v>
      </c>
    </row>
    <row r="166" spans="1:9" x14ac:dyDescent="0.2">
      <c r="A166" s="1" t="s">
        <v>421</v>
      </c>
    </row>
    <row r="167" spans="1:9" x14ac:dyDescent="0.2">
      <c r="A167" s="1" t="s">
        <v>422</v>
      </c>
    </row>
    <row r="169" spans="1:9" x14ac:dyDescent="0.2">
      <c r="A169" s="1" t="s">
        <v>423</v>
      </c>
    </row>
    <row r="170" spans="1:9" x14ac:dyDescent="0.2">
      <c r="A170" s="1" t="s">
        <v>424</v>
      </c>
    </row>
    <row r="172" spans="1:9" x14ac:dyDescent="0.2">
      <c r="A172" s="1" t="s">
        <v>425</v>
      </c>
    </row>
    <row r="175" spans="1:9" x14ac:dyDescent="0.2">
      <c r="A175" s="18" t="s">
        <v>146</v>
      </c>
    </row>
    <row r="177" spans="1:8" x14ac:dyDescent="0.2">
      <c r="A177" s="1" t="s">
        <v>476</v>
      </c>
    </row>
    <row r="178" spans="1:8" x14ac:dyDescent="0.2">
      <c r="A178" s="1" t="s">
        <v>477</v>
      </c>
    </row>
    <row r="179" spans="1:8" x14ac:dyDescent="0.2">
      <c r="A179" s="1" t="s">
        <v>478</v>
      </c>
    </row>
    <row r="180" spans="1:8" x14ac:dyDescent="0.2">
      <c r="A180" s="1" t="s">
        <v>479</v>
      </c>
    </row>
    <row r="182" spans="1:8" x14ac:dyDescent="0.2">
      <c r="A182" s="1" t="s">
        <v>480</v>
      </c>
    </row>
    <row r="183" spans="1:8" x14ac:dyDescent="0.2">
      <c r="A183" s="1" t="s">
        <v>481</v>
      </c>
    </row>
    <row r="184" spans="1:8" x14ac:dyDescent="0.2">
      <c r="A184" s="1" t="s">
        <v>482</v>
      </c>
    </row>
    <row r="185" spans="1:8" x14ac:dyDescent="0.2">
      <c r="A185" s="1" t="s">
        <v>483</v>
      </c>
    </row>
    <row r="186" spans="1:8" x14ac:dyDescent="0.2">
      <c r="A186" s="1" t="s">
        <v>484</v>
      </c>
    </row>
    <row r="188" spans="1:8" x14ac:dyDescent="0.2">
      <c r="A188" s="1" t="s">
        <v>485</v>
      </c>
    </row>
    <row r="189" spans="1:8" x14ac:dyDescent="0.2">
      <c r="A189" s="1" t="s">
        <v>486</v>
      </c>
    </row>
    <row r="190" spans="1:8" x14ac:dyDescent="0.2">
      <c r="F190" s="1" t="s">
        <v>497</v>
      </c>
      <c r="G190" s="1" t="s">
        <v>495</v>
      </c>
    </row>
    <row r="191" spans="1:8" x14ac:dyDescent="0.2">
      <c r="A191" s="1" t="s">
        <v>487</v>
      </c>
      <c r="B191" s="3">
        <v>400000</v>
      </c>
      <c r="F191" s="27" t="s">
        <v>496</v>
      </c>
      <c r="G191" s="27" t="s">
        <v>494</v>
      </c>
    </row>
    <row r="192" spans="1:8" x14ac:dyDescent="0.2">
      <c r="A192" s="1" t="s">
        <v>488</v>
      </c>
      <c r="B192" s="1">
        <v>15</v>
      </c>
      <c r="C192" s="1" t="s">
        <v>489</v>
      </c>
      <c r="F192" s="20" t="s">
        <v>75</v>
      </c>
      <c r="G192" s="20" t="s">
        <v>75</v>
      </c>
      <c r="H192" s="1" t="s">
        <v>390</v>
      </c>
    </row>
    <row r="193" spans="1:10" x14ac:dyDescent="0.2">
      <c r="A193" s="1" t="s">
        <v>490</v>
      </c>
      <c r="B193" s="1" t="s">
        <v>491</v>
      </c>
      <c r="F193" s="20">
        <f>15*12</f>
        <v>180</v>
      </c>
      <c r="G193" s="20">
        <v>24</v>
      </c>
      <c r="H193" s="1" t="s">
        <v>62</v>
      </c>
    </row>
    <row r="194" spans="1:10" x14ac:dyDescent="0.2">
      <c r="A194" s="1" t="s">
        <v>177</v>
      </c>
      <c r="B194" s="37">
        <v>0.12</v>
      </c>
      <c r="F194" s="20">
        <v>1</v>
      </c>
      <c r="G194" s="20">
        <v>1</v>
      </c>
      <c r="H194" s="1" t="s">
        <v>63</v>
      </c>
    </row>
    <row r="195" spans="1:10" x14ac:dyDescent="0.2">
      <c r="A195" s="1" t="s">
        <v>492</v>
      </c>
      <c r="B195" s="1" t="s">
        <v>493</v>
      </c>
      <c r="F195" s="30">
        <f>-G197</f>
        <v>507893.859412766</v>
      </c>
      <c r="G195" s="24">
        <f>B191</f>
        <v>400000</v>
      </c>
      <c r="H195" s="1" t="s">
        <v>64</v>
      </c>
    </row>
    <row r="196" spans="1:10" x14ac:dyDescent="0.2">
      <c r="F196" s="50">
        <f>PMT(F194/100,F193,F195,F197)</f>
        <v>-6095.57988999599</v>
      </c>
      <c r="G196" s="20">
        <v>0</v>
      </c>
      <c r="H196" s="1" t="s">
        <v>65</v>
      </c>
    </row>
    <row r="197" spans="1:10" x14ac:dyDescent="0.2">
      <c r="A197" s="18" t="s">
        <v>498</v>
      </c>
      <c r="F197" s="20">
        <v>0</v>
      </c>
      <c r="G197" s="30">
        <f>FV(G194/100,G193,G196,G195)</f>
        <v>-507893.859412766</v>
      </c>
      <c r="H197" s="1" t="s">
        <v>66</v>
      </c>
      <c r="I197" s="1" t="s">
        <v>77</v>
      </c>
    </row>
    <row r="199" spans="1:10" ht="18" x14ac:dyDescent="0.2">
      <c r="A199" s="230" t="s">
        <v>1851</v>
      </c>
    </row>
    <row r="200" spans="1:10" ht="17" thickBot="1" x14ac:dyDescent="0.25"/>
    <row r="201" spans="1:10" ht="24" thickBot="1" x14ac:dyDescent="0.3">
      <c r="A201" s="231" t="s">
        <v>3042</v>
      </c>
      <c r="B201" s="232"/>
      <c r="C201" s="232"/>
      <c r="D201" s="232"/>
      <c r="E201" s="232"/>
      <c r="F201" s="232"/>
      <c r="G201" s="232"/>
      <c r="H201" s="233"/>
      <c r="J201" s="52" t="s">
        <v>3041</v>
      </c>
    </row>
    <row r="203" spans="1:10" x14ac:dyDescent="0.2">
      <c r="A203" s="1" t="s">
        <v>3043</v>
      </c>
    </row>
    <row r="204" spans="1:10" x14ac:dyDescent="0.2">
      <c r="A204" s="18" t="s">
        <v>3044</v>
      </c>
      <c r="B204" s="18"/>
      <c r="C204" s="18"/>
      <c r="D204" s="18"/>
      <c r="E204" s="18"/>
      <c r="F204" s="18"/>
      <c r="G204" s="18"/>
      <c r="H204" s="18"/>
    </row>
    <row r="205" spans="1:10" x14ac:dyDescent="0.2">
      <c r="A205" s="18" t="s">
        <v>1852</v>
      </c>
      <c r="B205" s="18"/>
      <c r="C205" s="18"/>
      <c r="D205" s="18"/>
      <c r="E205" s="18"/>
      <c r="F205" s="18"/>
      <c r="G205" s="18"/>
      <c r="H205" s="18"/>
    </row>
    <row r="206" spans="1:10" x14ac:dyDescent="0.2">
      <c r="A206" s="1" t="s">
        <v>3045</v>
      </c>
    </row>
    <row r="208" spans="1:10" x14ac:dyDescent="0.2">
      <c r="A208" s="1" t="s">
        <v>3046</v>
      </c>
    </row>
    <row r="209" spans="1:15" x14ac:dyDescent="0.2">
      <c r="A209" s="1" t="s">
        <v>3047</v>
      </c>
    </row>
    <row r="210" spans="1:15" x14ac:dyDescent="0.2">
      <c r="A210" s="1" t="s">
        <v>3048</v>
      </c>
    </row>
    <row r="211" spans="1:15" x14ac:dyDescent="0.2">
      <c r="A211" s="1" t="s">
        <v>3049</v>
      </c>
    </row>
    <row r="212" spans="1:15" x14ac:dyDescent="0.2">
      <c r="G212" s="1" t="s">
        <v>3050</v>
      </c>
    </row>
    <row r="213" spans="1:15" ht="17" thickBot="1" x14ac:dyDescent="0.25"/>
    <row r="214" spans="1:15" ht="17" thickBot="1" x14ac:dyDescent="0.25">
      <c r="A214" s="60" t="s">
        <v>3052</v>
      </c>
      <c r="B214" s="61"/>
      <c r="C214" s="61"/>
      <c r="D214" s="61"/>
      <c r="E214" s="61"/>
      <c r="F214" s="61"/>
      <c r="G214" s="61"/>
      <c r="H214" s="62">
        <v>2.5</v>
      </c>
      <c r="I214" s="1" t="s">
        <v>3051</v>
      </c>
    </row>
    <row r="216" spans="1:15" x14ac:dyDescent="0.2">
      <c r="A216" s="1" t="s">
        <v>426</v>
      </c>
    </row>
    <row r="217" spans="1:15" x14ac:dyDescent="0.2">
      <c r="A217" s="1" t="s">
        <v>427</v>
      </c>
    </row>
    <row r="219" spans="1:15" ht="17" thickBot="1" x14ac:dyDescent="0.25">
      <c r="A219" s="1" t="s">
        <v>146</v>
      </c>
    </row>
    <row r="220" spans="1:15" x14ac:dyDescent="0.2">
      <c r="A220" s="1" t="s">
        <v>1853</v>
      </c>
      <c r="I220" s="430" t="s">
        <v>3065</v>
      </c>
      <c r="J220" s="431"/>
      <c r="K220" s="431"/>
      <c r="L220" s="431"/>
      <c r="M220" s="431"/>
      <c r="N220" s="431"/>
      <c r="O220" s="432"/>
    </row>
    <row r="221" spans="1:15" x14ac:dyDescent="0.2">
      <c r="A221" s="1" t="s">
        <v>1854</v>
      </c>
      <c r="I221" s="72"/>
      <c r="O221" s="73"/>
    </row>
    <row r="222" spans="1:15" x14ac:dyDescent="0.2">
      <c r="A222" s="1" t="s">
        <v>1855</v>
      </c>
      <c r="I222" s="72" t="s">
        <v>3057</v>
      </c>
      <c r="O222" s="73"/>
    </row>
    <row r="223" spans="1:15" x14ac:dyDescent="0.2">
      <c r="A223" s="1" t="s">
        <v>1856</v>
      </c>
      <c r="I223" s="72"/>
      <c r="O223" s="73"/>
    </row>
    <row r="224" spans="1:15" x14ac:dyDescent="0.2">
      <c r="I224" s="72"/>
      <c r="O224" s="73"/>
    </row>
    <row r="225" spans="3:15" x14ac:dyDescent="0.2">
      <c r="C225" s="134" t="s">
        <v>1857</v>
      </c>
      <c r="D225" s="116"/>
      <c r="E225" s="116"/>
      <c r="I225" s="72" t="s">
        <v>3053</v>
      </c>
      <c r="O225" s="73"/>
    </row>
    <row r="226" spans="3:15" x14ac:dyDescent="0.2">
      <c r="C226" s="116"/>
      <c r="D226" s="115"/>
      <c r="E226" s="116"/>
      <c r="I226" s="72"/>
      <c r="O226" s="73"/>
    </row>
    <row r="227" spans="3:15" x14ac:dyDescent="0.2">
      <c r="C227" s="48">
        <v>5</v>
      </c>
      <c r="D227" s="115"/>
      <c r="E227" s="48">
        <v>2</v>
      </c>
      <c r="I227" s="72"/>
      <c r="O227" s="73"/>
    </row>
    <row r="228" spans="3:15" x14ac:dyDescent="0.2">
      <c r="C228" s="119">
        <v>1200</v>
      </c>
      <c r="D228" s="115"/>
      <c r="E228" s="119">
        <v>1000</v>
      </c>
      <c r="I228" s="72"/>
      <c r="O228" s="73"/>
    </row>
    <row r="229" spans="3:15" x14ac:dyDescent="0.2">
      <c r="C229" s="48" t="s">
        <v>499</v>
      </c>
      <c r="D229" s="218"/>
      <c r="E229" s="48" t="s">
        <v>499</v>
      </c>
      <c r="I229" s="72" t="s">
        <v>3054</v>
      </c>
      <c r="O229" s="73"/>
    </row>
    <row r="230" spans="3:15" x14ac:dyDescent="0.2">
      <c r="C230" s="48" t="s">
        <v>500</v>
      </c>
      <c r="D230" s="218"/>
      <c r="E230" s="48" t="s">
        <v>500</v>
      </c>
      <c r="I230" s="72" t="s">
        <v>3055</v>
      </c>
      <c r="O230" s="73"/>
    </row>
    <row r="231" spans="3:15" x14ac:dyDescent="0.2">
      <c r="C231" s="48" t="s">
        <v>502</v>
      </c>
      <c r="D231" s="218"/>
      <c r="E231" s="48" t="s">
        <v>501</v>
      </c>
      <c r="I231" s="72" t="s">
        <v>3056</v>
      </c>
      <c r="O231" s="73"/>
    </row>
    <row r="232" spans="3:15" x14ac:dyDescent="0.2">
      <c r="C232" s="218" t="s">
        <v>503</v>
      </c>
      <c r="D232" s="218"/>
      <c r="E232" s="218"/>
      <c r="I232" s="72"/>
      <c r="O232" s="73"/>
    </row>
    <row r="233" spans="3:15" x14ac:dyDescent="0.2">
      <c r="I233" s="72"/>
      <c r="O233" s="73"/>
    </row>
    <row r="234" spans="3:15" x14ac:dyDescent="0.2">
      <c r="C234" s="1" t="s">
        <v>504</v>
      </c>
      <c r="I234" s="72"/>
      <c r="O234" s="73"/>
    </row>
    <row r="235" spans="3:15" x14ac:dyDescent="0.2">
      <c r="C235" s="1" t="s">
        <v>505</v>
      </c>
      <c r="I235" s="72" t="s">
        <v>3058</v>
      </c>
      <c r="O235" s="73"/>
    </row>
    <row r="236" spans="3:15" x14ac:dyDescent="0.2">
      <c r="I236" s="72" t="s">
        <v>3059</v>
      </c>
      <c r="O236" s="73"/>
    </row>
    <row r="237" spans="3:15" x14ac:dyDescent="0.2">
      <c r="C237" s="1" t="s">
        <v>506</v>
      </c>
      <c r="I237" s="72" t="s">
        <v>3060</v>
      </c>
      <c r="O237" s="73"/>
    </row>
    <row r="238" spans="3:15" x14ac:dyDescent="0.2">
      <c r="I238" s="72"/>
      <c r="O238" s="73"/>
    </row>
    <row r="239" spans="3:15" x14ac:dyDescent="0.2">
      <c r="C239" s="1" t="s">
        <v>246</v>
      </c>
      <c r="I239" s="72"/>
      <c r="O239" s="73"/>
    </row>
    <row r="240" spans="3:15" x14ac:dyDescent="0.2">
      <c r="I240" s="72"/>
      <c r="O240" s="73"/>
    </row>
    <row r="241" spans="1:15" x14ac:dyDescent="0.2">
      <c r="A241" s="1" t="s">
        <v>507</v>
      </c>
      <c r="I241" s="72" t="s">
        <v>3061</v>
      </c>
      <c r="O241" s="73"/>
    </row>
    <row r="242" spans="1:15" x14ac:dyDescent="0.2">
      <c r="A242" s="1" t="s">
        <v>508</v>
      </c>
      <c r="I242" s="72" t="s">
        <v>3062</v>
      </c>
      <c r="O242" s="73"/>
    </row>
    <row r="243" spans="1:15" x14ac:dyDescent="0.2">
      <c r="A243" s="1" t="s">
        <v>1858</v>
      </c>
      <c r="I243" s="72" t="s">
        <v>3063</v>
      </c>
      <c r="O243" s="73"/>
    </row>
    <row r="244" spans="1:15" ht="17" thickBot="1" x14ac:dyDescent="0.25">
      <c r="I244" s="15" t="s">
        <v>3064</v>
      </c>
      <c r="J244" s="16"/>
      <c r="K244" s="16"/>
      <c r="L244" s="16"/>
      <c r="M244" s="16"/>
      <c r="N244" s="16"/>
      <c r="O244" s="17"/>
    </row>
    <row r="246" spans="1:15" x14ac:dyDescent="0.2">
      <c r="C246" s="1" t="s">
        <v>509</v>
      </c>
    </row>
    <row r="247" spans="1:15" x14ac:dyDescent="0.2">
      <c r="C247" s="1" t="s">
        <v>510</v>
      </c>
    </row>
    <row r="248" spans="1:15" x14ac:dyDescent="0.2">
      <c r="C248" s="1" t="s">
        <v>511</v>
      </c>
    </row>
    <row r="250" spans="1:15" x14ac:dyDescent="0.2">
      <c r="C250" s="1" t="s">
        <v>512</v>
      </c>
    </row>
    <row r="253" spans="1:15" x14ac:dyDescent="0.2">
      <c r="A253" s="1" t="s">
        <v>513</v>
      </c>
      <c r="C253" s="234">
        <f>1.2^4-1</f>
        <v>1.0735999999999999</v>
      </c>
    </row>
    <row r="255" spans="1:15" x14ac:dyDescent="0.2">
      <c r="A255" s="18" t="s">
        <v>514</v>
      </c>
    </row>
    <row r="256" spans="1:15" x14ac:dyDescent="0.2">
      <c r="A256" s="18" t="s">
        <v>515</v>
      </c>
    </row>
    <row r="258" spans="1:17" x14ac:dyDescent="0.2">
      <c r="A258" s="1" t="s">
        <v>516</v>
      </c>
    </row>
    <row r="259" spans="1:17" x14ac:dyDescent="0.2">
      <c r="A259" s="1" t="s">
        <v>517</v>
      </c>
    </row>
    <row r="260" spans="1:17" x14ac:dyDescent="0.2">
      <c r="J260" s="1" t="s">
        <v>3072</v>
      </c>
    </row>
    <row r="261" spans="1:17" ht="17" thickBot="1" x14ac:dyDescent="0.25"/>
    <row r="262" spans="1:17" ht="17" thickBot="1" x14ac:dyDescent="0.25">
      <c r="A262" s="60" t="s">
        <v>3067</v>
      </c>
      <c r="B262" s="61"/>
      <c r="C262" s="61"/>
      <c r="D262" s="61"/>
      <c r="E262" s="61"/>
      <c r="F262" s="61"/>
      <c r="G262" s="61"/>
      <c r="H262" s="62">
        <v>2.2999999999999998</v>
      </c>
      <c r="J262" s="1" t="s">
        <v>1499</v>
      </c>
      <c r="M262" s="52" t="s">
        <v>3066</v>
      </c>
    </row>
    <row r="264" spans="1:17" x14ac:dyDescent="0.2">
      <c r="A264" s="1" t="s">
        <v>3068</v>
      </c>
      <c r="J264" s="20">
        <v>1</v>
      </c>
      <c r="K264" s="20">
        <v>0.5</v>
      </c>
      <c r="L264" s="20">
        <v>0</v>
      </c>
      <c r="M264" s="1" t="s">
        <v>739</v>
      </c>
    </row>
    <row r="265" spans="1:17" x14ac:dyDescent="0.2">
      <c r="A265" s="18" t="s">
        <v>3069</v>
      </c>
      <c r="E265" s="68"/>
    </row>
    <row r="266" spans="1:17" x14ac:dyDescent="0.2">
      <c r="A266" s="52" t="s">
        <v>3079</v>
      </c>
      <c r="E266" s="68"/>
      <c r="L266" s="46" t="s">
        <v>3075</v>
      </c>
    </row>
    <row r="267" spans="1:17" x14ac:dyDescent="0.2">
      <c r="A267" s="1" t="s">
        <v>62</v>
      </c>
      <c r="B267" s="18" t="s">
        <v>1859</v>
      </c>
      <c r="E267" s="68"/>
    </row>
    <row r="268" spans="1:17" x14ac:dyDescent="0.2">
      <c r="A268" s="1" t="s">
        <v>1373</v>
      </c>
      <c r="B268" s="18" t="s">
        <v>1860</v>
      </c>
      <c r="E268" s="68"/>
      <c r="K268" s="1" t="s">
        <v>3078</v>
      </c>
      <c r="L268" s="1" t="s">
        <v>3073</v>
      </c>
      <c r="O268" s="1" t="s">
        <v>3076</v>
      </c>
    </row>
    <row r="269" spans="1:17" x14ac:dyDescent="0.2">
      <c r="E269" s="68"/>
      <c r="L269" s="1" t="s">
        <v>3074</v>
      </c>
      <c r="O269" s="1" t="s">
        <v>3077</v>
      </c>
    </row>
    <row r="270" spans="1:17" ht="35" customHeight="1" x14ac:dyDescent="0.2">
      <c r="A270" s="18" t="s">
        <v>3070</v>
      </c>
      <c r="E270" s="68"/>
      <c r="F270" s="168">
        <f>(1+6%/12)^12-1</f>
        <v>6.1677811864497611E-2</v>
      </c>
    </row>
    <row r="271" spans="1:17" ht="52" customHeight="1" x14ac:dyDescent="0.2">
      <c r="A271" s="18" t="s">
        <v>3071</v>
      </c>
      <c r="E271" s="68"/>
      <c r="F271" s="168">
        <f>(1+12%/4)^4-1</f>
        <v>0.12550880999999992</v>
      </c>
      <c r="K271" s="496" t="s">
        <v>3084</v>
      </c>
      <c r="L271" s="496"/>
      <c r="M271" s="433">
        <f>1.03^3-1</f>
        <v>9.2727000000000004E-2</v>
      </c>
      <c r="N271" s="434"/>
      <c r="O271" s="434"/>
      <c r="P271" s="434"/>
    </row>
    <row r="272" spans="1:17" ht="35" customHeight="1" x14ac:dyDescent="0.2">
      <c r="A272" s="18" t="s">
        <v>428</v>
      </c>
      <c r="E272" s="68">
        <f>(1+3%)^12-1</f>
        <v>0.42576088684617863</v>
      </c>
      <c r="J272" s="494" t="s">
        <v>3080</v>
      </c>
      <c r="K272" s="495"/>
      <c r="L272" s="495"/>
      <c r="M272" s="495"/>
      <c r="N272" s="495"/>
      <c r="O272" s="495"/>
      <c r="P272" s="495"/>
      <c r="Q272" s="495"/>
    </row>
    <row r="273" spans="1:15" ht="37" customHeight="1" x14ac:dyDescent="0.2">
      <c r="A273" s="18" t="s">
        <v>429</v>
      </c>
      <c r="E273" s="68">
        <f>(1+5%)^2-1</f>
        <v>0.10250000000000004</v>
      </c>
    </row>
    <row r="274" spans="1:15" ht="45" customHeight="1" x14ac:dyDescent="0.2">
      <c r="A274" s="18" t="s">
        <v>430</v>
      </c>
      <c r="J274" s="236">
        <v>1</v>
      </c>
      <c r="L274" s="236">
        <v>0</v>
      </c>
      <c r="O274" s="1" t="s">
        <v>3083</v>
      </c>
    </row>
    <row r="275" spans="1:15" ht="23" customHeight="1" x14ac:dyDescent="0.2">
      <c r="I275" s="1" t="s">
        <v>1865</v>
      </c>
      <c r="J275" s="217">
        <v>100</v>
      </c>
      <c r="K275" s="235"/>
      <c r="L275" s="236">
        <v>100</v>
      </c>
      <c r="M275" s="235" t="s">
        <v>1862</v>
      </c>
      <c r="O275" s="1" t="s">
        <v>3081</v>
      </c>
    </row>
    <row r="276" spans="1:15" ht="20" customHeight="1" thickBot="1" x14ac:dyDescent="0.25">
      <c r="A276" s="1" t="s">
        <v>1341</v>
      </c>
      <c r="B276" s="20" t="s">
        <v>1376</v>
      </c>
      <c r="C276" s="1" t="s">
        <v>1866</v>
      </c>
      <c r="L276" s="236">
        <v>-10</v>
      </c>
      <c r="M276" s="1" t="s">
        <v>1863</v>
      </c>
      <c r="O276" s="1" t="s">
        <v>3082</v>
      </c>
    </row>
    <row r="277" spans="1:15" ht="22" customHeight="1" thickBot="1" x14ac:dyDescent="0.25">
      <c r="L277" s="237">
        <f>L275+L276</f>
        <v>90</v>
      </c>
      <c r="M277" s="235" t="s">
        <v>1864</v>
      </c>
    </row>
    <row r="278" spans="1:15" ht="45" customHeight="1" x14ac:dyDescent="0.2">
      <c r="G278" s="235"/>
      <c r="L278" s="236"/>
    </row>
    <row r="279" spans="1:15" ht="46" customHeight="1" x14ac:dyDescent="0.2">
      <c r="A279" s="1" t="s">
        <v>1861</v>
      </c>
      <c r="E279" s="68"/>
      <c r="F279" s="168">
        <f>(1+6%/6)^12-1</f>
        <v>0.12682503013196977</v>
      </c>
      <c r="I279" s="1" t="s">
        <v>3085</v>
      </c>
    </row>
    <row r="281" spans="1:15" x14ac:dyDescent="0.2">
      <c r="A281" s="1" t="s">
        <v>518</v>
      </c>
    </row>
    <row r="282" spans="1:15" x14ac:dyDescent="0.2">
      <c r="A282" s="1" t="s">
        <v>519</v>
      </c>
      <c r="I282" s="1" t="s">
        <v>1370</v>
      </c>
      <c r="J282" s="1" t="s">
        <v>3086</v>
      </c>
    </row>
    <row r="283" spans="1:15" x14ac:dyDescent="0.2">
      <c r="A283" s="1" t="s">
        <v>520</v>
      </c>
      <c r="I283" s="1" t="s">
        <v>62</v>
      </c>
      <c r="J283" s="1" t="s">
        <v>3087</v>
      </c>
    </row>
    <row r="284" spans="1:15" x14ac:dyDescent="0.2">
      <c r="A284" s="1" t="s">
        <v>521</v>
      </c>
      <c r="I284" s="1" t="s">
        <v>1373</v>
      </c>
      <c r="J284" s="1" t="s">
        <v>3088</v>
      </c>
    </row>
    <row r="286" spans="1:15" x14ac:dyDescent="0.2">
      <c r="A286" s="1" t="s">
        <v>522</v>
      </c>
    </row>
    <row r="287" spans="1:15" x14ac:dyDescent="0.2">
      <c r="A287" s="1" t="s">
        <v>523</v>
      </c>
    </row>
    <row r="289" spans="1:7" x14ac:dyDescent="0.2">
      <c r="A289" s="1" t="s">
        <v>524</v>
      </c>
    </row>
    <row r="290" spans="1:7" x14ac:dyDescent="0.2">
      <c r="A290" s="1" t="s">
        <v>525</v>
      </c>
    </row>
    <row r="291" spans="1:7" x14ac:dyDescent="0.2">
      <c r="A291" s="1" t="s">
        <v>526</v>
      </c>
    </row>
    <row r="292" spans="1:7" x14ac:dyDescent="0.2">
      <c r="B292" s="20"/>
      <c r="C292" s="20"/>
      <c r="D292" s="20"/>
      <c r="E292" s="20"/>
      <c r="F292" s="20"/>
    </row>
    <row r="293" spans="1:7" x14ac:dyDescent="0.2">
      <c r="B293" s="20"/>
      <c r="C293" s="20">
        <v>1</v>
      </c>
      <c r="D293" s="20"/>
      <c r="E293" s="20"/>
      <c r="F293" s="20">
        <v>0</v>
      </c>
    </row>
    <row r="294" spans="1:7" x14ac:dyDescent="0.2">
      <c r="B294" s="20"/>
      <c r="C294" s="69">
        <v>-100</v>
      </c>
      <c r="D294" s="20" t="s">
        <v>530</v>
      </c>
      <c r="E294" s="20"/>
      <c r="F294" s="20">
        <v>100</v>
      </c>
      <c r="G294" s="1" t="s">
        <v>527</v>
      </c>
    </row>
    <row r="295" spans="1:7" x14ac:dyDescent="0.2">
      <c r="B295" s="20"/>
      <c r="C295" s="20"/>
      <c r="D295" s="20"/>
      <c r="E295" s="20"/>
      <c r="F295" s="20">
        <f>-10%*F294</f>
        <v>-10</v>
      </c>
      <c r="G295" s="1" t="s">
        <v>528</v>
      </c>
    </row>
    <row r="296" spans="1:7" x14ac:dyDescent="0.2">
      <c r="B296" s="20"/>
      <c r="C296" s="20"/>
      <c r="D296" s="20"/>
      <c r="E296" s="20"/>
      <c r="F296" s="69">
        <f>F294+F295</f>
        <v>90</v>
      </c>
      <c r="G296" s="1" t="s">
        <v>529</v>
      </c>
    </row>
    <row r="301" spans="1:7" x14ac:dyDescent="0.2">
      <c r="A301" s="1" t="s">
        <v>531</v>
      </c>
    </row>
    <row r="302" spans="1:7" x14ac:dyDescent="0.2">
      <c r="D302" s="70"/>
    </row>
    <row r="309" spans="1:9" ht="17" thickBot="1" x14ac:dyDescent="0.25"/>
    <row r="310" spans="1:9" ht="17" thickBot="1" x14ac:dyDescent="0.25">
      <c r="A310" s="60" t="s">
        <v>431</v>
      </c>
      <c r="B310" s="61"/>
      <c r="C310" s="61"/>
      <c r="D310" s="61"/>
      <c r="E310" s="61"/>
      <c r="F310" s="61"/>
      <c r="G310" s="61"/>
      <c r="H310" s="62">
        <v>2.4</v>
      </c>
      <c r="I310" s="18" t="s">
        <v>3089</v>
      </c>
    </row>
    <row r="312" spans="1:9" x14ac:dyDescent="0.2">
      <c r="A312" s="1" t="s">
        <v>3100</v>
      </c>
    </row>
    <row r="313" spans="1:9" x14ac:dyDescent="0.2">
      <c r="A313" s="52" t="s">
        <v>432</v>
      </c>
    </row>
    <row r="315" spans="1:9" x14ac:dyDescent="0.2">
      <c r="A315" s="1" t="s">
        <v>146</v>
      </c>
    </row>
    <row r="316" spans="1:9" s="116" customFormat="1" x14ac:dyDescent="0.2"/>
    <row r="317" spans="1:9" s="116" customFormat="1" x14ac:dyDescent="0.2">
      <c r="A317" s="116" t="s">
        <v>3090</v>
      </c>
    </row>
    <row r="318" spans="1:9" s="116" customFormat="1" x14ac:dyDescent="0.2">
      <c r="B318" s="116" t="s">
        <v>3091</v>
      </c>
    </row>
    <row r="319" spans="1:9" s="116" customFormat="1" x14ac:dyDescent="0.2">
      <c r="B319" s="116" t="s">
        <v>3092</v>
      </c>
    </row>
    <row r="320" spans="1:9" s="116" customFormat="1" x14ac:dyDescent="0.2">
      <c r="B320" s="116" t="s">
        <v>3093</v>
      </c>
    </row>
    <row r="321" spans="1:11" s="116" customFormat="1" x14ac:dyDescent="0.2">
      <c r="B321" s="116" t="s">
        <v>3094</v>
      </c>
    </row>
    <row r="322" spans="1:11" s="116" customFormat="1" x14ac:dyDescent="0.2"/>
    <row r="323" spans="1:11" s="116" customFormat="1" x14ac:dyDescent="0.2">
      <c r="B323" s="116" t="s">
        <v>3095</v>
      </c>
    </row>
    <row r="324" spans="1:11" s="116" customFormat="1" ht="17" thickBot="1" x14ac:dyDescent="0.25">
      <c r="B324" s="116" t="s">
        <v>3096</v>
      </c>
    </row>
    <row r="325" spans="1:11" s="116" customFormat="1" x14ac:dyDescent="0.2">
      <c r="B325" s="281"/>
      <c r="C325" s="282"/>
      <c r="D325" s="282"/>
      <c r="E325" s="282"/>
      <c r="F325" s="282"/>
      <c r="G325" s="282"/>
      <c r="H325" s="282"/>
      <c r="I325" s="282"/>
      <c r="J325" s="282"/>
      <c r="K325" s="283"/>
    </row>
    <row r="326" spans="1:11" s="116" customFormat="1" x14ac:dyDescent="0.2">
      <c r="B326" s="284" t="s">
        <v>3097</v>
      </c>
      <c r="H326" s="435" t="s">
        <v>3098</v>
      </c>
      <c r="I326" s="116" t="s">
        <v>3099</v>
      </c>
      <c r="K326" s="285"/>
    </row>
    <row r="327" spans="1:11" s="116" customFormat="1" x14ac:dyDescent="0.2">
      <c r="B327" s="284"/>
      <c r="K327" s="285"/>
    </row>
    <row r="328" spans="1:11" s="116" customFormat="1" ht="17" thickBot="1" x14ac:dyDescent="0.25">
      <c r="B328" s="287"/>
      <c r="C328" s="288"/>
      <c r="D328" s="288"/>
      <c r="E328" s="288"/>
      <c r="F328" s="288"/>
      <c r="G328" s="288"/>
      <c r="H328" s="288"/>
      <c r="I328" s="288"/>
      <c r="J328" s="288"/>
      <c r="K328" s="289"/>
    </row>
    <row r="329" spans="1:11" s="116" customFormat="1" x14ac:dyDescent="0.2"/>
    <row r="330" spans="1:11" s="116" customFormat="1" x14ac:dyDescent="0.2">
      <c r="A330" s="116" t="s">
        <v>532</v>
      </c>
    </row>
    <row r="331" spans="1:11" s="116" customFormat="1" x14ac:dyDescent="0.2">
      <c r="B331" s="116" t="s">
        <v>533</v>
      </c>
    </row>
    <row r="332" spans="1:11" s="116" customFormat="1" x14ac:dyDescent="0.2"/>
    <row r="333" spans="1:11" s="116" customFormat="1" x14ac:dyDescent="0.2">
      <c r="B333" s="116" t="s">
        <v>534</v>
      </c>
      <c r="E333" s="116" t="s">
        <v>535</v>
      </c>
    </row>
    <row r="334" spans="1:11" s="116" customFormat="1" x14ac:dyDescent="0.2"/>
    <row r="335" spans="1:11" s="116" customFormat="1" x14ac:dyDescent="0.2">
      <c r="I335" s="238"/>
    </row>
    <row r="336" spans="1:11" s="116" customFormat="1" x14ac:dyDescent="0.2">
      <c r="E336" s="116" t="s">
        <v>538</v>
      </c>
    </row>
    <row r="337" spans="1:12" s="116" customFormat="1" x14ac:dyDescent="0.2">
      <c r="E337" s="116" t="s">
        <v>539</v>
      </c>
    </row>
    <row r="338" spans="1:12" s="116" customFormat="1" x14ac:dyDescent="0.2">
      <c r="A338" s="492">
        <f>(1+20%/12)^12-1</f>
        <v>0.21939108490523185</v>
      </c>
      <c r="E338" s="116" t="s">
        <v>540</v>
      </c>
    </row>
    <row r="339" spans="1:12" s="116" customFormat="1" x14ac:dyDescent="0.2">
      <c r="A339" s="492"/>
      <c r="E339" s="116" t="s">
        <v>541</v>
      </c>
    </row>
    <row r="340" spans="1:12" s="116" customFormat="1" x14ac:dyDescent="0.2"/>
    <row r="341" spans="1:12" s="116" customFormat="1" x14ac:dyDescent="0.2">
      <c r="A341" s="116" t="s">
        <v>536</v>
      </c>
    </row>
    <row r="342" spans="1:12" s="116" customFormat="1" x14ac:dyDescent="0.2">
      <c r="A342" s="116" t="s">
        <v>542</v>
      </c>
    </row>
    <row r="343" spans="1:12" x14ac:dyDescent="0.2">
      <c r="A343" s="1" t="s">
        <v>537</v>
      </c>
    </row>
    <row r="345" spans="1:12" x14ac:dyDescent="0.2">
      <c r="A345" s="2" t="s">
        <v>1867</v>
      </c>
      <c r="B345" s="2"/>
      <c r="C345" s="2"/>
      <c r="D345" s="2" t="s">
        <v>1879</v>
      </c>
      <c r="E345" s="2"/>
      <c r="F345" s="2"/>
      <c r="G345" s="2"/>
      <c r="H345" s="2"/>
    </row>
    <row r="346" spans="1:12" x14ac:dyDescent="0.2">
      <c r="J346" s="1" t="s">
        <v>3101</v>
      </c>
    </row>
    <row r="350" spans="1:12" x14ac:dyDescent="0.2">
      <c r="J350" s="1" t="s">
        <v>3102</v>
      </c>
      <c r="K350" s="20" t="s">
        <v>3104</v>
      </c>
      <c r="L350" s="1" t="s">
        <v>3105</v>
      </c>
    </row>
    <row r="351" spans="1:12" x14ac:dyDescent="0.2">
      <c r="K351" s="20" t="s">
        <v>3103</v>
      </c>
      <c r="L351" s="1" t="s">
        <v>3106</v>
      </c>
    </row>
    <row r="353" spans="1:16" x14ac:dyDescent="0.2">
      <c r="J353" s="1" t="s">
        <v>3107</v>
      </c>
    </row>
    <row r="354" spans="1:16" x14ac:dyDescent="0.2">
      <c r="L354" s="168">
        <f>1/0.7-1</f>
        <v>0.4285714285714286</v>
      </c>
    </row>
    <row r="356" spans="1:16" x14ac:dyDescent="0.2">
      <c r="J356" s="1" t="s">
        <v>3108</v>
      </c>
    </row>
    <row r="357" spans="1:16" x14ac:dyDescent="0.2">
      <c r="J357" s="1" t="s">
        <v>3109</v>
      </c>
    </row>
    <row r="358" spans="1:16" x14ac:dyDescent="0.2">
      <c r="C358" s="20">
        <v>5</v>
      </c>
      <c r="D358" s="20"/>
      <c r="E358" s="20"/>
      <c r="F358" s="20"/>
      <c r="G358" s="20">
        <v>0</v>
      </c>
    </row>
    <row r="359" spans="1:16" ht="17" thickBot="1" x14ac:dyDescent="0.25">
      <c r="C359" s="20"/>
      <c r="D359" s="20"/>
      <c r="E359" s="20"/>
      <c r="F359" s="20"/>
      <c r="G359" s="20"/>
      <c r="K359" s="75">
        <f>(1+L354)^0.2-1</f>
        <v>7.3940923785779322E-2</v>
      </c>
    </row>
    <row r="360" spans="1:16" ht="17" thickBot="1" x14ac:dyDescent="0.25">
      <c r="B360" s="1" t="s">
        <v>1871</v>
      </c>
      <c r="C360" s="239">
        <f>G360</f>
        <v>100</v>
      </c>
      <c r="D360" s="20"/>
      <c r="E360" s="20"/>
      <c r="F360" s="20"/>
      <c r="G360" s="20">
        <v>100</v>
      </c>
      <c r="H360" s="1" t="s">
        <v>1868</v>
      </c>
    </row>
    <row r="361" spans="1:16" ht="17" thickBot="1" x14ac:dyDescent="0.25">
      <c r="C361" s="20"/>
      <c r="D361" s="20"/>
      <c r="E361" s="20"/>
      <c r="F361" s="20"/>
      <c r="G361" s="20">
        <v>-30</v>
      </c>
      <c r="H361" s="1" t="s">
        <v>1869</v>
      </c>
      <c r="J361" s="12" t="s">
        <v>3110</v>
      </c>
      <c r="K361" s="13"/>
      <c r="L361" s="13"/>
      <c r="M361" s="13"/>
      <c r="N361" s="13"/>
      <c r="O361" s="13"/>
      <c r="P361" s="14"/>
    </row>
    <row r="362" spans="1:16" ht="17" thickBot="1" x14ac:dyDescent="0.25">
      <c r="G362" s="239">
        <f>G360+G361</f>
        <v>70</v>
      </c>
      <c r="H362" s="1" t="s">
        <v>1870</v>
      </c>
      <c r="J362" s="72" t="s">
        <v>3111</v>
      </c>
      <c r="P362" s="73"/>
    </row>
    <row r="363" spans="1:16" ht="17" thickBot="1" x14ac:dyDescent="0.25">
      <c r="J363" s="15" t="s">
        <v>3112</v>
      </c>
      <c r="K363" s="16"/>
      <c r="L363" s="16"/>
      <c r="M363" s="16"/>
      <c r="N363" s="16"/>
      <c r="O363" s="16"/>
      <c r="P363" s="17"/>
    </row>
    <row r="364" spans="1:16" x14ac:dyDescent="0.2">
      <c r="A364" s="1" t="s">
        <v>1872</v>
      </c>
    </row>
    <row r="365" spans="1:16" x14ac:dyDescent="0.2">
      <c r="A365" s="1" t="s">
        <v>1873</v>
      </c>
    </row>
    <row r="367" spans="1:16" x14ac:dyDescent="0.2">
      <c r="C367" s="68">
        <f>100/70-1</f>
        <v>0.4285714285714286</v>
      </c>
    </row>
    <row r="369" spans="1:2" x14ac:dyDescent="0.2">
      <c r="A369" s="1" t="s">
        <v>1874</v>
      </c>
    </row>
    <row r="371" spans="1:2" x14ac:dyDescent="0.2">
      <c r="A371" s="1" t="s">
        <v>1875</v>
      </c>
    </row>
    <row r="372" spans="1:2" x14ac:dyDescent="0.2">
      <c r="A372" s="1" t="s">
        <v>1876</v>
      </c>
    </row>
    <row r="378" spans="1:2" x14ac:dyDescent="0.2">
      <c r="B378" s="493">
        <f>(1+42.86%)^0.2-1</f>
        <v>7.3945219515108684E-2</v>
      </c>
    </row>
    <row r="379" spans="1:2" x14ac:dyDescent="0.2">
      <c r="B379" s="493"/>
    </row>
    <row r="381" spans="1:2" x14ac:dyDescent="0.2">
      <c r="A381" s="63" t="s">
        <v>1877</v>
      </c>
    </row>
    <row r="387" spans="1:8" x14ac:dyDescent="0.2">
      <c r="A387" s="1" t="s">
        <v>1878</v>
      </c>
    </row>
    <row r="398" spans="1:8" x14ac:dyDescent="0.2">
      <c r="C398" s="20">
        <v>2.5</v>
      </c>
      <c r="G398" s="20">
        <v>0</v>
      </c>
    </row>
    <row r="399" spans="1:8" x14ac:dyDescent="0.2">
      <c r="C399" s="20"/>
      <c r="G399" s="20"/>
    </row>
    <row r="400" spans="1:8" x14ac:dyDescent="0.2">
      <c r="B400" s="1" t="s">
        <v>1865</v>
      </c>
      <c r="C400" s="24">
        <v>112000</v>
      </c>
      <c r="G400" s="24">
        <v>100000</v>
      </c>
      <c r="H400" s="1" t="s">
        <v>1880</v>
      </c>
    </row>
    <row r="401" spans="1:10" x14ac:dyDescent="0.2">
      <c r="C401" s="20"/>
      <c r="G401" s="20"/>
    </row>
    <row r="402" spans="1:10" x14ac:dyDescent="0.2">
      <c r="A402" s="1" t="s">
        <v>1881</v>
      </c>
    </row>
    <row r="406" spans="1:10" x14ac:dyDescent="0.2">
      <c r="A406" s="1" t="s">
        <v>1882</v>
      </c>
    </row>
    <row r="407" spans="1:10" ht="17" thickBot="1" x14ac:dyDescent="0.25"/>
    <row r="408" spans="1:10" x14ac:dyDescent="0.2">
      <c r="B408" s="109"/>
      <c r="C408" s="240" t="s">
        <v>1883</v>
      </c>
      <c r="D408" s="240"/>
      <c r="E408" s="240"/>
      <c r="F408" s="240" t="s">
        <v>1887</v>
      </c>
      <c r="G408" s="240"/>
      <c r="H408" s="240"/>
      <c r="I408" s="240" t="s">
        <v>1891</v>
      </c>
      <c r="J408" s="110"/>
    </row>
    <row r="409" spans="1:10" x14ac:dyDescent="0.2">
      <c r="B409" s="111"/>
      <c r="C409" s="241" t="s">
        <v>1884</v>
      </c>
      <c r="D409" s="241"/>
      <c r="E409" s="241"/>
      <c r="F409" s="241" t="s">
        <v>1888</v>
      </c>
      <c r="G409" s="241"/>
      <c r="H409" s="241"/>
      <c r="I409" s="241" t="s">
        <v>1892</v>
      </c>
      <c r="J409" s="112"/>
    </row>
    <row r="410" spans="1:10" x14ac:dyDescent="0.2">
      <c r="B410" s="111"/>
      <c r="C410" s="241" t="s">
        <v>1885</v>
      </c>
      <c r="D410" s="241"/>
      <c r="E410" s="241"/>
      <c r="F410" s="241" t="s">
        <v>1889</v>
      </c>
      <c r="G410" s="241"/>
      <c r="H410" s="241"/>
      <c r="I410" s="241" t="s">
        <v>1886</v>
      </c>
      <c r="J410" s="112"/>
    </row>
    <row r="411" spans="1:10" s="116" customFormat="1" x14ac:dyDescent="0.2">
      <c r="B411" s="111"/>
      <c r="C411" s="241" t="s">
        <v>1886</v>
      </c>
      <c r="D411" s="241"/>
      <c r="E411" s="241"/>
      <c r="F411" s="241" t="s">
        <v>1890</v>
      </c>
      <c r="G411" s="241"/>
      <c r="H411" s="241"/>
      <c r="I411" s="241"/>
      <c r="J411" s="112"/>
    </row>
    <row r="412" spans="1:10" s="116" customFormat="1" x14ac:dyDescent="0.2">
      <c r="B412" s="111"/>
      <c r="C412" s="241"/>
      <c r="D412" s="241"/>
      <c r="E412" s="241"/>
      <c r="F412" s="241"/>
      <c r="G412" s="241"/>
      <c r="H412" s="241"/>
      <c r="I412" s="241"/>
      <c r="J412" s="112"/>
    </row>
    <row r="413" spans="1:10" s="116" customFormat="1" x14ac:dyDescent="0.2">
      <c r="B413" s="111"/>
      <c r="C413" s="241"/>
      <c r="D413" s="241"/>
      <c r="E413" s="241"/>
      <c r="F413" s="241"/>
      <c r="G413" s="241"/>
      <c r="H413" s="241"/>
      <c r="I413" s="242"/>
      <c r="J413" s="112"/>
    </row>
    <row r="414" spans="1:10" x14ac:dyDescent="0.2">
      <c r="B414" s="111"/>
      <c r="C414" s="241"/>
      <c r="D414" s="241"/>
      <c r="E414" s="241"/>
      <c r="F414" s="241"/>
      <c r="G414" s="241"/>
      <c r="H414" s="241"/>
      <c r="I414" s="241"/>
      <c r="J414" s="112"/>
    </row>
    <row r="415" spans="1:10" x14ac:dyDescent="0.2">
      <c r="B415" s="111"/>
      <c r="C415" s="241"/>
      <c r="D415" s="241"/>
      <c r="E415" s="241"/>
      <c r="F415" s="241"/>
      <c r="G415" s="241"/>
      <c r="H415" s="241"/>
      <c r="I415" s="241"/>
      <c r="J415" s="112"/>
    </row>
    <row r="416" spans="1:10" x14ac:dyDescent="0.2">
      <c r="B416" s="111"/>
      <c r="C416" s="243">
        <f>(1+12%)^(1/2.5)-1</f>
        <v>4.6374648548560771E-2</v>
      </c>
      <c r="D416" s="241"/>
      <c r="E416" s="241"/>
      <c r="F416" s="241"/>
      <c r="G416" s="241"/>
      <c r="H416" s="241"/>
      <c r="I416" s="241"/>
      <c r="J416" s="112"/>
    </row>
    <row r="417" spans="2:10" ht="17" thickBot="1" x14ac:dyDescent="0.25">
      <c r="B417" s="113"/>
      <c r="C417" s="244"/>
      <c r="D417" s="244"/>
      <c r="E417" s="244"/>
      <c r="F417" s="244"/>
      <c r="G417" s="244"/>
      <c r="H417" s="244"/>
      <c r="I417" s="244"/>
      <c r="J417" s="114"/>
    </row>
  </sheetData>
  <mergeCells count="4">
    <mergeCell ref="A338:A339"/>
    <mergeCell ref="B378:B379"/>
    <mergeCell ref="J272:Q272"/>
    <mergeCell ref="K271:L271"/>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45C89D-9D28-014D-AAE2-AE5CA60E2130}">
  <dimension ref="A1:P384"/>
  <sheetViews>
    <sheetView rightToLeft="1" zoomScale="255" zoomScaleNormal="132" workbookViewId="0">
      <selection activeCell="H335" sqref="H335"/>
    </sheetView>
  </sheetViews>
  <sheetFormatPr baseColWidth="10" defaultRowHeight="16" x14ac:dyDescent="0.2"/>
  <cols>
    <col min="1" max="4" width="10.83203125" style="1"/>
    <col min="5" max="5" width="11.6640625" style="1" bestFit="1" customWidth="1"/>
    <col min="6" max="16384" width="10.83203125" style="1"/>
  </cols>
  <sheetData>
    <row r="1" spans="1:8" x14ac:dyDescent="0.2">
      <c r="A1" s="6" t="s">
        <v>1893</v>
      </c>
      <c r="B1" s="5"/>
      <c r="C1" s="5"/>
      <c r="D1" s="5"/>
      <c r="E1" s="5"/>
      <c r="F1" s="5"/>
      <c r="G1" s="5"/>
      <c r="H1" s="246">
        <v>45897</v>
      </c>
    </row>
    <row r="2" spans="1:8" ht="17" thickBot="1" x14ac:dyDescent="0.25"/>
    <row r="3" spans="1:8" ht="17" thickBot="1" x14ac:dyDescent="0.25">
      <c r="A3" s="60" t="s">
        <v>1894</v>
      </c>
      <c r="B3" s="61"/>
      <c r="C3" s="61"/>
      <c r="D3" s="61"/>
      <c r="E3" s="61"/>
      <c r="F3" s="61"/>
      <c r="G3" s="61"/>
      <c r="H3" s="127"/>
    </row>
    <row r="5" spans="1:8" x14ac:dyDescent="0.2">
      <c r="A5" s="151" t="s">
        <v>909</v>
      </c>
      <c r="B5" s="151"/>
      <c r="C5" s="151"/>
      <c r="D5" s="151"/>
      <c r="E5" s="151"/>
      <c r="F5" s="151"/>
      <c r="G5" s="151"/>
      <c r="H5" s="151"/>
    </row>
    <row r="6" spans="1:8" x14ac:dyDescent="0.2">
      <c r="A6" s="1" t="s">
        <v>1895</v>
      </c>
    </row>
    <row r="7" spans="1:8" x14ac:dyDescent="0.2">
      <c r="A7" s="1" t="s">
        <v>1896</v>
      </c>
    </row>
    <row r="8" spans="1:8" x14ac:dyDescent="0.2">
      <c r="A8" s="1" t="s">
        <v>1897</v>
      </c>
    </row>
    <row r="10" spans="1:8" x14ac:dyDescent="0.2">
      <c r="A10" s="1" t="s">
        <v>146</v>
      </c>
    </row>
    <row r="12" spans="1:8" x14ac:dyDescent="0.2">
      <c r="A12" s="1" t="s">
        <v>1898</v>
      </c>
    </row>
    <row r="13" spans="1:8" x14ac:dyDescent="0.2">
      <c r="A13" s="1" t="s">
        <v>1899</v>
      </c>
    </row>
    <row r="14" spans="1:8" x14ac:dyDescent="0.2">
      <c r="A14" s="1" t="s">
        <v>1900</v>
      </c>
    </row>
    <row r="16" spans="1:8" x14ac:dyDescent="0.2">
      <c r="A16" s="1" t="s">
        <v>1901</v>
      </c>
    </row>
    <row r="17" spans="1:8" x14ac:dyDescent="0.2">
      <c r="B17" s="20">
        <v>11</v>
      </c>
      <c r="C17" s="20">
        <v>10</v>
      </c>
      <c r="D17" s="20" t="s">
        <v>1905</v>
      </c>
      <c r="E17" s="20">
        <v>2</v>
      </c>
      <c r="F17" s="20">
        <v>1</v>
      </c>
      <c r="G17" s="20">
        <v>0</v>
      </c>
    </row>
    <row r="18" spans="1:8" x14ac:dyDescent="0.2">
      <c r="A18" s="1" t="s">
        <v>503</v>
      </c>
      <c r="G18" s="20"/>
    </row>
    <row r="19" spans="1:8" x14ac:dyDescent="0.2">
      <c r="G19" s="24">
        <v>20000</v>
      </c>
      <c r="H19" s="1" t="s">
        <v>1902</v>
      </c>
    </row>
    <row r="20" spans="1:8" x14ac:dyDescent="0.2">
      <c r="G20" s="247">
        <v>-2000</v>
      </c>
      <c r="H20" s="1" t="s">
        <v>1903</v>
      </c>
    </row>
    <row r="21" spans="1:8" x14ac:dyDescent="0.2">
      <c r="G21" s="67">
        <v>18000</v>
      </c>
      <c r="H21" s="1" t="s">
        <v>1904</v>
      </c>
    </row>
    <row r="24" spans="1:8" x14ac:dyDescent="0.2">
      <c r="A24" s="1" t="s">
        <v>1906</v>
      </c>
    </row>
    <row r="25" spans="1:8" x14ac:dyDescent="0.2">
      <c r="A25" s="1" t="s">
        <v>1907</v>
      </c>
    </row>
    <row r="26" spans="1:8" x14ac:dyDescent="0.2">
      <c r="A26" s="1" t="s">
        <v>1908</v>
      </c>
    </row>
    <row r="28" spans="1:8" x14ac:dyDescent="0.2">
      <c r="F28" s="21" t="s">
        <v>60</v>
      </c>
    </row>
    <row r="29" spans="1:8" x14ac:dyDescent="0.2">
      <c r="E29" s="20" t="s">
        <v>75</v>
      </c>
      <c r="F29" s="1" t="s">
        <v>111</v>
      </c>
    </row>
    <row r="30" spans="1:8" x14ac:dyDescent="0.2">
      <c r="E30" s="20">
        <v>11</v>
      </c>
      <c r="F30" s="1" t="s">
        <v>62</v>
      </c>
    </row>
    <row r="31" spans="1:8" x14ac:dyDescent="0.2">
      <c r="A31" s="1" t="s">
        <v>1912</v>
      </c>
      <c r="E31" s="248">
        <f>RATE(E30,E33,E32,E34)</f>
        <v>3.5031530362277151E-2</v>
      </c>
      <c r="F31" s="1" t="s">
        <v>63</v>
      </c>
      <c r="G31" s="1" t="s">
        <v>77</v>
      </c>
    </row>
    <row r="32" spans="1:8" x14ac:dyDescent="0.2">
      <c r="A32" s="1" t="s">
        <v>1909</v>
      </c>
      <c r="E32" s="24">
        <v>18000</v>
      </c>
      <c r="F32" s="1" t="s">
        <v>64</v>
      </c>
    </row>
    <row r="33" spans="1:9" x14ac:dyDescent="0.2">
      <c r="A33" s="1" t="s">
        <v>1910</v>
      </c>
      <c r="E33" s="24">
        <v>-2000</v>
      </c>
      <c r="F33" s="1" t="s">
        <v>65</v>
      </c>
    </row>
    <row r="34" spans="1:9" x14ac:dyDescent="0.2">
      <c r="A34" s="1" t="s">
        <v>1911</v>
      </c>
      <c r="E34" s="20">
        <v>0</v>
      </c>
      <c r="F34" s="1" t="s">
        <v>66</v>
      </c>
      <c r="I34" s="1" t="s">
        <v>1917</v>
      </c>
    </row>
    <row r="36" spans="1:9" x14ac:dyDescent="0.2">
      <c r="A36" s="1" t="s">
        <v>1913</v>
      </c>
    </row>
    <row r="37" spans="1:9" x14ac:dyDescent="0.2">
      <c r="A37" s="1" t="s">
        <v>1914</v>
      </c>
    </row>
    <row r="38" spans="1:9" x14ac:dyDescent="0.2">
      <c r="A38" s="1" t="s">
        <v>1915</v>
      </c>
    </row>
    <row r="40" spans="1:9" x14ac:dyDescent="0.2">
      <c r="A40" s="1" t="s">
        <v>1916</v>
      </c>
    </row>
    <row r="43" spans="1:9" x14ac:dyDescent="0.2">
      <c r="C43" s="249">
        <f>(1+E31)^12-1</f>
        <v>0.51162115040110945</v>
      </c>
    </row>
    <row r="44" spans="1:9" ht="17" thickBot="1" x14ac:dyDescent="0.25">
      <c r="C44" s="168"/>
    </row>
    <row r="45" spans="1:9" ht="17" thickBot="1" x14ac:dyDescent="0.25">
      <c r="A45" s="60" t="s">
        <v>1918</v>
      </c>
      <c r="B45" s="61"/>
      <c r="C45" s="61"/>
      <c r="D45" s="61"/>
      <c r="E45" s="61"/>
      <c r="F45" s="61"/>
      <c r="G45" s="61"/>
      <c r="H45" s="127"/>
    </row>
    <row r="46" spans="1:9" x14ac:dyDescent="0.2">
      <c r="C46" s="168"/>
    </row>
    <row r="47" spans="1:9" x14ac:dyDescent="0.2">
      <c r="A47" s="1" t="s">
        <v>1919</v>
      </c>
      <c r="C47" s="168"/>
    </row>
    <row r="48" spans="1:9" x14ac:dyDescent="0.2">
      <c r="A48" s="1" t="s">
        <v>1922</v>
      </c>
      <c r="C48" s="168"/>
    </row>
    <row r="49" spans="1:7" x14ac:dyDescent="0.2">
      <c r="A49" s="1" t="s">
        <v>1920</v>
      </c>
      <c r="C49" s="168"/>
    </row>
    <row r="50" spans="1:7" x14ac:dyDescent="0.2">
      <c r="A50" s="1" t="s">
        <v>1921</v>
      </c>
      <c r="C50" s="168"/>
    </row>
    <row r="51" spans="1:7" x14ac:dyDescent="0.2">
      <c r="C51" s="168"/>
    </row>
    <row r="52" spans="1:7" x14ac:dyDescent="0.2">
      <c r="C52" s="168"/>
    </row>
    <row r="53" spans="1:7" x14ac:dyDescent="0.2">
      <c r="C53" s="168"/>
    </row>
    <row r="54" spans="1:7" x14ac:dyDescent="0.2">
      <c r="A54" s="1" t="s">
        <v>1924</v>
      </c>
      <c r="B54" s="20" t="s">
        <v>1923</v>
      </c>
      <c r="C54" s="20">
        <v>16</v>
      </c>
      <c r="D54" s="20">
        <v>15</v>
      </c>
      <c r="E54" s="20"/>
      <c r="F54" s="20">
        <v>1</v>
      </c>
      <c r="G54" s="20">
        <v>0</v>
      </c>
    </row>
    <row r="55" spans="1:7" x14ac:dyDescent="0.2">
      <c r="C55" s="168"/>
      <c r="G55" s="20"/>
    </row>
    <row r="56" spans="1:7" x14ac:dyDescent="0.2">
      <c r="C56" s="168"/>
      <c r="D56" s="250" t="s">
        <v>1930</v>
      </c>
      <c r="G56" s="20" t="s">
        <v>1128</v>
      </c>
    </row>
    <row r="57" spans="1:7" x14ac:dyDescent="0.2">
      <c r="C57" s="168"/>
      <c r="G57" s="20" t="s">
        <v>1925</v>
      </c>
    </row>
    <row r="58" spans="1:7" x14ac:dyDescent="0.2">
      <c r="C58" s="168"/>
      <c r="G58" s="20" t="s">
        <v>1926</v>
      </c>
    </row>
    <row r="59" spans="1:7" x14ac:dyDescent="0.2">
      <c r="C59" s="168"/>
      <c r="G59" s="20" t="s">
        <v>1927</v>
      </c>
    </row>
    <row r="60" spans="1:7" x14ac:dyDescent="0.2">
      <c r="C60" s="168"/>
      <c r="G60" s="20" t="s">
        <v>1928</v>
      </c>
    </row>
    <row r="61" spans="1:7" x14ac:dyDescent="0.2">
      <c r="C61" s="168"/>
      <c r="G61" s="20" t="s">
        <v>1929</v>
      </c>
    </row>
    <row r="62" spans="1:7" x14ac:dyDescent="0.2">
      <c r="C62" s="168"/>
    </row>
    <row r="63" spans="1:7" x14ac:dyDescent="0.2">
      <c r="C63" s="168"/>
    </row>
    <row r="64" spans="1:7" x14ac:dyDescent="0.2">
      <c r="C64" s="168"/>
    </row>
    <row r="65" spans="1:8" x14ac:dyDescent="0.2">
      <c r="C65" s="168"/>
      <c r="D65" s="27" t="s">
        <v>172</v>
      </c>
      <c r="E65" s="27" t="s">
        <v>171</v>
      </c>
      <c r="F65" s="10" t="s">
        <v>60</v>
      </c>
    </row>
    <row r="66" spans="1:8" x14ac:dyDescent="0.2">
      <c r="C66" s="168"/>
      <c r="D66" s="20" t="s">
        <v>75</v>
      </c>
      <c r="E66" s="20" t="s">
        <v>75</v>
      </c>
      <c r="F66" s="1" t="s">
        <v>111</v>
      </c>
    </row>
    <row r="67" spans="1:8" x14ac:dyDescent="0.2">
      <c r="C67" s="168"/>
      <c r="D67" s="20">
        <v>15</v>
      </c>
      <c r="E67" s="20">
        <v>999</v>
      </c>
      <c r="F67" s="1" t="s">
        <v>62</v>
      </c>
    </row>
    <row r="68" spans="1:8" ht="17" thickBot="1" x14ac:dyDescent="0.25">
      <c r="C68" s="168"/>
      <c r="D68" s="20">
        <v>8</v>
      </c>
      <c r="E68" s="20">
        <v>8</v>
      </c>
      <c r="F68" s="1" t="s">
        <v>63</v>
      </c>
    </row>
    <row r="69" spans="1:8" ht="17" thickBot="1" x14ac:dyDescent="0.25">
      <c r="C69" s="168"/>
      <c r="D69" s="251">
        <f>PV(D68/100,D67,D70,D71)</f>
        <v>-364535.30819133739</v>
      </c>
      <c r="E69" s="50">
        <f>PV(E68/100,E67,E70,E71)</f>
        <v>-287500</v>
      </c>
      <c r="F69" s="1" t="s">
        <v>64</v>
      </c>
      <c r="G69" s="1" t="s">
        <v>227</v>
      </c>
    </row>
    <row r="70" spans="1:8" x14ac:dyDescent="0.2">
      <c r="C70" s="168"/>
      <c r="D70" s="20">
        <v>32000</v>
      </c>
      <c r="E70" s="20">
        <v>23000</v>
      </c>
      <c r="F70" s="1" t="s">
        <v>65</v>
      </c>
    </row>
    <row r="71" spans="1:8" x14ac:dyDescent="0.2">
      <c r="C71" s="168"/>
      <c r="D71" s="50">
        <f>-E69</f>
        <v>287500</v>
      </c>
      <c r="E71" s="20">
        <v>0</v>
      </c>
      <c r="F71" s="1" t="s">
        <v>66</v>
      </c>
    </row>
    <row r="72" spans="1:8" x14ac:dyDescent="0.2">
      <c r="C72" s="168"/>
    </row>
    <row r="73" spans="1:8" x14ac:dyDescent="0.2">
      <c r="A73" s="1" t="s">
        <v>1931</v>
      </c>
      <c r="C73" s="168"/>
    </row>
    <row r="74" spans="1:8" x14ac:dyDescent="0.2">
      <c r="C74" s="168"/>
    </row>
    <row r="75" spans="1:8" x14ac:dyDescent="0.2">
      <c r="C75" s="168"/>
    </row>
    <row r="76" spans="1:8" x14ac:dyDescent="0.2">
      <c r="C76" s="168"/>
    </row>
    <row r="77" spans="1:8" x14ac:dyDescent="0.2">
      <c r="C77" s="168"/>
    </row>
    <row r="78" spans="1:8" x14ac:dyDescent="0.2">
      <c r="C78" s="168"/>
    </row>
    <row r="79" spans="1:8" ht="23" x14ac:dyDescent="0.25">
      <c r="A79" s="6" t="s">
        <v>3113</v>
      </c>
      <c r="B79" s="6"/>
      <c r="C79" s="94"/>
      <c r="D79" s="6"/>
      <c r="E79" s="6"/>
      <c r="F79" s="6"/>
      <c r="G79" s="6"/>
      <c r="H79" s="6"/>
    </row>
    <row r="80" spans="1:8" x14ac:dyDescent="0.2">
      <c r="A80" s="18" t="s">
        <v>548</v>
      </c>
    </row>
    <row r="81" spans="1:10" x14ac:dyDescent="0.2">
      <c r="A81" s="1" t="s">
        <v>549</v>
      </c>
    </row>
    <row r="82" spans="1:10" x14ac:dyDescent="0.2">
      <c r="A82" s="1" t="s">
        <v>613</v>
      </c>
    </row>
    <row r="83" spans="1:10" x14ac:dyDescent="0.2">
      <c r="A83" s="1" t="s">
        <v>550</v>
      </c>
    </row>
    <row r="84" spans="1:10" x14ac:dyDescent="0.2">
      <c r="J84" s="1" t="s">
        <v>3114</v>
      </c>
    </row>
    <row r="85" spans="1:10" x14ac:dyDescent="0.2">
      <c r="A85" s="18" t="s">
        <v>551</v>
      </c>
      <c r="J85" s="1" t="s">
        <v>3115</v>
      </c>
    </row>
    <row r="86" spans="1:10" x14ac:dyDescent="0.2">
      <c r="A86" s="1" t="s">
        <v>614</v>
      </c>
      <c r="I86" s="20" t="s">
        <v>3117</v>
      </c>
      <c r="J86" s="1" t="s">
        <v>3120</v>
      </c>
    </row>
    <row r="87" spans="1:10" ht="17" thickBot="1" x14ac:dyDescent="0.25">
      <c r="A87" s="1" t="s">
        <v>615</v>
      </c>
      <c r="I87" s="20"/>
      <c r="J87" s="1" t="s">
        <v>3116</v>
      </c>
    </row>
    <row r="88" spans="1:10" x14ac:dyDescent="0.2">
      <c r="A88" s="18" t="s">
        <v>552</v>
      </c>
      <c r="B88" s="12" t="s">
        <v>616</v>
      </c>
      <c r="C88" s="13"/>
      <c r="D88" s="13"/>
      <c r="E88" s="13"/>
      <c r="F88" s="13"/>
      <c r="G88" s="13"/>
      <c r="H88" s="14"/>
      <c r="I88" s="20" t="s">
        <v>3117</v>
      </c>
      <c r="J88" s="1" t="s">
        <v>3127</v>
      </c>
    </row>
    <row r="89" spans="1:10" ht="17" thickBot="1" x14ac:dyDescent="0.25">
      <c r="B89" s="15" t="s">
        <v>3121</v>
      </c>
      <c r="C89" s="16"/>
      <c r="D89" s="16"/>
      <c r="E89" s="16"/>
      <c r="F89" s="16"/>
      <c r="G89" s="16"/>
      <c r="H89" s="17"/>
      <c r="J89" s="1" t="s">
        <v>3118</v>
      </c>
    </row>
    <row r="90" spans="1:10" x14ac:dyDescent="0.2">
      <c r="B90" s="12" t="s">
        <v>553</v>
      </c>
      <c r="C90" s="13"/>
      <c r="D90" s="13"/>
      <c r="E90" s="13"/>
      <c r="F90" s="13"/>
      <c r="G90" s="13"/>
      <c r="H90" s="14"/>
      <c r="J90" s="1" t="s">
        <v>3119</v>
      </c>
    </row>
    <row r="91" spans="1:10" x14ac:dyDescent="0.2">
      <c r="B91" s="72" t="s">
        <v>554</v>
      </c>
      <c r="H91" s="73"/>
    </row>
    <row r="92" spans="1:10" ht="17" thickBot="1" x14ac:dyDescent="0.25">
      <c r="B92" s="436" t="s">
        <v>555</v>
      </c>
      <c r="C92" s="16"/>
      <c r="D92" s="16"/>
      <c r="E92" s="437" t="s">
        <v>3122</v>
      </c>
      <c r="F92" s="16"/>
      <c r="G92" s="16"/>
      <c r="H92" s="17"/>
    </row>
    <row r="93" spans="1:10" x14ac:dyDescent="0.2">
      <c r="B93" s="12" t="s">
        <v>3123</v>
      </c>
      <c r="C93" s="13"/>
      <c r="D93" s="13"/>
      <c r="E93" s="13"/>
      <c r="F93" s="13"/>
      <c r="G93" s="13"/>
      <c r="H93" s="14"/>
    </row>
    <row r="94" spans="1:10" x14ac:dyDescent="0.2">
      <c r="B94" s="72" t="s">
        <v>3124</v>
      </c>
      <c r="H94" s="73"/>
    </row>
    <row r="95" spans="1:10" ht="17" thickBot="1" x14ac:dyDescent="0.25">
      <c r="B95" s="15" t="s">
        <v>3125</v>
      </c>
      <c r="C95" s="16"/>
      <c r="D95" s="16"/>
      <c r="E95" s="16"/>
      <c r="F95" s="16"/>
      <c r="G95" s="16"/>
      <c r="H95" s="17"/>
    </row>
    <row r="96" spans="1:10" x14ac:dyDescent="0.2">
      <c r="A96" s="18" t="s">
        <v>556</v>
      </c>
      <c r="B96" s="12" t="s">
        <v>557</v>
      </c>
      <c r="C96" s="13"/>
      <c r="D96" s="13"/>
      <c r="E96" s="13"/>
      <c r="F96" s="13"/>
      <c r="G96" s="13"/>
      <c r="H96" s="14"/>
    </row>
    <row r="97" spans="1:12" ht="17" thickBot="1" x14ac:dyDescent="0.25">
      <c r="B97" s="15" t="s">
        <v>617</v>
      </c>
      <c r="C97" s="16"/>
      <c r="D97" s="16"/>
      <c r="E97" s="16"/>
      <c r="F97" s="16"/>
      <c r="G97" s="16"/>
      <c r="H97" s="17"/>
      <c r="J97" s="1" t="s">
        <v>3126</v>
      </c>
    </row>
    <row r="98" spans="1:12" x14ac:dyDescent="0.2">
      <c r="A98" s="18" t="s">
        <v>558</v>
      </c>
      <c r="B98" s="12" t="s">
        <v>559</v>
      </c>
      <c r="C98" s="13"/>
      <c r="D98" s="13"/>
      <c r="E98" s="13"/>
      <c r="F98" s="13"/>
      <c r="G98" s="13"/>
      <c r="H98" s="14"/>
    </row>
    <row r="99" spans="1:12" x14ac:dyDescent="0.2">
      <c r="B99" s="72" t="s">
        <v>560</v>
      </c>
      <c r="H99" s="73"/>
      <c r="J99" s="52" t="s">
        <v>3128</v>
      </c>
    </row>
    <row r="100" spans="1:12" x14ac:dyDescent="0.2">
      <c r="B100" s="72" t="s">
        <v>561</v>
      </c>
      <c r="H100" s="73"/>
      <c r="J100" s="1" t="s">
        <v>618</v>
      </c>
      <c r="L100" s="52" t="s">
        <v>3129</v>
      </c>
    </row>
    <row r="101" spans="1:12" x14ac:dyDescent="0.2">
      <c r="B101" s="72" t="s">
        <v>562</v>
      </c>
      <c r="H101" s="73"/>
      <c r="J101" s="1" t="s">
        <v>619</v>
      </c>
      <c r="L101" s="52" t="s">
        <v>3130</v>
      </c>
    </row>
    <row r="102" spans="1:12" ht="17" thickBot="1" x14ac:dyDescent="0.25">
      <c r="B102" s="15" t="s">
        <v>563</v>
      </c>
      <c r="C102" s="16"/>
      <c r="D102" s="16"/>
      <c r="E102" s="16"/>
      <c r="F102" s="16"/>
      <c r="G102" s="16"/>
      <c r="H102" s="17"/>
      <c r="J102" s="1" t="s">
        <v>620</v>
      </c>
    </row>
    <row r="104" spans="1:12" x14ac:dyDescent="0.2">
      <c r="A104" s="1" t="s">
        <v>564</v>
      </c>
    </row>
    <row r="106" spans="1:12" x14ac:dyDescent="0.2">
      <c r="A106" s="2" t="s">
        <v>1932</v>
      </c>
      <c r="B106" s="71"/>
      <c r="C106" s="71"/>
      <c r="D106" s="71"/>
      <c r="E106" s="71"/>
      <c r="F106" s="71"/>
      <c r="G106" s="71"/>
      <c r="H106" s="71"/>
    </row>
    <row r="107" spans="1:12" x14ac:dyDescent="0.2">
      <c r="A107" s="1" t="s">
        <v>621</v>
      </c>
    </row>
    <row r="108" spans="1:12" x14ac:dyDescent="0.2">
      <c r="B108" s="1" t="s">
        <v>596</v>
      </c>
      <c r="G108" s="1" t="s">
        <v>62</v>
      </c>
    </row>
    <row r="109" spans="1:12" x14ac:dyDescent="0.2">
      <c r="B109" s="1" t="s">
        <v>565</v>
      </c>
      <c r="G109" s="1" t="s">
        <v>612</v>
      </c>
    </row>
    <row r="110" spans="1:12" x14ac:dyDescent="0.2">
      <c r="B110" s="1" t="s">
        <v>597</v>
      </c>
      <c r="G110" s="1" t="s">
        <v>63</v>
      </c>
    </row>
    <row r="111" spans="1:12" x14ac:dyDescent="0.2">
      <c r="B111" s="1" t="s">
        <v>567</v>
      </c>
      <c r="G111" s="1" t="s">
        <v>66</v>
      </c>
    </row>
    <row r="112" spans="1:12" x14ac:dyDescent="0.2">
      <c r="B112" s="1" t="s">
        <v>590</v>
      </c>
      <c r="F112" s="5"/>
      <c r="G112" s="1" t="s">
        <v>64</v>
      </c>
      <c r="H112" s="1" t="s">
        <v>227</v>
      </c>
    </row>
    <row r="114" spans="1:2" x14ac:dyDescent="0.2">
      <c r="B114" s="1" t="s">
        <v>573</v>
      </c>
    </row>
    <row r="115" spans="1:2" x14ac:dyDescent="0.2">
      <c r="B115" s="1" t="s">
        <v>622</v>
      </c>
    </row>
    <row r="117" spans="1:2" x14ac:dyDescent="0.2">
      <c r="B117" s="1" t="s">
        <v>574</v>
      </c>
    </row>
    <row r="118" spans="1:2" x14ac:dyDescent="0.2">
      <c r="B118" s="1" t="s">
        <v>623</v>
      </c>
    </row>
    <row r="119" spans="1:2" x14ac:dyDescent="0.2">
      <c r="B119" s="1" t="s">
        <v>575</v>
      </c>
    </row>
    <row r="123" spans="1:2" x14ac:dyDescent="0.2">
      <c r="A123" s="1" t="s">
        <v>588</v>
      </c>
      <c r="B123" s="1" t="s">
        <v>589</v>
      </c>
    </row>
    <row r="129" spans="1:8" x14ac:dyDescent="0.2">
      <c r="D129" s="1" t="s">
        <v>594</v>
      </c>
      <c r="F129" s="1" t="s">
        <v>592</v>
      </c>
      <c r="H129" s="1" t="s">
        <v>591</v>
      </c>
    </row>
    <row r="130" spans="1:8" x14ac:dyDescent="0.2">
      <c r="D130" s="1" t="s">
        <v>567</v>
      </c>
      <c r="F130" s="1" t="s">
        <v>593</v>
      </c>
    </row>
    <row r="131" spans="1:8" x14ac:dyDescent="0.2">
      <c r="D131" s="1" t="s">
        <v>595</v>
      </c>
    </row>
    <row r="135" spans="1:8" x14ac:dyDescent="0.2">
      <c r="A135" s="2" t="s">
        <v>586</v>
      </c>
      <c r="B135" s="71"/>
      <c r="C135" s="71"/>
      <c r="D135" s="71"/>
      <c r="E135" s="71"/>
      <c r="F135" s="71"/>
      <c r="G135" s="71"/>
      <c r="H135" s="71"/>
    </row>
    <row r="136" spans="1:8" x14ac:dyDescent="0.2">
      <c r="A136" s="1" t="s">
        <v>587</v>
      </c>
    </row>
    <row r="137" spans="1:8" x14ac:dyDescent="0.2">
      <c r="A137" s="1" t="s">
        <v>667</v>
      </c>
    </row>
    <row r="139" spans="1:8" x14ac:dyDescent="0.2">
      <c r="A139" s="1" t="s">
        <v>668</v>
      </c>
    </row>
    <row r="140" spans="1:8" x14ac:dyDescent="0.2">
      <c r="A140" s="1" t="s">
        <v>669</v>
      </c>
    </row>
    <row r="141" spans="1:8" x14ac:dyDescent="0.2">
      <c r="A141" s="1" t="s">
        <v>670</v>
      </c>
    </row>
    <row r="143" spans="1:8" x14ac:dyDescent="0.2">
      <c r="A143" s="1" t="s">
        <v>671</v>
      </c>
    </row>
    <row r="144" spans="1:8" x14ac:dyDescent="0.2">
      <c r="B144" s="1" t="s">
        <v>672</v>
      </c>
    </row>
    <row r="145" spans="1:8" x14ac:dyDescent="0.2">
      <c r="B145" s="1" t="s">
        <v>673</v>
      </c>
    </row>
    <row r="146" spans="1:8" x14ac:dyDescent="0.2">
      <c r="B146" s="1" t="s">
        <v>674</v>
      </c>
    </row>
    <row r="148" spans="1:8" x14ac:dyDescent="0.2">
      <c r="A148" s="1" t="s">
        <v>598</v>
      </c>
    </row>
    <row r="149" spans="1:8" x14ac:dyDescent="0.2">
      <c r="B149" s="1" t="s">
        <v>599</v>
      </c>
      <c r="G149" s="1" t="s">
        <v>62</v>
      </c>
    </row>
    <row r="150" spans="1:8" x14ac:dyDescent="0.2">
      <c r="B150" s="1" t="s">
        <v>565</v>
      </c>
      <c r="G150" s="1" t="s">
        <v>566</v>
      </c>
    </row>
    <row r="151" spans="1:8" x14ac:dyDescent="0.2">
      <c r="B151" s="1" t="s">
        <v>600</v>
      </c>
      <c r="G151" s="1" t="s">
        <v>63</v>
      </c>
    </row>
    <row r="152" spans="1:8" x14ac:dyDescent="0.2">
      <c r="B152" s="1" t="s">
        <v>567</v>
      </c>
      <c r="G152" s="1" t="s">
        <v>66</v>
      </c>
    </row>
    <row r="153" spans="1:8" x14ac:dyDescent="0.2">
      <c r="B153" s="1" t="s">
        <v>601</v>
      </c>
      <c r="F153" s="5"/>
      <c r="G153" s="1" t="s">
        <v>64</v>
      </c>
      <c r="H153" s="1" t="s">
        <v>227</v>
      </c>
    </row>
    <row r="155" spans="1:8" x14ac:dyDescent="0.2">
      <c r="A155" s="1" t="s">
        <v>602</v>
      </c>
    </row>
    <row r="156" spans="1:8" x14ac:dyDescent="0.2">
      <c r="B156" s="1" t="s">
        <v>603</v>
      </c>
      <c r="G156" s="1" t="s">
        <v>62</v>
      </c>
    </row>
    <row r="157" spans="1:8" x14ac:dyDescent="0.2">
      <c r="B157" s="1" t="s">
        <v>565</v>
      </c>
      <c r="G157" s="1" t="s">
        <v>566</v>
      </c>
    </row>
    <row r="158" spans="1:8" x14ac:dyDescent="0.2">
      <c r="B158" s="1" t="s">
        <v>604</v>
      </c>
      <c r="G158" s="1" t="s">
        <v>63</v>
      </c>
    </row>
    <row r="159" spans="1:8" x14ac:dyDescent="0.2">
      <c r="B159" s="1" t="s">
        <v>567</v>
      </c>
      <c r="G159" s="1" t="s">
        <v>66</v>
      </c>
    </row>
    <row r="160" spans="1:8" x14ac:dyDescent="0.2">
      <c r="B160" s="1" t="s">
        <v>605</v>
      </c>
      <c r="F160" s="5"/>
      <c r="G160" s="1" t="s">
        <v>64</v>
      </c>
      <c r="H160" s="1" t="s">
        <v>227</v>
      </c>
    </row>
    <row r="162" spans="1:11" x14ac:dyDescent="0.2">
      <c r="A162" s="1" t="s">
        <v>608</v>
      </c>
    </row>
    <row r="163" spans="1:11" x14ac:dyDescent="0.2">
      <c r="B163" s="1" t="s">
        <v>606</v>
      </c>
      <c r="G163" s="1" t="s">
        <v>62</v>
      </c>
    </row>
    <row r="164" spans="1:11" x14ac:dyDescent="0.2">
      <c r="B164" s="1" t="s">
        <v>565</v>
      </c>
      <c r="G164" s="1" t="s">
        <v>566</v>
      </c>
    </row>
    <row r="165" spans="1:11" x14ac:dyDescent="0.2">
      <c r="B165" s="1" t="s">
        <v>607</v>
      </c>
      <c r="F165" s="5"/>
      <c r="G165" s="1" t="s">
        <v>63</v>
      </c>
      <c r="H165" s="1" t="s">
        <v>227</v>
      </c>
    </row>
    <row r="166" spans="1:11" x14ac:dyDescent="0.2">
      <c r="B166" s="1" t="s">
        <v>609</v>
      </c>
      <c r="G166" s="1" t="s">
        <v>611</v>
      </c>
    </row>
    <row r="167" spans="1:11" x14ac:dyDescent="0.2">
      <c r="B167" s="1" t="s">
        <v>610</v>
      </c>
      <c r="G167" s="1" t="s">
        <v>66</v>
      </c>
    </row>
    <row r="169" spans="1:11" x14ac:dyDescent="0.2">
      <c r="A169" s="6" t="s">
        <v>572</v>
      </c>
      <c r="B169" s="6"/>
      <c r="C169" s="6"/>
      <c r="D169" s="6"/>
      <c r="E169" s="6"/>
      <c r="F169" s="6"/>
      <c r="G169" s="6"/>
      <c r="H169" s="6">
        <v>3.2</v>
      </c>
    </row>
    <row r="170" spans="1:11" x14ac:dyDescent="0.2">
      <c r="I170" s="1" t="s">
        <v>3134</v>
      </c>
    </row>
    <row r="171" spans="1:11" x14ac:dyDescent="0.2">
      <c r="A171" s="1" t="s">
        <v>570</v>
      </c>
      <c r="I171" s="1" t="s">
        <v>3132</v>
      </c>
    </row>
    <row r="172" spans="1:11" x14ac:dyDescent="0.2">
      <c r="A172" s="1" t="s">
        <v>571</v>
      </c>
      <c r="I172" s="1" t="s">
        <v>3133</v>
      </c>
      <c r="K172" s="438">
        <v>0.12</v>
      </c>
    </row>
    <row r="173" spans="1:11" x14ac:dyDescent="0.2">
      <c r="A173" s="1" t="s">
        <v>3131</v>
      </c>
    </row>
    <row r="174" spans="1:11" x14ac:dyDescent="0.2">
      <c r="A174" s="1" t="s">
        <v>3139</v>
      </c>
      <c r="I174" s="1" t="s">
        <v>3135</v>
      </c>
    </row>
    <row r="175" spans="1:11" x14ac:dyDescent="0.2">
      <c r="I175" s="1" t="s">
        <v>3136</v>
      </c>
    </row>
    <row r="176" spans="1:11" x14ac:dyDescent="0.2">
      <c r="I176" s="1" t="s">
        <v>3138</v>
      </c>
      <c r="K176" s="1" t="s">
        <v>3137</v>
      </c>
    </row>
    <row r="178" spans="1:13" x14ac:dyDescent="0.2">
      <c r="G178" s="27">
        <v>4</v>
      </c>
      <c r="H178" s="27">
        <v>3</v>
      </c>
      <c r="I178" s="27">
        <v>2</v>
      </c>
      <c r="J178" s="27">
        <v>1</v>
      </c>
      <c r="K178" s="27">
        <v>0</v>
      </c>
    </row>
    <row r="179" spans="1:13" x14ac:dyDescent="0.2">
      <c r="E179" s="368" t="s">
        <v>3140</v>
      </c>
      <c r="G179" s="20">
        <v>8</v>
      </c>
      <c r="H179" s="20">
        <v>8</v>
      </c>
      <c r="I179" s="20">
        <v>8</v>
      </c>
      <c r="J179" s="20">
        <v>8</v>
      </c>
      <c r="K179" s="497"/>
    </row>
    <row r="180" spans="1:13" x14ac:dyDescent="0.2">
      <c r="E180" s="368" t="s">
        <v>3141</v>
      </c>
      <c r="G180" s="20">
        <v>100</v>
      </c>
      <c r="H180" s="20"/>
      <c r="I180" s="20"/>
      <c r="J180" s="20"/>
      <c r="K180" s="498"/>
    </row>
    <row r="181" spans="1:13" x14ac:dyDescent="0.2">
      <c r="G181" s="20"/>
      <c r="H181" s="20"/>
      <c r="I181" s="20"/>
      <c r="J181" s="20"/>
      <c r="K181" s="20"/>
    </row>
    <row r="182" spans="1:13" x14ac:dyDescent="0.2">
      <c r="B182" s="27">
        <v>9</v>
      </c>
      <c r="C182" s="27">
        <v>8</v>
      </c>
      <c r="D182" s="27">
        <v>7</v>
      </c>
      <c r="E182" s="27">
        <v>6</v>
      </c>
      <c r="F182" s="27">
        <v>5</v>
      </c>
      <c r="G182" s="27">
        <v>4</v>
      </c>
      <c r="H182" s="27">
        <v>3</v>
      </c>
      <c r="I182" s="27">
        <v>2</v>
      </c>
      <c r="J182" s="27">
        <v>1</v>
      </c>
      <c r="K182" s="27">
        <v>0</v>
      </c>
    </row>
    <row r="183" spans="1:13" x14ac:dyDescent="0.2">
      <c r="A183" s="368" t="s">
        <v>3140</v>
      </c>
      <c r="B183" s="20">
        <v>8</v>
      </c>
      <c r="C183" s="20">
        <v>8</v>
      </c>
      <c r="D183" s="20">
        <v>8</v>
      </c>
      <c r="E183" s="20">
        <v>8</v>
      </c>
      <c r="F183" s="20">
        <v>8</v>
      </c>
      <c r="G183" s="20">
        <v>8</v>
      </c>
      <c r="H183" s="20">
        <v>8</v>
      </c>
      <c r="I183" s="20">
        <v>8</v>
      </c>
      <c r="J183" s="20">
        <v>8</v>
      </c>
      <c r="K183" s="497"/>
    </row>
    <row r="184" spans="1:13" x14ac:dyDescent="0.2">
      <c r="A184" s="368" t="s">
        <v>3141</v>
      </c>
      <c r="B184" s="20">
        <v>100</v>
      </c>
      <c r="C184" s="20"/>
      <c r="D184" s="20"/>
      <c r="E184" s="20"/>
      <c r="F184" s="20"/>
      <c r="G184" s="20"/>
      <c r="H184" s="20"/>
      <c r="I184" s="20"/>
      <c r="J184" s="20"/>
      <c r="K184" s="498"/>
    </row>
    <row r="185" spans="1:13" x14ac:dyDescent="0.2">
      <c r="B185" s="20"/>
      <c r="C185" s="20"/>
      <c r="D185" s="20"/>
      <c r="E185" s="20"/>
      <c r="F185" s="20"/>
      <c r="G185" s="20"/>
      <c r="H185" s="20"/>
      <c r="I185" s="20"/>
      <c r="J185" s="20"/>
      <c r="K185" s="20"/>
    </row>
    <row r="186" spans="1:13" x14ac:dyDescent="0.2">
      <c r="A186" s="1" t="s">
        <v>568</v>
      </c>
      <c r="G186" s="20"/>
      <c r="H186" s="20"/>
      <c r="I186" s="20"/>
      <c r="J186" s="20"/>
      <c r="K186" s="20"/>
    </row>
    <row r="187" spans="1:13" x14ac:dyDescent="0.2">
      <c r="A187" s="1" t="s">
        <v>569</v>
      </c>
    </row>
    <row r="188" spans="1:13" x14ac:dyDescent="0.2">
      <c r="A188" s="1" t="s">
        <v>3150</v>
      </c>
    </row>
    <row r="190" spans="1:13" ht="17" thickBot="1" x14ac:dyDescent="0.25">
      <c r="A190" s="18" t="s">
        <v>3151</v>
      </c>
      <c r="K190" s="18" t="s">
        <v>3152</v>
      </c>
    </row>
    <row r="191" spans="1:13" x14ac:dyDescent="0.2">
      <c r="B191" s="18" t="s">
        <v>449</v>
      </c>
      <c r="F191" s="43" t="s">
        <v>625</v>
      </c>
      <c r="G191" s="43" t="s">
        <v>624</v>
      </c>
      <c r="K191" s="43" t="s">
        <v>625</v>
      </c>
      <c r="L191" s="43" t="s">
        <v>624</v>
      </c>
    </row>
    <row r="192" spans="1:13" x14ac:dyDescent="0.2">
      <c r="B192" s="1" t="s">
        <v>599</v>
      </c>
      <c r="F192" s="44">
        <v>9</v>
      </c>
      <c r="G192" s="44">
        <v>4</v>
      </c>
      <c r="H192" s="1" t="s">
        <v>62</v>
      </c>
      <c r="K192" s="44">
        <v>9</v>
      </c>
      <c r="L192" s="44">
        <v>4</v>
      </c>
      <c r="M192" s="1" t="s">
        <v>62</v>
      </c>
    </row>
    <row r="193" spans="2:14" x14ac:dyDescent="0.2">
      <c r="B193" s="1" t="s">
        <v>565</v>
      </c>
      <c r="F193" s="44">
        <v>8</v>
      </c>
      <c r="G193" s="44">
        <f>8%*100</f>
        <v>8</v>
      </c>
      <c r="H193" s="439" t="s">
        <v>3142</v>
      </c>
      <c r="K193" s="44">
        <v>8</v>
      </c>
      <c r="L193" s="44">
        <v>8</v>
      </c>
      <c r="M193" s="1" t="s">
        <v>612</v>
      </c>
    </row>
    <row r="194" spans="2:14" x14ac:dyDescent="0.2">
      <c r="B194" s="1" t="s">
        <v>600</v>
      </c>
      <c r="F194" s="44">
        <v>12</v>
      </c>
      <c r="G194" s="44">
        <v>12</v>
      </c>
      <c r="H194" s="1" t="s">
        <v>63</v>
      </c>
      <c r="K194" s="440">
        <v>14</v>
      </c>
      <c r="L194" s="440">
        <v>14</v>
      </c>
      <c r="M194" s="1" t="s">
        <v>63</v>
      </c>
    </row>
    <row r="195" spans="2:14" x14ac:dyDescent="0.2">
      <c r="B195" s="1" t="s">
        <v>3143</v>
      </c>
      <c r="F195" s="44">
        <v>100</v>
      </c>
      <c r="G195" s="44">
        <v>100</v>
      </c>
      <c r="H195" s="1" t="s">
        <v>66</v>
      </c>
      <c r="K195" s="44">
        <v>100</v>
      </c>
      <c r="L195" s="44">
        <v>100</v>
      </c>
      <c r="M195" s="1" t="s">
        <v>66</v>
      </c>
    </row>
    <row r="196" spans="2:14" ht="17" thickBot="1" x14ac:dyDescent="0.25">
      <c r="B196" s="1" t="s">
        <v>601</v>
      </c>
      <c r="F196" s="74">
        <f>PV(F194/100,F192,F193,F195)</f>
        <v>-78.68700083271932</v>
      </c>
      <c r="G196" s="74">
        <f>PV(G194/100,G192,G193,G195)</f>
        <v>-87.850602613494374</v>
      </c>
      <c r="H196" s="1" t="s">
        <v>64</v>
      </c>
      <c r="I196" s="1" t="s">
        <v>77</v>
      </c>
      <c r="K196" s="74">
        <f>PV(K194/100,K192,K193,K195)</f>
        <v>-70.321768979351887</v>
      </c>
      <c r="L196" s="74">
        <f>PV(L194/100,L192,L193,L195)</f>
        <v>-82.517726173008114</v>
      </c>
      <c r="M196" s="1" t="s">
        <v>64</v>
      </c>
      <c r="N196" s="1" t="s">
        <v>77</v>
      </c>
    </row>
    <row r="199" spans="2:14" x14ac:dyDescent="0.2">
      <c r="B199" s="18" t="s">
        <v>3144</v>
      </c>
    </row>
    <row r="201" spans="2:14" x14ac:dyDescent="0.2">
      <c r="I201" s="441" t="s">
        <v>3153</v>
      </c>
      <c r="J201" s="441"/>
      <c r="K201" s="441"/>
      <c r="L201" s="441"/>
    </row>
    <row r="202" spans="2:14" x14ac:dyDescent="0.2">
      <c r="I202" s="441" t="s">
        <v>3154</v>
      </c>
      <c r="J202" s="441"/>
      <c r="K202" s="441"/>
      <c r="L202" s="441"/>
    </row>
    <row r="203" spans="2:14" x14ac:dyDescent="0.2">
      <c r="I203" s="441" t="s">
        <v>3155</v>
      </c>
      <c r="J203" s="441"/>
      <c r="K203" s="441"/>
      <c r="L203" s="441"/>
    </row>
    <row r="204" spans="2:14" x14ac:dyDescent="0.2">
      <c r="C204" s="1" t="s">
        <v>3146</v>
      </c>
      <c r="F204" s="1" t="s">
        <v>3145</v>
      </c>
      <c r="I204" s="441" t="s">
        <v>3156</v>
      </c>
      <c r="J204" s="441"/>
      <c r="K204" s="441"/>
      <c r="L204" s="441"/>
    </row>
    <row r="206" spans="2:14" x14ac:dyDescent="0.2">
      <c r="B206" s="18" t="s">
        <v>626</v>
      </c>
    </row>
    <row r="207" spans="2:14" x14ac:dyDescent="0.2">
      <c r="D207" s="500">
        <f>8*(1-1/1.12^4)/0.12+100/1.12^4</f>
        <v>87.850602613494374</v>
      </c>
      <c r="I207" s="1" t="s">
        <v>3147</v>
      </c>
    </row>
    <row r="208" spans="2:14" x14ac:dyDescent="0.2">
      <c r="D208" s="500"/>
      <c r="I208" s="1" t="s">
        <v>3148</v>
      </c>
    </row>
    <row r="209" spans="1:11" x14ac:dyDescent="0.2">
      <c r="I209" s="1" t="s">
        <v>3149</v>
      </c>
    </row>
    <row r="210" spans="1:11" x14ac:dyDescent="0.2">
      <c r="B210" s="18" t="s">
        <v>627</v>
      </c>
      <c r="D210" s="500">
        <f>8*(1-1/1.12^9)/0.12+100/1.12^9</f>
        <v>78.68700083271932</v>
      </c>
    </row>
    <row r="211" spans="1:11" x14ac:dyDescent="0.2">
      <c r="D211" s="500"/>
    </row>
    <row r="215" spans="1:11" ht="17" thickBot="1" x14ac:dyDescent="0.25">
      <c r="A215" s="6" t="s">
        <v>582</v>
      </c>
      <c r="B215" s="6"/>
      <c r="C215" s="6"/>
      <c r="D215" s="6"/>
      <c r="E215" s="6"/>
      <c r="F215" s="6"/>
      <c r="G215" s="6"/>
      <c r="H215" s="6">
        <v>3.3</v>
      </c>
    </row>
    <row r="216" spans="1:11" ht="17" thickBot="1" x14ac:dyDescent="0.25">
      <c r="A216" s="1" t="s">
        <v>2086</v>
      </c>
      <c r="F216" s="444" t="s">
        <v>3165</v>
      </c>
      <c r="G216" s="8"/>
      <c r="H216" s="8"/>
      <c r="I216" s="8"/>
      <c r="J216" s="9"/>
    </row>
    <row r="217" spans="1:11" x14ac:dyDescent="0.2">
      <c r="A217" s="1" t="s">
        <v>576</v>
      </c>
      <c r="F217" s="1" t="s">
        <v>3159</v>
      </c>
      <c r="I217" s="4">
        <v>43101</v>
      </c>
      <c r="J217" s="1">
        <v>0</v>
      </c>
      <c r="K217" s="1" t="s">
        <v>3157</v>
      </c>
    </row>
    <row r="218" spans="1:11" x14ac:dyDescent="0.2">
      <c r="A218" s="1" t="s">
        <v>577</v>
      </c>
      <c r="F218" s="434" t="s">
        <v>3160</v>
      </c>
      <c r="G218" s="434"/>
      <c r="H218" s="434"/>
      <c r="I218" s="4">
        <v>43281</v>
      </c>
      <c r="J218" s="1">
        <v>0.5</v>
      </c>
    </row>
    <row r="219" spans="1:11" x14ac:dyDescent="0.2">
      <c r="A219" s="1" t="s">
        <v>3163</v>
      </c>
      <c r="F219" s="1" t="s">
        <v>3161</v>
      </c>
      <c r="I219" s="4">
        <v>43465</v>
      </c>
      <c r="J219" s="1">
        <f>J218+0.5</f>
        <v>1</v>
      </c>
    </row>
    <row r="220" spans="1:11" x14ac:dyDescent="0.2">
      <c r="A220" s="1" t="s">
        <v>578</v>
      </c>
      <c r="F220" s="442" t="s">
        <v>3164</v>
      </c>
      <c r="H220" s="443" t="s">
        <v>3162</v>
      </c>
      <c r="I220" s="4">
        <v>43646</v>
      </c>
      <c r="J220" s="1">
        <f t="shared" ref="J220:J234" si="0">J219+0.5</f>
        <v>1.5</v>
      </c>
    </row>
    <row r="221" spans="1:11" x14ac:dyDescent="0.2">
      <c r="A221" s="1" t="s">
        <v>579</v>
      </c>
      <c r="I221" s="4">
        <v>43830</v>
      </c>
      <c r="J221" s="1">
        <f t="shared" si="0"/>
        <v>2</v>
      </c>
      <c r="K221" s="1" t="s">
        <v>3158</v>
      </c>
    </row>
    <row r="222" spans="1:11" ht="17" thickBot="1" x14ac:dyDescent="0.25">
      <c r="A222" s="1" t="s">
        <v>580</v>
      </c>
      <c r="I222" s="4"/>
      <c r="J222" s="1">
        <f t="shared" si="0"/>
        <v>2.5</v>
      </c>
      <c r="K222" s="1">
        <f>C228</f>
        <v>37.5</v>
      </c>
    </row>
    <row r="223" spans="1:11" x14ac:dyDescent="0.2">
      <c r="H223" s="445" t="s">
        <v>3166</v>
      </c>
      <c r="I223" s="446"/>
      <c r="J223" s="1">
        <f t="shared" si="0"/>
        <v>3</v>
      </c>
      <c r="K223" s="1">
        <f>K222</f>
        <v>37.5</v>
      </c>
    </row>
    <row r="224" spans="1:11" x14ac:dyDescent="0.2">
      <c r="A224" s="1" t="s">
        <v>146</v>
      </c>
      <c r="H224" s="447" t="s">
        <v>3167</v>
      </c>
      <c r="I224" s="448"/>
      <c r="J224" s="1">
        <f t="shared" si="0"/>
        <v>3.5</v>
      </c>
      <c r="K224" s="1">
        <f t="shared" ref="K224:K235" si="1">K223</f>
        <v>37.5</v>
      </c>
    </row>
    <row r="225" spans="1:12" ht="17" thickBot="1" x14ac:dyDescent="0.25">
      <c r="H225" s="449" t="s">
        <v>3168</v>
      </c>
      <c r="I225" s="450"/>
      <c r="J225" s="1">
        <f t="shared" si="0"/>
        <v>4</v>
      </c>
      <c r="K225" s="1">
        <f t="shared" si="1"/>
        <v>37.5</v>
      </c>
    </row>
    <row r="226" spans="1:12" x14ac:dyDescent="0.2">
      <c r="A226" s="20">
        <v>9</v>
      </c>
      <c r="B226" s="20" t="s">
        <v>642</v>
      </c>
      <c r="C226" s="20" t="s">
        <v>642</v>
      </c>
      <c r="D226" s="20">
        <v>2</v>
      </c>
      <c r="E226" s="20">
        <v>1.5</v>
      </c>
      <c r="F226" s="20">
        <v>1</v>
      </c>
      <c r="G226" s="20">
        <v>0.5</v>
      </c>
      <c r="H226" s="20">
        <v>0</v>
      </c>
      <c r="I226" s="4"/>
      <c r="J226" s="1">
        <f t="shared" si="0"/>
        <v>4.5</v>
      </c>
      <c r="K226" s="1">
        <f t="shared" si="1"/>
        <v>37.5</v>
      </c>
    </row>
    <row r="227" spans="1:12" x14ac:dyDescent="0.2">
      <c r="A227" s="20"/>
      <c r="B227" s="20"/>
      <c r="C227" s="20"/>
      <c r="D227" s="20"/>
      <c r="E227" s="20"/>
      <c r="F227" s="20"/>
      <c r="G227" s="20"/>
      <c r="H227" s="20"/>
      <c r="I227" s="4"/>
      <c r="J227" s="1">
        <f t="shared" si="0"/>
        <v>5</v>
      </c>
      <c r="K227" s="1">
        <f t="shared" si="1"/>
        <v>37.5</v>
      </c>
    </row>
    <row r="228" spans="1:12" x14ac:dyDescent="0.2">
      <c r="A228" s="69">
        <f t="shared" ref="A228:G228" si="2">15%/2*500</f>
        <v>37.5</v>
      </c>
      <c r="B228" s="69">
        <f t="shared" si="2"/>
        <v>37.5</v>
      </c>
      <c r="C228" s="69">
        <f t="shared" si="2"/>
        <v>37.5</v>
      </c>
      <c r="D228" s="252">
        <f t="shared" si="2"/>
        <v>37.5</v>
      </c>
      <c r="E228" s="252">
        <f t="shared" si="2"/>
        <v>37.5</v>
      </c>
      <c r="F228" s="252">
        <f t="shared" si="2"/>
        <v>37.5</v>
      </c>
      <c r="G228" s="252">
        <f t="shared" si="2"/>
        <v>37.5</v>
      </c>
      <c r="H228" s="252"/>
      <c r="I228" s="4"/>
      <c r="J228" s="1">
        <f t="shared" si="0"/>
        <v>5.5</v>
      </c>
      <c r="K228" s="1">
        <f t="shared" si="1"/>
        <v>37.5</v>
      </c>
    </row>
    <row r="229" spans="1:12" x14ac:dyDescent="0.2">
      <c r="A229" s="69">
        <v>500</v>
      </c>
      <c r="B229" s="5"/>
      <c r="C229" s="5"/>
      <c r="I229" s="4"/>
      <c r="J229" s="1">
        <f t="shared" si="0"/>
        <v>6</v>
      </c>
      <c r="K229" s="1">
        <f t="shared" si="1"/>
        <v>37.5</v>
      </c>
    </row>
    <row r="230" spans="1:12" x14ac:dyDescent="0.2">
      <c r="I230" s="4"/>
      <c r="J230" s="1">
        <f t="shared" si="0"/>
        <v>6.5</v>
      </c>
      <c r="K230" s="1">
        <f t="shared" si="1"/>
        <v>37.5</v>
      </c>
    </row>
    <row r="231" spans="1:12" x14ac:dyDescent="0.2">
      <c r="C231" s="1" t="s">
        <v>3169</v>
      </c>
      <c r="I231" s="4" t="s">
        <v>3170</v>
      </c>
      <c r="J231" s="1">
        <f t="shared" si="0"/>
        <v>7</v>
      </c>
      <c r="K231" s="1">
        <f t="shared" si="1"/>
        <v>37.5</v>
      </c>
    </row>
    <row r="232" spans="1:12" x14ac:dyDescent="0.2">
      <c r="C232" s="1" t="s">
        <v>3171</v>
      </c>
      <c r="I232" s="4"/>
      <c r="J232" s="1">
        <f t="shared" si="0"/>
        <v>7.5</v>
      </c>
      <c r="K232" s="1">
        <f t="shared" si="1"/>
        <v>37.5</v>
      </c>
    </row>
    <row r="233" spans="1:12" x14ac:dyDescent="0.2">
      <c r="F233" s="1" t="s">
        <v>3172</v>
      </c>
      <c r="I233" s="4"/>
      <c r="J233" s="1">
        <f t="shared" si="0"/>
        <v>8</v>
      </c>
      <c r="K233" s="1">
        <f t="shared" si="1"/>
        <v>37.5</v>
      </c>
    </row>
    <row r="234" spans="1:12" x14ac:dyDescent="0.2">
      <c r="F234" s="1" t="s">
        <v>3173</v>
      </c>
      <c r="I234" s="4"/>
      <c r="J234" s="1">
        <f t="shared" si="0"/>
        <v>8.5</v>
      </c>
      <c r="K234" s="1">
        <f t="shared" si="1"/>
        <v>37.5</v>
      </c>
    </row>
    <row r="235" spans="1:12" x14ac:dyDescent="0.2">
      <c r="I235" s="4">
        <v>46387</v>
      </c>
      <c r="J235" s="1">
        <f>J234+0.5</f>
        <v>9</v>
      </c>
      <c r="K235" s="1">
        <f t="shared" si="1"/>
        <v>37.5</v>
      </c>
      <c r="L235" s="1">
        <v>500</v>
      </c>
    </row>
    <row r="236" spans="1:12" x14ac:dyDescent="0.2">
      <c r="D236" s="1" t="s">
        <v>1933</v>
      </c>
    </row>
    <row r="237" spans="1:12" x14ac:dyDescent="0.2">
      <c r="A237" s="1" t="s">
        <v>1935</v>
      </c>
    </row>
    <row r="238" spans="1:12" x14ac:dyDescent="0.2">
      <c r="A238" s="1" t="s">
        <v>1936</v>
      </c>
      <c r="C238" s="18" t="s">
        <v>3174</v>
      </c>
    </row>
    <row r="239" spans="1:12" x14ac:dyDescent="0.2">
      <c r="C239" s="1" t="s">
        <v>1934</v>
      </c>
    </row>
    <row r="241" spans="1:9" ht="17" thickBot="1" x14ac:dyDescent="0.25"/>
    <row r="242" spans="1:9" hidden="1" x14ac:dyDescent="0.2">
      <c r="A242" s="1" t="s">
        <v>629</v>
      </c>
    </row>
    <row r="243" spans="1:9" hidden="1" x14ac:dyDescent="0.2">
      <c r="A243" s="1" t="s">
        <v>630</v>
      </c>
    </row>
    <row r="244" spans="1:9" hidden="1" x14ac:dyDescent="0.2"/>
    <row r="245" spans="1:9" hidden="1" x14ac:dyDescent="0.2">
      <c r="A245" s="1" t="s">
        <v>631</v>
      </c>
    </row>
    <row r="246" spans="1:9" hidden="1" x14ac:dyDescent="0.2">
      <c r="A246" s="1" t="s">
        <v>632</v>
      </c>
    </row>
    <row r="247" spans="1:9" hidden="1" x14ac:dyDescent="0.2">
      <c r="A247" s="1" t="s">
        <v>633</v>
      </c>
    </row>
    <row r="248" spans="1:9" ht="17" hidden="1" thickBot="1" x14ac:dyDescent="0.25"/>
    <row r="249" spans="1:9" x14ac:dyDescent="0.2">
      <c r="B249" s="18" t="s">
        <v>449</v>
      </c>
      <c r="F249" s="43" t="s">
        <v>628</v>
      </c>
    </row>
    <row r="250" spans="1:9" x14ac:dyDescent="0.2">
      <c r="B250" s="1" t="s">
        <v>599</v>
      </c>
      <c r="F250" s="44">
        <f>7*2</f>
        <v>14</v>
      </c>
      <c r="G250" s="1" t="s">
        <v>62</v>
      </c>
    </row>
    <row r="251" spans="1:9" x14ac:dyDescent="0.2">
      <c r="B251" s="1" t="s">
        <v>565</v>
      </c>
      <c r="F251" s="44">
        <f>15%/2*500</f>
        <v>37.5</v>
      </c>
      <c r="G251" s="1" t="s">
        <v>3142</v>
      </c>
      <c r="H251" s="1" t="s">
        <v>3175</v>
      </c>
    </row>
    <row r="252" spans="1:9" x14ac:dyDescent="0.2">
      <c r="B252" s="1" t="s">
        <v>600</v>
      </c>
      <c r="F252" s="44">
        <v>19.405200000000001</v>
      </c>
      <c r="G252" s="1" t="s">
        <v>63</v>
      </c>
      <c r="H252" s="1" t="s">
        <v>634</v>
      </c>
    </row>
    <row r="253" spans="1:9" x14ac:dyDescent="0.2">
      <c r="B253" s="1" t="s">
        <v>3176</v>
      </c>
      <c r="F253" s="44">
        <v>500</v>
      </c>
      <c r="G253" s="1" t="s">
        <v>66</v>
      </c>
    </row>
    <row r="254" spans="1:9" ht="17" thickBot="1" x14ac:dyDescent="0.25">
      <c r="B254" s="1" t="s">
        <v>601</v>
      </c>
      <c r="F254" s="74">
        <f>PV(F252/100,F250,F251,F253)</f>
        <v>-218.8603337567653</v>
      </c>
      <c r="G254" s="1" t="s">
        <v>64</v>
      </c>
      <c r="H254" s="1" t="s">
        <v>77</v>
      </c>
    </row>
    <row r="256" spans="1:9" x14ac:dyDescent="0.2">
      <c r="I256" s="1" t="s">
        <v>635</v>
      </c>
    </row>
    <row r="257" spans="1:11" x14ac:dyDescent="0.2">
      <c r="I257" s="1" t="s">
        <v>636</v>
      </c>
    </row>
    <row r="258" spans="1:11" x14ac:dyDescent="0.2">
      <c r="I258" s="1" t="s">
        <v>637</v>
      </c>
    </row>
    <row r="259" spans="1:11" x14ac:dyDescent="0.2">
      <c r="H259" s="75">
        <f>1.03^6-1</f>
        <v>0.19405229652899991</v>
      </c>
    </row>
    <row r="261" spans="1:11" x14ac:dyDescent="0.2">
      <c r="B261" s="18" t="s">
        <v>638</v>
      </c>
    </row>
    <row r="266" spans="1:11" x14ac:dyDescent="0.2">
      <c r="B266" s="500">
        <f>37.5*(1-1/1.194052^14)/0.194052+500/1.194052^14</f>
        <v>218.86033375676536</v>
      </c>
    </row>
    <row r="267" spans="1:11" x14ac:dyDescent="0.2">
      <c r="B267" s="500"/>
    </row>
    <row r="271" spans="1:11" x14ac:dyDescent="0.2">
      <c r="A271" s="6" t="s">
        <v>583</v>
      </c>
      <c r="B271" s="6"/>
      <c r="C271" s="6"/>
      <c r="D271" s="6"/>
      <c r="E271" s="6"/>
      <c r="F271" s="6"/>
      <c r="G271" s="6"/>
      <c r="H271" s="6">
        <v>3.4</v>
      </c>
    </row>
    <row r="272" spans="1:11" x14ac:dyDescent="0.2">
      <c r="K272" s="35" t="s">
        <v>60</v>
      </c>
    </row>
    <row r="273" spans="1:16" x14ac:dyDescent="0.2">
      <c r="A273" s="1" t="s">
        <v>581</v>
      </c>
      <c r="J273" s="20" t="s">
        <v>75</v>
      </c>
      <c r="K273" s="1" t="s">
        <v>111</v>
      </c>
    </row>
    <row r="274" spans="1:16" x14ac:dyDescent="0.2">
      <c r="A274" s="1" t="s">
        <v>584</v>
      </c>
      <c r="J274" s="20">
        <f>((1+12.6825%)^(1/4)-1)*100</f>
        <v>3.0300993112284846</v>
      </c>
      <c r="K274" s="1" t="s">
        <v>63</v>
      </c>
      <c r="O274" s="1" t="s">
        <v>3198</v>
      </c>
    </row>
    <row r="275" spans="1:16" x14ac:dyDescent="0.2">
      <c r="A275" s="1" t="s">
        <v>654</v>
      </c>
      <c r="J275" s="20">
        <f>8*4-2*4</f>
        <v>24</v>
      </c>
      <c r="K275" s="1" t="s">
        <v>62</v>
      </c>
    </row>
    <row r="276" spans="1:16" x14ac:dyDescent="0.2">
      <c r="A276" s="1" t="s">
        <v>585</v>
      </c>
      <c r="J276" s="54">
        <f>D294</f>
        <v>-91.051519982589312</v>
      </c>
      <c r="K276" s="1" t="s">
        <v>3177</v>
      </c>
      <c r="L276" s="452" t="s">
        <v>1152</v>
      </c>
    </row>
    <row r="277" spans="1:16" x14ac:dyDescent="0.2">
      <c r="G277" s="1" t="s">
        <v>3179</v>
      </c>
      <c r="J277" s="20">
        <f>10%/4*100</f>
        <v>2.5</v>
      </c>
      <c r="K277" s="1" t="s">
        <v>3178</v>
      </c>
      <c r="O277" s="20" t="s">
        <v>3194</v>
      </c>
    </row>
    <row r="278" spans="1:16" x14ac:dyDescent="0.2">
      <c r="A278" s="1" t="s">
        <v>146</v>
      </c>
      <c r="J278" s="20">
        <v>100</v>
      </c>
      <c r="K278" s="1" t="s">
        <v>3180</v>
      </c>
      <c r="O278" s="20" t="s">
        <v>2393</v>
      </c>
      <c r="P278" s="1" t="s">
        <v>3201</v>
      </c>
    </row>
    <row r="279" spans="1:16" x14ac:dyDescent="0.2">
      <c r="N279" s="20" t="s">
        <v>493</v>
      </c>
      <c r="O279" s="20" t="s">
        <v>493</v>
      </c>
      <c r="P279" s="20" t="s">
        <v>3199</v>
      </c>
    </row>
    <row r="280" spans="1:16" x14ac:dyDescent="0.2">
      <c r="A280" s="1" t="s">
        <v>2730</v>
      </c>
      <c r="N280" s="20" t="s">
        <v>3193</v>
      </c>
      <c r="O280" s="20" t="s">
        <v>3192</v>
      </c>
      <c r="P280" s="20" t="s">
        <v>3200</v>
      </c>
    </row>
    <row r="281" spans="1:16" x14ac:dyDescent="0.2">
      <c r="A281" s="1" t="s">
        <v>2731</v>
      </c>
      <c r="J281" s="1" t="s">
        <v>3181</v>
      </c>
      <c r="M281" s="20" t="s">
        <v>1110</v>
      </c>
      <c r="N281" s="20">
        <f>27</f>
        <v>27</v>
      </c>
      <c r="O281" s="20">
        <v>25</v>
      </c>
      <c r="P281" s="20">
        <v>24</v>
      </c>
    </row>
    <row r="282" spans="1:16" x14ac:dyDescent="0.2">
      <c r="A282" s="1" t="s">
        <v>2732</v>
      </c>
      <c r="J282" s="1" t="s">
        <v>3182</v>
      </c>
    </row>
    <row r="283" spans="1:16" x14ac:dyDescent="0.2">
      <c r="A283" s="1" t="s">
        <v>2733</v>
      </c>
      <c r="J283" s="1" t="s">
        <v>3183</v>
      </c>
      <c r="N283" s="20">
        <v>2.5</v>
      </c>
      <c r="P283" s="20" t="s">
        <v>3204</v>
      </c>
    </row>
    <row r="284" spans="1:16" x14ac:dyDescent="0.2">
      <c r="A284" s="1" t="s">
        <v>2734</v>
      </c>
      <c r="J284" s="1" t="s">
        <v>3184</v>
      </c>
      <c r="P284" s="20" t="s">
        <v>3202</v>
      </c>
    </row>
    <row r="285" spans="1:16" x14ac:dyDescent="0.2">
      <c r="J285" s="1" t="s">
        <v>3185</v>
      </c>
      <c r="N285" s="20" t="s">
        <v>64</v>
      </c>
      <c r="P285" s="20" t="s">
        <v>3203</v>
      </c>
    </row>
    <row r="286" spans="1:16" x14ac:dyDescent="0.2">
      <c r="F286" s="491" t="s">
        <v>2741</v>
      </c>
      <c r="G286" s="491"/>
      <c r="J286" s="1" t="s">
        <v>3186</v>
      </c>
      <c r="N286" s="20" t="s">
        <v>3195</v>
      </c>
      <c r="P286" s="20" t="s">
        <v>3205</v>
      </c>
    </row>
    <row r="287" spans="1:16" x14ac:dyDescent="0.2">
      <c r="E287" s="1" t="s">
        <v>2735</v>
      </c>
      <c r="J287" s="1" t="s">
        <v>3187</v>
      </c>
      <c r="N287" s="20" t="s">
        <v>3196</v>
      </c>
      <c r="P287" s="20" t="s">
        <v>3206</v>
      </c>
    </row>
    <row r="288" spans="1:16" x14ac:dyDescent="0.2">
      <c r="E288" s="20" t="s">
        <v>2736</v>
      </c>
      <c r="F288" s="20" t="s">
        <v>2729</v>
      </c>
      <c r="G288" s="20">
        <v>2</v>
      </c>
      <c r="J288" s="1" t="s">
        <v>3188</v>
      </c>
      <c r="N288" s="20" t="s">
        <v>2662</v>
      </c>
      <c r="P288" s="20" t="s">
        <v>3207</v>
      </c>
    </row>
    <row r="289" spans="1:16" x14ac:dyDescent="0.2">
      <c r="F289" s="20"/>
      <c r="J289" s="1" t="s">
        <v>3189</v>
      </c>
      <c r="N289" s="20" t="s">
        <v>1871</v>
      </c>
      <c r="P289" s="20" t="s">
        <v>3208</v>
      </c>
    </row>
    <row r="290" spans="1:16" x14ac:dyDescent="0.2">
      <c r="F290" s="20" t="s">
        <v>2728</v>
      </c>
      <c r="G290" s="152"/>
      <c r="J290" s="1" t="s">
        <v>3190</v>
      </c>
      <c r="N290" s="20" t="s">
        <v>3197</v>
      </c>
    </row>
    <row r="291" spans="1:16" x14ac:dyDescent="0.2">
      <c r="D291" s="20" t="s">
        <v>75</v>
      </c>
      <c r="E291" s="20" t="s">
        <v>61</v>
      </c>
      <c r="F291" s="20" t="s">
        <v>1128</v>
      </c>
      <c r="J291" s="1" t="s">
        <v>3191</v>
      </c>
      <c r="N291" s="20" t="s">
        <v>131</v>
      </c>
    </row>
    <row r="292" spans="1:16" x14ac:dyDescent="0.2">
      <c r="D292" s="20">
        <v>24</v>
      </c>
      <c r="E292" s="20" t="s">
        <v>62</v>
      </c>
    </row>
    <row r="293" spans="1:16" x14ac:dyDescent="0.2">
      <c r="A293" s="1" t="s">
        <v>2737</v>
      </c>
      <c r="D293" s="20">
        <f>((1+12.6825%)^(1/4)-1)*100</f>
        <v>3.0300993112284846</v>
      </c>
      <c r="E293" s="20" t="s">
        <v>63</v>
      </c>
      <c r="F293" s="1" t="s">
        <v>2738</v>
      </c>
      <c r="M293" s="5">
        <f>-J276*1.126825^(1/12)</f>
        <v>91.962034977488599</v>
      </c>
      <c r="P293" s="1" t="s">
        <v>2751</v>
      </c>
    </row>
    <row r="294" spans="1:16" x14ac:dyDescent="0.2">
      <c r="D294" s="349">
        <f>PV(D293/100,D292,D295,D296)</f>
        <v>-91.051519982589312</v>
      </c>
      <c r="E294" s="20" t="s">
        <v>64</v>
      </c>
      <c r="F294" s="20" t="s">
        <v>227</v>
      </c>
      <c r="M294" s="1" t="s">
        <v>259</v>
      </c>
    </row>
    <row r="295" spans="1:16" x14ac:dyDescent="0.2">
      <c r="A295" s="1" t="s">
        <v>2739</v>
      </c>
      <c r="D295" s="20">
        <v>2.5</v>
      </c>
      <c r="E295" s="20" t="s">
        <v>65</v>
      </c>
      <c r="G295" s="1" t="s">
        <v>2740</v>
      </c>
    </row>
    <row r="296" spans="1:16" x14ac:dyDescent="0.2">
      <c r="A296" s="1" t="s">
        <v>567</v>
      </c>
      <c r="D296" s="20">
        <v>100</v>
      </c>
      <c r="E296" s="20" t="s">
        <v>66</v>
      </c>
    </row>
    <row r="298" spans="1:16" x14ac:dyDescent="0.2">
      <c r="A298" s="1" t="s">
        <v>2742</v>
      </c>
      <c r="B298" s="1" t="s">
        <v>2743</v>
      </c>
    </row>
    <row r="299" spans="1:16" x14ac:dyDescent="0.2">
      <c r="B299" s="1" t="s">
        <v>2744</v>
      </c>
    </row>
    <row r="300" spans="1:16" x14ac:dyDescent="0.2">
      <c r="B300" s="1" t="s">
        <v>2745</v>
      </c>
    </row>
    <row r="301" spans="1:16" x14ac:dyDescent="0.2">
      <c r="B301" s="1" t="s">
        <v>2746</v>
      </c>
    </row>
    <row r="302" spans="1:16" x14ac:dyDescent="0.2">
      <c r="B302" s="1" t="s">
        <v>2747</v>
      </c>
    </row>
    <row r="303" spans="1:16" x14ac:dyDescent="0.2">
      <c r="A303" s="1" t="s">
        <v>2742</v>
      </c>
      <c r="B303" s="1" t="s">
        <v>2748</v>
      </c>
    </row>
    <row r="304" spans="1:16" x14ac:dyDescent="0.2">
      <c r="B304" s="1" t="s">
        <v>2749</v>
      </c>
    </row>
    <row r="305" spans="1:8" x14ac:dyDescent="0.2">
      <c r="B305" s="351">
        <f>-D294*(1+12.6825%)^(1/12)</f>
        <v>91.962034977488599</v>
      </c>
      <c r="E305" s="1" t="s">
        <v>2751</v>
      </c>
      <c r="F305" s="1" t="s">
        <v>2750</v>
      </c>
    </row>
    <row r="306" spans="1:8" x14ac:dyDescent="0.2">
      <c r="B306" s="317" t="s">
        <v>259</v>
      </c>
    </row>
    <row r="309" spans="1:8" x14ac:dyDescent="0.2">
      <c r="A309" s="1" t="s">
        <v>3209</v>
      </c>
      <c r="D309" s="20" t="s">
        <v>75</v>
      </c>
      <c r="E309" s="20" t="s">
        <v>61</v>
      </c>
    </row>
    <row r="310" spans="1:8" x14ac:dyDescent="0.2">
      <c r="A310" s="1" t="s">
        <v>3211</v>
      </c>
      <c r="D310" s="350">
        <f>1/12</f>
        <v>8.3333333333333329E-2</v>
      </c>
      <c r="E310" s="20" t="s">
        <v>62</v>
      </c>
      <c r="F310" s="1" t="s">
        <v>3210</v>
      </c>
    </row>
    <row r="311" spans="1:8" x14ac:dyDescent="0.2">
      <c r="D311" s="20">
        <v>12.682499999999999</v>
      </c>
      <c r="E311" s="20" t="s">
        <v>63</v>
      </c>
    </row>
    <row r="312" spans="1:8" x14ac:dyDescent="0.2">
      <c r="D312" s="349">
        <f>D294</f>
        <v>-91.051519982589312</v>
      </c>
      <c r="E312" s="20" t="s">
        <v>64</v>
      </c>
    </row>
    <row r="313" spans="1:8" x14ac:dyDescent="0.2">
      <c r="D313" s="20">
        <v>0</v>
      </c>
      <c r="E313" s="20" t="s">
        <v>65</v>
      </c>
    </row>
    <row r="314" spans="1:8" x14ac:dyDescent="0.2">
      <c r="D314" s="352">
        <f>FV(D311/100,D310,D313,D312)</f>
        <v>91.962034977488599</v>
      </c>
      <c r="E314" s="20" t="s">
        <v>66</v>
      </c>
      <c r="F314" s="1" t="s">
        <v>227</v>
      </c>
    </row>
    <row r="315" spans="1:8" x14ac:dyDescent="0.2">
      <c r="E315" s="20"/>
    </row>
    <row r="316" spans="1:8" x14ac:dyDescent="0.2">
      <c r="E316" s="20"/>
    </row>
    <row r="317" spans="1:8" x14ac:dyDescent="0.2">
      <c r="A317" s="10" t="s">
        <v>3212</v>
      </c>
      <c r="B317" s="10"/>
      <c r="C317" s="10"/>
      <c r="D317" s="10"/>
      <c r="E317" s="27"/>
      <c r="F317" s="10"/>
      <c r="G317" s="10"/>
      <c r="H317" s="10"/>
    </row>
    <row r="318" spans="1:8" x14ac:dyDescent="0.2">
      <c r="A318" s="1" t="s">
        <v>3228</v>
      </c>
      <c r="E318" s="20"/>
    </row>
    <row r="319" spans="1:8" x14ac:dyDescent="0.2">
      <c r="A319" s="1" t="s">
        <v>3213</v>
      </c>
      <c r="E319" s="20"/>
    </row>
    <row r="320" spans="1:8" x14ac:dyDescent="0.2">
      <c r="A320" s="1" t="s">
        <v>3214</v>
      </c>
      <c r="E320" s="20"/>
    </row>
    <row r="321" spans="2:9" x14ac:dyDescent="0.2">
      <c r="E321" s="20"/>
    </row>
    <row r="322" spans="2:9" x14ac:dyDescent="0.2">
      <c r="E322" s="20"/>
    </row>
    <row r="323" spans="2:9" x14ac:dyDescent="0.2">
      <c r="D323" s="27" t="s">
        <v>1556</v>
      </c>
      <c r="E323" s="27" t="s">
        <v>1555</v>
      </c>
      <c r="F323" s="10" t="s">
        <v>60</v>
      </c>
    </row>
    <row r="324" spans="2:9" x14ac:dyDescent="0.2">
      <c r="D324" s="20" t="s">
        <v>75</v>
      </c>
      <c r="E324" s="20" t="s">
        <v>75</v>
      </c>
      <c r="F324" s="1" t="s">
        <v>111</v>
      </c>
    </row>
    <row r="325" spans="2:9" x14ac:dyDescent="0.2">
      <c r="B325" s="1" t="s">
        <v>3220</v>
      </c>
      <c r="D325" s="20">
        <f>4/12</f>
        <v>0.33333333333333331</v>
      </c>
      <c r="E325" s="20">
        <f>10*2-4.5*2</f>
        <v>11</v>
      </c>
      <c r="F325" s="1" t="s">
        <v>62</v>
      </c>
      <c r="G325" s="319" t="s">
        <v>3215</v>
      </c>
    </row>
    <row r="326" spans="2:9" x14ac:dyDescent="0.2">
      <c r="B326" s="1" t="s">
        <v>3219</v>
      </c>
      <c r="D326" s="20">
        <v>9</v>
      </c>
      <c r="E326" s="20">
        <f>((1+9%)^0.5-1)*100</f>
        <v>4.4030650891055068</v>
      </c>
      <c r="F326" s="1" t="s">
        <v>63</v>
      </c>
      <c r="G326" s="319" t="s">
        <v>3216</v>
      </c>
    </row>
    <row r="327" spans="2:9" x14ac:dyDescent="0.2">
      <c r="D327" s="30">
        <f>E327</f>
        <v>-175.94279969108422</v>
      </c>
      <c r="E327" s="54">
        <f>PV(E326/100,E325,E328,E329)</f>
        <v>-175.94279969108422</v>
      </c>
      <c r="F327" s="1" t="s">
        <v>64</v>
      </c>
      <c r="G327" s="212" t="s">
        <v>227</v>
      </c>
      <c r="H327" s="319" t="s">
        <v>3217</v>
      </c>
    </row>
    <row r="328" spans="2:9" x14ac:dyDescent="0.2">
      <c r="D328" s="20">
        <v>0</v>
      </c>
      <c r="E328" s="20">
        <f>6%/2*200</f>
        <v>6</v>
      </c>
      <c r="F328" s="1" t="s">
        <v>65</v>
      </c>
      <c r="G328" s="319" t="s">
        <v>3218</v>
      </c>
    </row>
    <row r="329" spans="2:9" x14ac:dyDescent="0.2">
      <c r="C329" s="212" t="s">
        <v>227</v>
      </c>
      <c r="D329" s="453">
        <f>D337</f>
        <v>181.07020684957891</v>
      </c>
      <c r="E329" s="20">
        <v>200</v>
      </c>
      <c r="F329" s="1" t="s">
        <v>66</v>
      </c>
      <c r="G329" s="319" t="s">
        <v>656</v>
      </c>
    </row>
    <row r="330" spans="2:9" x14ac:dyDescent="0.2">
      <c r="D330" s="20" t="s">
        <v>259</v>
      </c>
      <c r="E330" s="20"/>
    </row>
    <row r="331" spans="2:9" x14ac:dyDescent="0.2">
      <c r="E331" s="20"/>
    </row>
    <row r="332" spans="2:9" x14ac:dyDescent="0.2">
      <c r="B332" s="1" t="s">
        <v>3222</v>
      </c>
      <c r="E332" s="20"/>
    </row>
    <row r="333" spans="2:9" x14ac:dyDescent="0.2">
      <c r="B333" s="1" t="s">
        <v>3223</v>
      </c>
      <c r="E333" s="20"/>
    </row>
    <row r="334" spans="2:9" x14ac:dyDescent="0.2">
      <c r="B334" s="499" t="s">
        <v>3221</v>
      </c>
      <c r="C334" s="499"/>
      <c r="D334" s="499"/>
      <c r="E334" s="499"/>
      <c r="F334" s="499"/>
      <c r="G334" s="499"/>
      <c r="H334" s="499"/>
      <c r="I334" s="499"/>
    </row>
    <row r="335" spans="2:9" x14ac:dyDescent="0.2">
      <c r="C335" s="1" t="s">
        <v>3224</v>
      </c>
      <c r="E335" s="20"/>
    </row>
    <row r="336" spans="2:9" x14ac:dyDescent="0.2">
      <c r="C336" s="1" t="s">
        <v>3225</v>
      </c>
      <c r="E336" s="20"/>
    </row>
    <row r="337" spans="1:9" x14ac:dyDescent="0.2">
      <c r="D337" s="454">
        <f>-E327*1.09^(4/12)</f>
        <v>181.07020684957891</v>
      </c>
      <c r="E337" s="20"/>
      <c r="F337" s="1" t="s">
        <v>3226</v>
      </c>
      <c r="G337" s="1" t="s">
        <v>3227</v>
      </c>
    </row>
    <row r="338" spans="1:9" x14ac:dyDescent="0.2">
      <c r="D338" s="1" t="s">
        <v>259</v>
      </c>
      <c r="E338" s="20"/>
    </row>
    <row r="339" spans="1:9" x14ac:dyDescent="0.2">
      <c r="E339" s="20"/>
    </row>
    <row r="340" spans="1:9" x14ac:dyDescent="0.2">
      <c r="A340" s="451"/>
      <c r="B340" s="451"/>
      <c r="C340" s="451"/>
      <c r="D340" s="451"/>
      <c r="E340" s="429"/>
      <c r="F340" s="451"/>
      <c r="G340" s="451"/>
      <c r="H340" s="451"/>
      <c r="I340" s="451"/>
    </row>
    <row r="341" spans="1:9" x14ac:dyDescent="0.2">
      <c r="E341" s="20"/>
    </row>
    <row r="342" spans="1:9" x14ac:dyDescent="0.2">
      <c r="A342" s="18" t="s">
        <v>3229</v>
      </c>
      <c r="E342" s="20"/>
    </row>
    <row r="343" spans="1:9" x14ac:dyDescent="0.2">
      <c r="E343" s="20"/>
    </row>
    <row r="344" spans="1:9" x14ac:dyDescent="0.2">
      <c r="A344" s="1" t="s">
        <v>639</v>
      </c>
    </row>
    <row r="345" spans="1:9" x14ac:dyDescent="0.2">
      <c r="A345" s="1" t="s">
        <v>640</v>
      </c>
    </row>
    <row r="347" spans="1:9" x14ac:dyDescent="0.2">
      <c r="C347" s="20" t="s">
        <v>64</v>
      </c>
      <c r="D347" s="78" t="s">
        <v>657</v>
      </c>
    </row>
    <row r="348" spans="1:9" x14ac:dyDescent="0.2">
      <c r="E348" s="78" t="s">
        <v>658</v>
      </c>
    </row>
    <row r="349" spans="1:9" x14ac:dyDescent="0.2">
      <c r="A349" s="20">
        <v>96</v>
      </c>
      <c r="B349" s="20">
        <v>27</v>
      </c>
      <c r="C349" s="20">
        <v>25</v>
      </c>
      <c r="D349" s="20">
        <v>24</v>
      </c>
      <c r="E349" s="20" t="s">
        <v>642</v>
      </c>
      <c r="F349" s="20">
        <v>6</v>
      </c>
      <c r="G349" s="20">
        <v>3</v>
      </c>
      <c r="H349" s="20">
        <v>0</v>
      </c>
    </row>
    <row r="350" spans="1:9" x14ac:dyDescent="0.2">
      <c r="A350" s="20"/>
      <c r="E350" s="20"/>
      <c r="F350" s="20"/>
      <c r="G350" s="20"/>
      <c r="H350" s="20"/>
      <c r="I350" s="1" t="s">
        <v>503</v>
      </c>
    </row>
    <row r="351" spans="1:9" x14ac:dyDescent="0.2">
      <c r="A351" s="20" t="s">
        <v>270</v>
      </c>
      <c r="B351" s="20" t="s">
        <v>65</v>
      </c>
      <c r="D351" s="76" t="s">
        <v>65</v>
      </c>
      <c r="E351" s="76" t="s">
        <v>65</v>
      </c>
      <c r="F351" s="76" t="s">
        <v>65</v>
      </c>
      <c r="G351" s="76" t="s">
        <v>65</v>
      </c>
      <c r="H351" s="20"/>
    </row>
    <row r="352" spans="1:9" x14ac:dyDescent="0.2">
      <c r="A352" s="20" t="s">
        <v>641</v>
      </c>
    </row>
    <row r="353" spans="1:8" x14ac:dyDescent="0.2">
      <c r="E353" s="1" t="s">
        <v>643</v>
      </c>
    </row>
    <row r="354" spans="1:8" x14ac:dyDescent="0.2">
      <c r="C354" s="20" t="s">
        <v>647</v>
      </c>
      <c r="E354" s="1" t="s">
        <v>644</v>
      </c>
    </row>
    <row r="355" spans="1:8" x14ac:dyDescent="0.2">
      <c r="C355" s="20" t="s">
        <v>648</v>
      </c>
      <c r="E355" s="1" t="s">
        <v>645</v>
      </c>
    </row>
    <row r="356" spans="1:8" x14ac:dyDescent="0.2">
      <c r="C356" s="20" t="s">
        <v>649</v>
      </c>
      <c r="E356" s="1" t="s">
        <v>646</v>
      </c>
    </row>
    <row r="357" spans="1:8" x14ac:dyDescent="0.2">
      <c r="C357" s="20" t="s">
        <v>650</v>
      </c>
    </row>
    <row r="359" spans="1:8" ht="17" thickBot="1" x14ac:dyDescent="0.25"/>
    <row r="360" spans="1:8" x14ac:dyDescent="0.2">
      <c r="A360" s="43">
        <f>6*4</f>
        <v>24</v>
      </c>
      <c r="B360" s="20" t="s">
        <v>651</v>
      </c>
      <c r="C360" s="1" t="s">
        <v>652</v>
      </c>
    </row>
    <row r="361" spans="1:8" x14ac:dyDescent="0.2">
      <c r="A361" s="44">
        <f>10%/4*100</f>
        <v>2.5</v>
      </c>
      <c r="B361" s="20" t="s">
        <v>612</v>
      </c>
      <c r="C361" s="1" t="s">
        <v>653</v>
      </c>
    </row>
    <row r="362" spans="1:8" x14ac:dyDescent="0.2">
      <c r="A362" s="44">
        <v>3.0301</v>
      </c>
      <c r="B362" s="20" t="s">
        <v>63</v>
      </c>
      <c r="C362" s="1" t="s">
        <v>655</v>
      </c>
      <c r="H362" s="75">
        <f>1.126825^0.25-1</f>
        <v>3.0300993112284846E-2</v>
      </c>
    </row>
    <row r="363" spans="1:8" x14ac:dyDescent="0.2">
      <c r="A363" s="44">
        <v>100</v>
      </c>
      <c r="B363" s="20" t="s">
        <v>66</v>
      </c>
      <c r="C363" s="1" t="s">
        <v>656</v>
      </c>
    </row>
    <row r="364" spans="1:8" ht="17" thickBot="1" x14ac:dyDescent="0.25">
      <c r="A364" s="77">
        <f>PV(A362/100,A360,A361,A363)</f>
        <v>-91.051509018534006</v>
      </c>
      <c r="B364" s="20" t="s">
        <v>64</v>
      </c>
      <c r="C364" s="1" t="s">
        <v>77</v>
      </c>
    </row>
    <row r="366" spans="1:8" x14ac:dyDescent="0.2">
      <c r="A366" s="1" t="s">
        <v>659</v>
      </c>
    </row>
    <row r="367" spans="1:8" x14ac:dyDescent="0.2">
      <c r="H367" s="37">
        <v>0.01</v>
      </c>
    </row>
    <row r="370" spans="1:3" x14ac:dyDescent="0.2">
      <c r="A370" s="1" t="s">
        <v>660</v>
      </c>
      <c r="C370" s="50">
        <f>91.05*(1+1%)</f>
        <v>91.960499999999996</v>
      </c>
    </row>
    <row r="372" spans="1:3" x14ac:dyDescent="0.2">
      <c r="A372" s="1" t="s">
        <v>661</v>
      </c>
    </row>
    <row r="373" spans="1:3" x14ac:dyDescent="0.2">
      <c r="A373" s="1" t="s">
        <v>662</v>
      </c>
    </row>
    <row r="374" spans="1:3" x14ac:dyDescent="0.2">
      <c r="A374" s="1" t="s">
        <v>663</v>
      </c>
    </row>
    <row r="375" spans="1:3" x14ac:dyDescent="0.2">
      <c r="A375" s="1" t="s">
        <v>664</v>
      </c>
    </row>
    <row r="377" spans="1:3" x14ac:dyDescent="0.2">
      <c r="A377" s="1" t="s">
        <v>403</v>
      </c>
    </row>
    <row r="381" spans="1:3" x14ac:dyDescent="0.2">
      <c r="B381" s="50">
        <f>(2.5*(1-1/1.030301^24)/0.030301+100/1.030301^24)*1.01</f>
        <v>91.962024108719348</v>
      </c>
    </row>
    <row r="383" spans="1:3" x14ac:dyDescent="0.2">
      <c r="A383" s="1" t="s">
        <v>665</v>
      </c>
    </row>
    <row r="384" spans="1:3" x14ac:dyDescent="0.2">
      <c r="A384" s="1" t="s">
        <v>666</v>
      </c>
    </row>
  </sheetData>
  <mergeCells count="7">
    <mergeCell ref="K179:K180"/>
    <mergeCell ref="K183:K184"/>
    <mergeCell ref="B334:I334"/>
    <mergeCell ref="D207:D208"/>
    <mergeCell ref="D210:D211"/>
    <mergeCell ref="B266:B267"/>
    <mergeCell ref="F286:G286"/>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E8B11-8EBA-AC47-AECC-1048572574C1}">
  <dimension ref="A1:K171"/>
  <sheetViews>
    <sheetView rightToLeft="1" zoomScale="185" zoomScaleNormal="400" workbookViewId="0">
      <selection activeCell="E17" sqref="E17"/>
    </sheetView>
  </sheetViews>
  <sheetFormatPr baseColWidth="10" defaultRowHeight="16" x14ac:dyDescent="0.2"/>
  <cols>
    <col min="1" max="16384" width="10.83203125" style="1"/>
  </cols>
  <sheetData>
    <row r="1" spans="1:8" x14ac:dyDescent="0.2">
      <c r="A1" s="1" t="s">
        <v>3327</v>
      </c>
      <c r="H1" s="4"/>
    </row>
    <row r="2" spans="1:8" ht="17" thickBot="1" x14ac:dyDescent="0.25"/>
    <row r="3" spans="1:8" x14ac:dyDescent="0.2">
      <c r="A3" s="12" t="s">
        <v>1937</v>
      </c>
      <c r="B3" s="13"/>
      <c r="C3" s="13"/>
      <c r="D3" s="13"/>
      <c r="E3" s="13"/>
      <c r="F3" s="13"/>
      <c r="G3" s="13"/>
      <c r="H3" s="14"/>
    </row>
    <row r="4" spans="1:8" x14ac:dyDescent="0.2">
      <c r="A4" s="72" t="s">
        <v>1938</v>
      </c>
      <c r="H4" s="73"/>
    </row>
    <row r="5" spans="1:8" x14ac:dyDescent="0.2">
      <c r="A5" s="72" t="s">
        <v>1939</v>
      </c>
      <c r="H5" s="73"/>
    </row>
    <row r="6" spans="1:8" x14ac:dyDescent="0.2">
      <c r="A6" s="72" t="s">
        <v>1940</v>
      </c>
      <c r="H6" s="73"/>
    </row>
    <row r="7" spans="1:8" ht="17" thickBot="1" x14ac:dyDescent="0.25">
      <c r="A7" s="15" t="s">
        <v>1941</v>
      </c>
      <c r="B7" s="16"/>
      <c r="C7" s="16"/>
      <c r="D7" s="16"/>
      <c r="E7" s="16"/>
      <c r="F7" s="16"/>
      <c r="G7" s="16"/>
      <c r="H7" s="17"/>
    </row>
    <row r="9" spans="1:8" x14ac:dyDescent="0.2">
      <c r="A9" s="6" t="s">
        <v>1942</v>
      </c>
      <c r="B9" s="6"/>
      <c r="C9" s="6"/>
      <c r="D9" s="6"/>
      <c r="E9" s="6"/>
      <c r="F9" s="6"/>
      <c r="G9" s="6"/>
      <c r="H9" s="6">
        <v>3.1</v>
      </c>
    </row>
    <row r="11" spans="1:8" x14ac:dyDescent="0.2">
      <c r="A11" s="1" t="s">
        <v>1943</v>
      </c>
    </row>
    <row r="12" spans="1:8" x14ac:dyDescent="0.2">
      <c r="A12" s="1" t="s">
        <v>1944</v>
      </c>
    </row>
    <row r="13" spans="1:8" x14ac:dyDescent="0.2">
      <c r="A13" s="1" t="s">
        <v>1945</v>
      </c>
    </row>
    <row r="14" spans="1:8" x14ac:dyDescent="0.2">
      <c r="A14" s="1" t="s">
        <v>1946</v>
      </c>
    </row>
    <row r="15" spans="1:8" x14ac:dyDescent="0.2">
      <c r="A15" s="1" t="s">
        <v>1947</v>
      </c>
    </row>
    <row r="16" spans="1:8" x14ac:dyDescent="0.2">
      <c r="A16" s="1" t="s">
        <v>1948</v>
      </c>
    </row>
    <row r="18" spans="1:9" x14ac:dyDescent="0.2">
      <c r="A18" s="1" t="s">
        <v>146</v>
      </c>
    </row>
    <row r="20" spans="1:9" x14ac:dyDescent="0.2">
      <c r="A20" s="1" t="s">
        <v>1949</v>
      </c>
    </row>
    <row r="21" spans="1:9" x14ac:dyDescent="0.2">
      <c r="A21" s="1" t="s">
        <v>1950</v>
      </c>
      <c r="H21" s="50">
        <f>-F29</f>
        <v>1049.1117929163343</v>
      </c>
      <c r="I21" s="1" t="s">
        <v>1956</v>
      </c>
    </row>
    <row r="22" spans="1:9" x14ac:dyDescent="0.2">
      <c r="A22" s="1" t="s">
        <v>1952</v>
      </c>
      <c r="H22" s="1" t="s">
        <v>1965</v>
      </c>
    </row>
    <row r="23" spans="1:9" x14ac:dyDescent="0.2">
      <c r="A23" s="1" t="s">
        <v>1951</v>
      </c>
      <c r="H23" s="50">
        <f>-A29</f>
        <v>908.82707639199339</v>
      </c>
      <c r="I23" s="1" t="s">
        <v>1956</v>
      </c>
    </row>
    <row r="25" spans="1:9" x14ac:dyDescent="0.2">
      <c r="A25" s="27" t="s">
        <v>173</v>
      </c>
      <c r="B25" s="10" t="s">
        <v>60</v>
      </c>
      <c r="F25" s="27" t="s">
        <v>171</v>
      </c>
      <c r="G25" s="10" t="s">
        <v>60</v>
      </c>
    </row>
    <row r="26" spans="1:9" ht="17" thickBot="1" x14ac:dyDescent="0.25">
      <c r="A26" s="20" t="s">
        <v>75</v>
      </c>
      <c r="B26" s="1" t="s">
        <v>111</v>
      </c>
      <c r="F26" s="20" t="s">
        <v>75</v>
      </c>
      <c r="G26" s="1" t="s">
        <v>111</v>
      </c>
    </row>
    <row r="27" spans="1:9" x14ac:dyDescent="0.2">
      <c r="A27" s="255">
        <v>9</v>
      </c>
      <c r="B27" s="14" t="s">
        <v>62</v>
      </c>
      <c r="C27" s="1" t="s">
        <v>1959</v>
      </c>
      <c r="F27" s="255">
        <v>15</v>
      </c>
      <c r="G27" s="14" t="s">
        <v>62</v>
      </c>
      <c r="H27" s="1" t="s">
        <v>1953</v>
      </c>
    </row>
    <row r="28" spans="1:9" ht="17" thickBot="1" x14ac:dyDescent="0.25">
      <c r="A28" s="162">
        <v>6</v>
      </c>
      <c r="B28" s="17" t="s">
        <v>63</v>
      </c>
      <c r="C28" s="1" t="s">
        <v>1958</v>
      </c>
      <c r="F28" s="162">
        <v>5</v>
      </c>
      <c r="G28" s="17" t="s">
        <v>63</v>
      </c>
      <c r="H28" s="1" t="s">
        <v>1957</v>
      </c>
    </row>
    <row r="29" spans="1:9" x14ac:dyDescent="0.2">
      <c r="A29" s="50">
        <f>PV(A28/100,A27,A30,A31)</f>
        <v>-908.82707639199339</v>
      </c>
      <c r="B29" s="1" t="s">
        <v>64</v>
      </c>
      <c r="F29" s="50">
        <f>PV(F28/100,F27,F30,F31)</f>
        <v>-1049.1117929163343</v>
      </c>
      <c r="G29" s="1" t="s">
        <v>64</v>
      </c>
      <c r="H29" s="254" t="s">
        <v>77</v>
      </c>
    </row>
    <row r="30" spans="1:9" x14ac:dyDescent="0.2">
      <c r="A30" s="20">
        <f>F30</f>
        <v>64</v>
      </c>
      <c r="B30" s="1" t="s">
        <v>65</v>
      </c>
      <c r="C30" s="1" t="s">
        <v>1960</v>
      </c>
      <c r="F30" s="20">
        <f>8%*800</f>
        <v>64</v>
      </c>
      <c r="G30" s="1" t="s">
        <v>65</v>
      </c>
      <c r="H30" s="1" t="s">
        <v>1954</v>
      </c>
    </row>
    <row r="31" spans="1:9" x14ac:dyDescent="0.2">
      <c r="A31" s="20">
        <v>800</v>
      </c>
      <c r="B31" s="1" t="s">
        <v>66</v>
      </c>
      <c r="C31" s="1" t="s">
        <v>1961</v>
      </c>
      <c r="F31" s="20">
        <v>800</v>
      </c>
      <c r="G31" s="1" t="s">
        <v>66</v>
      </c>
      <c r="H31" s="1" t="s">
        <v>1955</v>
      </c>
    </row>
    <row r="33" spans="1:8" x14ac:dyDescent="0.2">
      <c r="A33" s="1" t="s">
        <v>1962</v>
      </c>
    </row>
    <row r="34" spans="1:8" x14ac:dyDescent="0.2">
      <c r="A34" s="1" t="s">
        <v>1963</v>
      </c>
    </row>
    <row r="36" spans="1:8" x14ac:dyDescent="0.2">
      <c r="A36" s="256" t="s">
        <v>1964</v>
      </c>
      <c r="B36" s="10"/>
      <c r="C36" s="10"/>
      <c r="D36" s="10"/>
      <c r="F36" s="27"/>
      <c r="G36" s="10" t="s">
        <v>60</v>
      </c>
    </row>
    <row r="37" spans="1:8" x14ac:dyDescent="0.2">
      <c r="F37" s="20" t="s">
        <v>75</v>
      </c>
      <c r="G37" s="1" t="s">
        <v>111</v>
      </c>
    </row>
    <row r="38" spans="1:8" ht="17" thickBot="1" x14ac:dyDescent="0.25">
      <c r="A38" s="1" t="s">
        <v>1967</v>
      </c>
      <c r="F38" s="20">
        <v>6</v>
      </c>
      <c r="G38" s="1" t="s">
        <v>62</v>
      </c>
      <c r="H38" s="1" t="s">
        <v>1966</v>
      </c>
    </row>
    <row r="39" spans="1:8" ht="17" thickBot="1" x14ac:dyDescent="0.25">
      <c r="A39" s="1" t="s">
        <v>1973</v>
      </c>
      <c r="F39" s="257">
        <f>RATE(F38,F41,F40,F42)</f>
        <v>4.0889491801318303E-2</v>
      </c>
      <c r="G39" s="1" t="s">
        <v>63</v>
      </c>
      <c r="H39" s="42" t="s">
        <v>77</v>
      </c>
    </row>
    <row r="40" spans="1:8" x14ac:dyDescent="0.2">
      <c r="A40" s="1" t="s">
        <v>1970</v>
      </c>
      <c r="F40" s="50">
        <f>F29</f>
        <v>-1049.1117929163343</v>
      </c>
      <c r="G40" s="1" t="s">
        <v>64</v>
      </c>
      <c r="H40" s="1" t="s">
        <v>1969</v>
      </c>
    </row>
    <row r="41" spans="1:8" x14ac:dyDescent="0.2">
      <c r="A41" s="1" t="s">
        <v>1968</v>
      </c>
      <c r="F41" s="20">
        <f>F30</f>
        <v>64</v>
      </c>
      <c r="G41" s="1" t="s">
        <v>65</v>
      </c>
    </row>
    <row r="42" spans="1:8" x14ac:dyDescent="0.2">
      <c r="A42" s="1" t="s">
        <v>1972</v>
      </c>
      <c r="F42" s="50">
        <f>-A29</f>
        <v>908.82707639199339</v>
      </c>
      <c r="G42" s="1" t="s">
        <v>66</v>
      </c>
      <c r="H42" s="1" t="s">
        <v>1971</v>
      </c>
    </row>
    <row r="44" spans="1:8" x14ac:dyDescent="0.2">
      <c r="A44" s="6" t="s">
        <v>1974</v>
      </c>
      <c r="B44" s="6"/>
      <c r="C44" s="6"/>
      <c r="D44" s="6"/>
      <c r="E44" s="6"/>
      <c r="F44" s="6"/>
      <c r="G44" s="6"/>
      <c r="H44" s="6"/>
    </row>
    <row r="46" spans="1:8" x14ac:dyDescent="0.2">
      <c r="A46" s="1" t="s">
        <v>1975</v>
      </c>
    </row>
    <row r="47" spans="1:8" x14ac:dyDescent="0.2">
      <c r="A47" s="1" t="s">
        <v>1976</v>
      </c>
    </row>
    <row r="48" spans="1:8" x14ac:dyDescent="0.2">
      <c r="A48" s="1" t="s">
        <v>1977</v>
      </c>
    </row>
    <row r="49" spans="1:8" x14ac:dyDescent="0.2">
      <c r="A49" s="1" t="s">
        <v>1978</v>
      </c>
    </row>
    <row r="50" spans="1:8" x14ac:dyDescent="0.2">
      <c r="A50" s="1" t="s">
        <v>1979</v>
      </c>
    </row>
    <row r="51" spans="1:8" x14ac:dyDescent="0.2">
      <c r="A51" s="1" t="s">
        <v>1980</v>
      </c>
    </row>
    <row r="52" spans="1:8" x14ac:dyDescent="0.2">
      <c r="A52" s="1" t="s">
        <v>1981</v>
      </c>
    </row>
    <row r="54" spans="1:8" x14ac:dyDescent="0.2">
      <c r="A54" s="1" t="s">
        <v>660</v>
      </c>
      <c r="C54" s="258" t="s">
        <v>1984</v>
      </c>
      <c r="D54" s="258" t="s">
        <v>1983</v>
      </c>
      <c r="E54" s="258" t="s">
        <v>1982</v>
      </c>
      <c r="F54" s="1" t="s">
        <v>60</v>
      </c>
    </row>
    <row r="55" spans="1:8" x14ac:dyDescent="0.2">
      <c r="A55" s="1" t="s">
        <v>1985</v>
      </c>
      <c r="C55" s="20" t="s">
        <v>75</v>
      </c>
      <c r="D55" s="20" t="s">
        <v>75</v>
      </c>
      <c r="E55" s="20" t="s">
        <v>75</v>
      </c>
      <c r="F55" s="1" t="s">
        <v>111</v>
      </c>
    </row>
    <row r="56" spans="1:8" x14ac:dyDescent="0.2">
      <c r="A56" s="1" t="s">
        <v>1986</v>
      </c>
      <c r="C56" s="20">
        <f>8-2</f>
        <v>6</v>
      </c>
      <c r="D56" s="20">
        <f>20-8</f>
        <v>12</v>
      </c>
      <c r="E56" s="20">
        <f>20-2</f>
        <v>18</v>
      </c>
      <c r="F56" s="1" t="s">
        <v>62</v>
      </c>
    </row>
    <row r="57" spans="1:8" x14ac:dyDescent="0.2">
      <c r="A57" s="1" t="s">
        <v>1987</v>
      </c>
      <c r="C57" s="259">
        <f>RATE(C56,C59,C58,C60)</f>
        <v>-5.5895496321471689E-3</v>
      </c>
      <c r="D57" s="20">
        <v>12</v>
      </c>
      <c r="E57" s="20">
        <v>6</v>
      </c>
      <c r="F57" s="1" t="s">
        <v>63</v>
      </c>
    </row>
    <row r="58" spans="1:8" ht="27" customHeight="1" x14ac:dyDescent="0.2">
      <c r="C58" s="245">
        <f>E58</f>
        <v>-802.55156866938057</v>
      </c>
      <c r="D58" s="50">
        <f>PV(D57/100,D56,D59,D60)</f>
        <v>-509.75442379632926</v>
      </c>
      <c r="E58" s="50">
        <f>PV(E57/100,E56,E59,E60)</f>
        <v>-802.55156866938057</v>
      </c>
      <c r="F58" s="1" t="s">
        <v>64</v>
      </c>
    </row>
    <row r="59" spans="1:8" x14ac:dyDescent="0.2">
      <c r="C59" s="20">
        <f>D59</f>
        <v>45</v>
      </c>
      <c r="D59" s="20">
        <f>E59</f>
        <v>45</v>
      </c>
      <c r="E59" s="20">
        <f>5%*900</f>
        <v>45</v>
      </c>
      <c r="F59" s="1" t="s">
        <v>65</v>
      </c>
    </row>
    <row r="60" spans="1:8" x14ac:dyDescent="0.2">
      <c r="C60" s="30">
        <f>-D58</f>
        <v>509.75442379632926</v>
      </c>
      <c r="D60" s="20">
        <v>900</v>
      </c>
      <c r="E60" s="20">
        <v>900</v>
      </c>
      <c r="F60" s="1" t="s">
        <v>66</v>
      </c>
    </row>
    <row r="62" spans="1:8" x14ac:dyDescent="0.2">
      <c r="A62" s="6" t="s">
        <v>1988</v>
      </c>
      <c r="B62" s="6"/>
      <c r="C62" s="6"/>
      <c r="D62" s="6"/>
      <c r="E62" s="6"/>
      <c r="F62" s="6"/>
      <c r="G62" s="6"/>
      <c r="H62" s="6"/>
    </row>
    <row r="64" spans="1:8" x14ac:dyDescent="0.2">
      <c r="A64" s="1" t="s">
        <v>1989</v>
      </c>
    </row>
    <row r="65" spans="1:7" x14ac:dyDescent="0.2">
      <c r="A65" s="1" t="s">
        <v>1990</v>
      </c>
    </row>
    <row r="66" spans="1:7" x14ac:dyDescent="0.2">
      <c r="A66" s="1" t="s">
        <v>1991</v>
      </c>
    </row>
    <row r="67" spans="1:7" x14ac:dyDescent="0.2">
      <c r="A67" s="1" t="s">
        <v>1992</v>
      </c>
    </row>
    <row r="68" spans="1:7" x14ac:dyDescent="0.2">
      <c r="A68" s="1" t="s">
        <v>1993</v>
      </c>
    </row>
    <row r="71" spans="1:7" x14ac:dyDescent="0.2">
      <c r="D71" s="27" t="s">
        <v>1996</v>
      </c>
      <c r="E71" s="27" t="s">
        <v>1995</v>
      </c>
      <c r="F71" s="27" t="s">
        <v>1994</v>
      </c>
    </row>
    <row r="72" spans="1:7" x14ac:dyDescent="0.2">
      <c r="D72" s="20" t="s">
        <v>75</v>
      </c>
      <c r="E72" s="20" t="s">
        <v>75</v>
      </c>
      <c r="F72" s="20" t="s">
        <v>75</v>
      </c>
      <c r="G72" s="1" t="s">
        <v>111</v>
      </c>
    </row>
    <row r="73" spans="1:7" x14ac:dyDescent="0.2">
      <c r="D73" s="20">
        <f>20-5</f>
        <v>15</v>
      </c>
      <c r="E73" s="20">
        <f>20-2</f>
        <v>18</v>
      </c>
      <c r="F73" s="20">
        <v>20</v>
      </c>
      <c r="G73" s="1" t="s">
        <v>62</v>
      </c>
    </row>
    <row r="74" spans="1:7" x14ac:dyDescent="0.2">
      <c r="D74" s="20">
        <v>8</v>
      </c>
      <c r="E74" s="20">
        <v>14</v>
      </c>
      <c r="F74" s="20">
        <v>12</v>
      </c>
      <c r="G74" s="1" t="s">
        <v>63</v>
      </c>
    </row>
    <row r="75" spans="1:7" x14ac:dyDescent="0.2">
      <c r="D75" s="50">
        <f>PV(D74/100,D73,D76,D77)</f>
        <v>-542.79739343963183</v>
      </c>
      <c r="E75" s="50">
        <f>PV(E74/100,E73,E76,E77)</f>
        <v>-338.31448837799798</v>
      </c>
      <c r="F75" s="50">
        <f>PV(F74/100,F73,F76,F77)</f>
        <v>-387.958345635086</v>
      </c>
      <c r="G75" s="1" t="s">
        <v>64</v>
      </c>
    </row>
    <row r="76" spans="1:7" x14ac:dyDescent="0.2">
      <c r="D76" s="20">
        <f>E76</f>
        <v>45</v>
      </c>
      <c r="E76" s="20">
        <f>F76</f>
        <v>45</v>
      </c>
      <c r="F76" s="20">
        <f>9%*500</f>
        <v>45</v>
      </c>
      <c r="G76" s="1" t="s">
        <v>65</v>
      </c>
    </row>
    <row r="77" spans="1:7" x14ac:dyDescent="0.2">
      <c r="D77" s="20">
        <f>E77</f>
        <v>500</v>
      </c>
      <c r="E77" s="20">
        <v>500</v>
      </c>
      <c r="F77" s="20">
        <v>500</v>
      </c>
      <c r="G77" s="1" t="s">
        <v>66</v>
      </c>
    </row>
    <row r="80" spans="1:7" x14ac:dyDescent="0.2">
      <c r="D80" s="1" t="s">
        <v>469</v>
      </c>
      <c r="E80" s="1" t="s">
        <v>1997</v>
      </c>
    </row>
    <row r="81" spans="1:11" x14ac:dyDescent="0.2">
      <c r="D81" s="1" t="s">
        <v>2001</v>
      </c>
      <c r="E81" s="1" t="s">
        <v>1998</v>
      </c>
    </row>
    <row r="82" spans="1:11" x14ac:dyDescent="0.2">
      <c r="D82" s="1" t="s">
        <v>2002</v>
      </c>
      <c r="E82" s="1" t="s">
        <v>1999</v>
      </c>
    </row>
    <row r="83" spans="1:11" x14ac:dyDescent="0.2">
      <c r="D83" s="1" t="s">
        <v>2003</v>
      </c>
      <c r="E83" s="1" t="s">
        <v>2000</v>
      </c>
    </row>
    <row r="84" spans="1:11" x14ac:dyDescent="0.2">
      <c r="D84" s="1" t="s">
        <v>2004</v>
      </c>
    </row>
    <row r="85" spans="1:11" x14ac:dyDescent="0.2">
      <c r="D85" s="1" t="s">
        <v>2005</v>
      </c>
    </row>
    <row r="86" spans="1:11" x14ac:dyDescent="0.2">
      <c r="D86" s="1" t="s">
        <v>2006</v>
      </c>
    </row>
    <row r="87" spans="1:11" x14ac:dyDescent="0.2">
      <c r="D87" s="1" t="s">
        <v>2007</v>
      </c>
    </row>
    <row r="88" spans="1:11" x14ac:dyDescent="0.2">
      <c r="B88" s="1" t="s">
        <v>2008</v>
      </c>
      <c r="D88" s="32">
        <f>-D75</f>
        <v>542.79739343963183</v>
      </c>
    </row>
    <row r="89" spans="1:11" x14ac:dyDescent="0.2">
      <c r="B89" s="1" t="s">
        <v>2009</v>
      </c>
      <c r="D89" s="1">
        <f>D76</f>
        <v>45</v>
      </c>
    </row>
    <row r="90" spans="1:11" x14ac:dyDescent="0.2">
      <c r="B90" s="1" t="s">
        <v>2010</v>
      </c>
      <c r="D90" s="260">
        <f>D88+D89</f>
        <v>587.79739343963183</v>
      </c>
    </row>
    <row r="92" spans="1:11" x14ac:dyDescent="0.2">
      <c r="A92" s="1" t="s">
        <v>2011</v>
      </c>
    </row>
    <row r="94" spans="1:11" x14ac:dyDescent="0.2">
      <c r="D94" s="27" t="s">
        <v>1996</v>
      </c>
      <c r="J94" s="27" t="s">
        <v>1996</v>
      </c>
    </row>
    <row r="95" spans="1:11" x14ac:dyDescent="0.2">
      <c r="D95" s="20" t="s">
        <v>75</v>
      </c>
      <c r="E95" s="1" t="s">
        <v>111</v>
      </c>
      <c r="J95" s="20" t="s">
        <v>75</v>
      </c>
      <c r="K95" s="1" t="s">
        <v>111</v>
      </c>
    </row>
    <row r="96" spans="1:11" x14ac:dyDescent="0.2">
      <c r="A96" s="1" t="s">
        <v>2012</v>
      </c>
      <c r="D96" s="20">
        <v>16</v>
      </c>
      <c r="E96" s="1" t="s">
        <v>62</v>
      </c>
      <c r="J96" s="20">
        <v>16</v>
      </c>
      <c r="K96" s="1" t="s">
        <v>62</v>
      </c>
    </row>
    <row r="97" spans="1:11" x14ac:dyDescent="0.2">
      <c r="A97" s="1" t="s">
        <v>2013</v>
      </c>
      <c r="D97" s="20">
        <v>8</v>
      </c>
      <c r="E97" s="1" t="s">
        <v>63</v>
      </c>
      <c r="J97" s="20">
        <v>8</v>
      </c>
      <c r="K97" s="1" t="s">
        <v>63</v>
      </c>
    </row>
    <row r="98" spans="1:11" x14ac:dyDescent="0.2">
      <c r="A98" s="1" t="s">
        <v>2014</v>
      </c>
      <c r="D98" s="50">
        <f>PV(D97/100,D96,D99,D100)</f>
        <v>-544.25684577743687</v>
      </c>
      <c r="E98" s="1" t="s">
        <v>64</v>
      </c>
      <c r="H98" s="1" t="s">
        <v>2021</v>
      </c>
      <c r="J98" s="50">
        <f>PV(J97/100,J96,J99,J100)</f>
        <v>-544.25684577743687</v>
      </c>
      <c r="K98" s="1" t="s">
        <v>64</v>
      </c>
    </row>
    <row r="99" spans="1:11" x14ac:dyDescent="0.2">
      <c r="A99" s="1" t="s">
        <v>2015</v>
      </c>
      <c r="D99" s="20">
        <v>45</v>
      </c>
      <c r="E99" s="1" t="s">
        <v>65</v>
      </c>
      <c r="H99" s="1" t="s">
        <v>2022</v>
      </c>
      <c r="J99" s="20">
        <v>45</v>
      </c>
      <c r="K99" s="1" t="s">
        <v>65</v>
      </c>
    </row>
    <row r="100" spans="1:11" x14ac:dyDescent="0.2">
      <c r="D100" s="20">
        <v>500</v>
      </c>
      <c r="E100" s="1" t="s">
        <v>66</v>
      </c>
      <c r="H100" s="1" t="s">
        <v>2023</v>
      </c>
      <c r="J100" s="20">
        <v>500</v>
      </c>
      <c r="K100" s="1" t="s">
        <v>66</v>
      </c>
    </row>
    <row r="101" spans="1:11" x14ac:dyDescent="0.2">
      <c r="H101" s="1" t="s">
        <v>2024</v>
      </c>
    </row>
    <row r="102" spans="1:11" x14ac:dyDescent="0.2">
      <c r="A102" s="1" t="s">
        <v>2011</v>
      </c>
      <c r="H102" s="1" t="s">
        <v>2025</v>
      </c>
    </row>
    <row r="104" spans="1:11" x14ac:dyDescent="0.2">
      <c r="D104" s="27" t="s">
        <v>1996</v>
      </c>
      <c r="I104" s="1" t="s">
        <v>2016</v>
      </c>
    </row>
    <row r="105" spans="1:11" x14ac:dyDescent="0.2">
      <c r="D105" s="20" t="s">
        <v>152</v>
      </c>
      <c r="E105" s="1" t="s">
        <v>111</v>
      </c>
      <c r="I105" s="1" t="s">
        <v>2017</v>
      </c>
    </row>
    <row r="106" spans="1:11" x14ac:dyDescent="0.2">
      <c r="D106" s="20">
        <v>16</v>
      </c>
      <c r="E106" s="1" t="s">
        <v>62</v>
      </c>
      <c r="I106" s="1" t="s">
        <v>2018</v>
      </c>
    </row>
    <row r="107" spans="1:11" x14ac:dyDescent="0.2">
      <c r="D107" s="20">
        <v>8</v>
      </c>
      <c r="E107" s="1" t="s">
        <v>63</v>
      </c>
      <c r="I107" s="1" t="s">
        <v>2019</v>
      </c>
    </row>
    <row r="108" spans="1:11" x14ac:dyDescent="0.2">
      <c r="D108" s="50">
        <f>PV(D107/100,D106,D109,D110,1)</f>
        <v>-576.12177473719157</v>
      </c>
      <c r="E108" s="1" t="s">
        <v>64</v>
      </c>
      <c r="H108" s="260">
        <f>-J98*1.08</f>
        <v>587.79739343963183</v>
      </c>
      <c r="J108" s="1" t="s">
        <v>2020</v>
      </c>
    </row>
    <row r="109" spans="1:11" x14ac:dyDescent="0.2">
      <c r="D109" s="20">
        <v>45</v>
      </c>
      <c r="E109" s="1" t="s">
        <v>65</v>
      </c>
    </row>
    <row r="110" spans="1:11" x14ac:dyDescent="0.2">
      <c r="D110" s="20">
        <v>500</v>
      </c>
      <c r="E110" s="1" t="s">
        <v>66</v>
      </c>
    </row>
    <row r="112" spans="1:11" x14ac:dyDescent="0.2">
      <c r="A112" s="256" t="s">
        <v>2026</v>
      </c>
      <c r="B112" s="10"/>
      <c r="C112" s="10"/>
      <c r="D112" s="10"/>
      <c r="E112" s="10"/>
      <c r="F112" s="10"/>
      <c r="G112" s="10"/>
    </row>
    <row r="113" spans="1:4" x14ac:dyDescent="0.2">
      <c r="A113" s="1" t="s">
        <v>2027</v>
      </c>
    </row>
    <row r="114" spans="1:4" x14ac:dyDescent="0.2">
      <c r="A114" s="1" t="s">
        <v>2028</v>
      </c>
    </row>
    <row r="115" spans="1:4" x14ac:dyDescent="0.2">
      <c r="A115" s="1" t="s">
        <v>2029</v>
      </c>
    </row>
    <row r="116" spans="1:4" x14ac:dyDescent="0.2">
      <c r="D116" s="1" t="s">
        <v>2030</v>
      </c>
    </row>
    <row r="117" spans="1:4" x14ac:dyDescent="0.2">
      <c r="D117" s="1" t="s">
        <v>2031</v>
      </c>
    </row>
    <row r="118" spans="1:4" x14ac:dyDescent="0.2">
      <c r="D118" s="1" t="s">
        <v>2032</v>
      </c>
    </row>
    <row r="119" spans="1:4" x14ac:dyDescent="0.2">
      <c r="D119" s="1" t="s">
        <v>2033</v>
      </c>
    </row>
    <row r="121" spans="1:4" x14ac:dyDescent="0.2">
      <c r="A121" s="18" t="s">
        <v>2034</v>
      </c>
    </row>
    <row r="122" spans="1:4" x14ac:dyDescent="0.2">
      <c r="A122" s="1" t="s">
        <v>2035</v>
      </c>
    </row>
    <row r="123" spans="1:4" x14ac:dyDescent="0.2">
      <c r="A123" s="1" t="s">
        <v>2036</v>
      </c>
    </row>
    <row r="125" spans="1:4" x14ac:dyDescent="0.2">
      <c r="A125" s="1" t="s">
        <v>2037</v>
      </c>
    </row>
    <row r="127" spans="1:4" x14ac:dyDescent="0.2">
      <c r="A127" s="1" t="s">
        <v>2038</v>
      </c>
    </row>
    <row r="128" spans="1:4" x14ac:dyDescent="0.2">
      <c r="B128" s="1" t="s">
        <v>2039</v>
      </c>
    </row>
    <row r="130" spans="1:11" x14ac:dyDescent="0.2">
      <c r="A130" s="1" t="s">
        <v>2040</v>
      </c>
    </row>
    <row r="141" spans="1:11" x14ac:dyDescent="0.2">
      <c r="A141" s="263" t="s">
        <v>2041</v>
      </c>
      <c r="B141" s="100" t="s">
        <v>2049</v>
      </c>
      <c r="C141" s="100"/>
      <c r="D141" s="100"/>
      <c r="E141" s="100"/>
      <c r="F141" s="100"/>
      <c r="G141" s="100"/>
      <c r="H141" s="100"/>
    </row>
    <row r="143" spans="1:11" x14ac:dyDescent="0.2">
      <c r="A143" s="261" t="s">
        <v>1943</v>
      </c>
      <c r="B143" s="261"/>
      <c r="C143" s="261"/>
      <c r="D143" s="261"/>
      <c r="E143" s="261"/>
      <c r="F143" s="261"/>
      <c r="G143" s="262"/>
      <c r="H143" s="262"/>
      <c r="I143" s="262"/>
      <c r="J143" s="262"/>
      <c r="K143" s="262"/>
    </row>
    <row r="144" spans="1:11" x14ac:dyDescent="0.2">
      <c r="A144" s="261" t="s">
        <v>1944</v>
      </c>
      <c r="B144" s="261"/>
      <c r="C144" s="261"/>
      <c r="D144" s="261"/>
      <c r="E144" s="261"/>
      <c r="F144" s="261"/>
      <c r="G144" s="261"/>
      <c r="H144" s="262"/>
      <c r="I144" s="262"/>
      <c r="J144" s="262"/>
      <c r="K144" s="262"/>
    </row>
    <row r="145" spans="1:11" x14ac:dyDescent="0.2">
      <c r="A145" s="261" t="s">
        <v>1945</v>
      </c>
      <c r="B145" s="261"/>
      <c r="C145" s="261"/>
      <c r="D145" s="261"/>
      <c r="E145" s="262"/>
      <c r="F145" s="262"/>
      <c r="G145" s="262"/>
      <c r="H145" s="262"/>
      <c r="I145" s="262"/>
      <c r="J145" s="262"/>
      <c r="K145" s="262"/>
    </row>
    <row r="146" spans="1:11" x14ac:dyDescent="0.2">
      <c r="A146" s="261" t="s">
        <v>1946</v>
      </c>
      <c r="B146" s="261"/>
      <c r="C146" s="261"/>
      <c r="D146" s="261"/>
      <c r="E146" s="261"/>
      <c r="F146" s="262"/>
      <c r="G146" s="262"/>
      <c r="H146" s="262"/>
      <c r="I146" s="262"/>
      <c r="J146" s="262"/>
      <c r="K146" s="262"/>
    </row>
    <row r="147" spans="1:11" x14ac:dyDescent="0.2">
      <c r="A147" s="261" t="s">
        <v>1947</v>
      </c>
      <c r="B147" s="261"/>
      <c r="C147" s="261"/>
      <c r="D147" s="261"/>
      <c r="E147" s="261"/>
      <c r="F147" s="261"/>
      <c r="G147" s="262"/>
      <c r="H147" s="262"/>
      <c r="I147" s="262"/>
      <c r="J147" s="262"/>
      <c r="K147" s="262"/>
    </row>
    <row r="148" spans="1:11" x14ac:dyDescent="0.2">
      <c r="A148" s="261" t="s">
        <v>1948</v>
      </c>
      <c r="B148" s="261"/>
      <c r="C148" s="261"/>
      <c r="D148" s="261"/>
      <c r="E148" s="261"/>
      <c r="F148" s="261"/>
      <c r="G148" s="262"/>
      <c r="H148" s="262"/>
      <c r="I148" s="262"/>
      <c r="J148" s="262"/>
      <c r="K148" s="262"/>
    </row>
    <row r="150" spans="1:11" x14ac:dyDescent="0.2">
      <c r="A150" s="1" t="s">
        <v>2042</v>
      </c>
    </row>
    <row r="151" spans="1:11" x14ac:dyDescent="0.2">
      <c r="A151" s="1" t="s">
        <v>2043</v>
      </c>
    </row>
    <row r="156" spans="1:11" x14ac:dyDescent="0.2">
      <c r="B156" s="1" t="s">
        <v>2044</v>
      </c>
    </row>
    <row r="159" spans="1:11" x14ac:dyDescent="0.2">
      <c r="A159" s="1" t="s">
        <v>2045</v>
      </c>
    </row>
    <row r="163" spans="1:1" x14ac:dyDescent="0.2">
      <c r="A163" s="1" t="s">
        <v>2046</v>
      </c>
    </row>
    <row r="167" spans="1:1" x14ac:dyDescent="0.2">
      <c r="A167" s="1" t="s">
        <v>2047</v>
      </c>
    </row>
    <row r="171" spans="1:1" x14ac:dyDescent="0.2">
      <c r="A171" s="1" t="s">
        <v>2048</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02993-0F95-D54E-8E1B-64D2591B2B02}">
  <dimension ref="A1:M395"/>
  <sheetViews>
    <sheetView rightToLeft="1" topLeftCell="A47" zoomScale="221" zoomScaleNormal="200" workbookViewId="0">
      <selection activeCell="H263" sqref="H263"/>
    </sheetView>
  </sheetViews>
  <sheetFormatPr baseColWidth="10" defaultRowHeight="16" x14ac:dyDescent="0.2"/>
  <cols>
    <col min="1" max="5" width="10.83203125" style="1"/>
    <col min="6" max="6" width="17.6640625" style="1" bestFit="1" customWidth="1"/>
    <col min="7" max="16384" width="10.83203125" style="1"/>
  </cols>
  <sheetData>
    <row r="1" spans="1:8" x14ac:dyDescent="0.2">
      <c r="A1" s="6" t="s">
        <v>2050</v>
      </c>
      <c r="B1" s="5"/>
      <c r="C1" s="5"/>
      <c r="D1" s="5"/>
      <c r="E1" s="5"/>
      <c r="F1" s="5"/>
      <c r="G1" s="5"/>
      <c r="H1" s="246">
        <v>45904</v>
      </c>
    </row>
    <row r="3" spans="1:8" x14ac:dyDescent="0.2">
      <c r="A3" s="79" t="s">
        <v>548</v>
      </c>
      <c r="B3" s="79"/>
      <c r="C3" s="79"/>
      <c r="D3" s="79"/>
      <c r="E3" s="79"/>
      <c r="F3" s="79"/>
      <c r="G3" s="79"/>
      <c r="H3" s="79"/>
    </row>
    <row r="4" spans="1:8" x14ac:dyDescent="0.2">
      <c r="A4" s="1" t="s">
        <v>675</v>
      </c>
    </row>
    <row r="5" spans="1:8" x14ac:dyDescent="0.2">
      <c r="A5" s="1" t="s">
        <v>676</v>
      </c>
    </row>
    <row r="6" spans="1:8" x14ac:dyDescent="0.2">
      <c r="A6" s="1" t="s">
        <v>677</v>
      </c>
    </row>
    <row r="7" spans="1:8" x14ac:dyDescent="0.2">
      <c r="A7" s="1" t="s">
        <v>678</v>
      </c>
    </row>
    <row r="8" spans="1:8" x14ac:dyDescent="0.2">
      <c r="A8" s="1" t="s">
        <v>679</v>
      </c>
    </row>
    <row r="9" spans="1:8" x14ac:dyDescent="0.2">
      <c r="A9" s="1" t="s">
        <v>680</v>
      </c>
    </row>
    <row r="11" spans="1:8" x14ac:dyDescent="0.2">
      <c r="A11" s="79" t="s">
        <v>681</v>
      </c>
      <c r="B11" s="79"/>
      <c r="C11" s="79"/>
      <c r="D11" s="79"/>
      <c r="E11" s="79"/>
      <c r="F11" s="79"/>
      <c r="G11" s="79"/>
      <c r="H11" s="79"/>
    </row>
    <row r="12" spans="1:8" x14ac:dyDescent="0.2">
      <c r="A12" s="1" t="s">
        <v>682</v>
      </c>
    </row>
    <row r="13" spans="1:8" x14ac:dyDescent="0.2">
      <c r="A13" s="1" t="s">
        <v>683</v>
      </c>
    </row>
    <row r="14" spans="1:8" x14ac:dyDescent="0.2">
      <c r="A14" s="1" t="s">
        <v>684</v>
      </c>
    </row>
    <row r="15" spans="1:8" x14ac:dyDescent="0.2">
      <c r="A15" s="1" t="s">
        <v>685</v>
      </c>
    </row>
    <row r="17" spans="1:10" x14ac:dyDescent="0.2">
      <c r="A17" s="2" t="s">
        <v>686</v>
      </c>
      <c r="B17" s="2"/>
      <c r="C17" s="2"/>
      <c r="D17" s="2"/>
      <c r="E17" s="2"/>
      <c r="F17" s="2"/>
      <c r="G17" s="2"/>
      <c r="H17" s="2">
        <v>4.0999999999999996</v>
      </c>
    </row>
    <row r="19" spans="1:10" x14ac:dyDescent="0.2">
      <c r="A19" s="1" t="s">
        <v>687</v>
      </c>
    </row>
    <row r="20" spans="1:10" ht="17" thickBot="1" x14ac:dyDescent="0.25">
      <c r="A20" s="1" t="s">
        <v>688</v>
      </c>
    </row>
    <row r="21" spans="1:10" x14ac:dyDescent="0.2">
      <c r="A21" s="1" t="s">
        <v>689</v>
      </c>
      <c r="E21" s="12" t="s">
        <v>3230</v>
      </c>
      <c r="F21" s="13"/>
      <c r="G21" s="13"/>
      <c r="H21" s="14"/>
    </row>
    <row r="22" spans="1:10" x14ac:dyDescent="0.2">
      <c r="E22" s="72" t="s">
        <v>3231</v>
      </c>
      <c r="H22" s="73"/>
    </row>
    <row r="23" spans="1:10" x14ac:dyDescent="0.2">
      <c r="E23" s="72" t="s">
        <v>3233</v>
      </c>
      <c r="H23" s="73"/>
    </row>
    <row r="24" spans="1:10" ht="17" thickBot="1" x14ac:dyDescent="0.25">
      <c r="E24" s="15" t="s">
        <v>3232</v>
      </c>
      <c r="F24" s="16"/>
      <c r="G24" s="16"/>
      <c r="H24" s="17"/>
    </row>
    <row r="25" spans="1:10" x14ac:dyDescent="0.2">
      <c r="A25" s="1" t="s">
        <v>568</v>
      </c>
    </row>
    <row r="26" spans="1:10" x14ac:dyDescent="0.2">
      <c r="A26" s="1" t="s">
        <v>690</v>
      </c>
    </row>
    <row r="27" spans="1:10" x14ac:dyDescent="0.2">
      <c r="A27" s="1" t="s">
        <v>691</v>
      </c>
    </row>
    <row r="28" spans="1:10" x14ac:dyDescent="0.2">
      <c r="A28" s="1" t="s">
        <v>698</v>
      </c>
    </row>
    <row r="29" spans="1:10" x14ac:dyDescent="0.2">
      <c r="A29" s="18" t="s">
        <v>146</v>
      </c>
    </row>
    <row r="30" spans="1:10" ht="17" thickBot="1" x14ac:dyDescent="0.25"/>
    <row r="31" spans="1:10" ht="17" thickBot="1" x14ac:dyDescent="0.25">
      <c r="A31" s="18" t="s">
        <v>692</v>
      </c>
      <c r="I31" s="82" t="s">
        <v>776</v>
      </c>
      <c r="J31" s="84"/>
    </row>
    <row r="32" spans="1:10" x14ac:dyDescent="0.2">
      <c r="A32" s="1" t="s">
        <v>2051</v>
      </c>
      <c r="I32" s="6"/>
      <c r="J32" s="5"/>
    </row>
    <row r="33" spans="1:10" x14ac:dyDescent="0.2">
      <c r="A33" s="1" t="s">
        <v>2052</v>
      </c>
      <c r="I33" s="6"/>
      <c r="J33" s="5"/>
    </row>
    <row r="34" spans="1:10" x14ac:dyDescent="0.2">
      <c r="I34" s="6"/>
      <c r="J34" s="5"/>
    </row>
    <row r="35" spans="1:10" x14ac:dyDescent="0.2">
      <c r="A35" s="1" t="s">
        <v>2053</v>
      </c>
    </row>
    <row r="36" spans="1:10" x14ac:dyDescent="0.2">
      <c r="A36" s="1" t="s">
        <v>2054</v>
      </c>
    </row>
    <row r="38" spans="1:10" x14ac:dyDescent="0.2">
      <c r="A38" s="18" t="s">
        <v>3234</v>
      </c>
      <c r="B38" s="18"/>
      <c r="C38" s="18"/>
      <c r="D38" s="18"/>
      <c r="E38" s="18"/>
      <c r="F38" s="18"/>
      <c r="G38" s="18"/>
      <c r="H38" s="18"/>
    </row>
    <row r="39" spans="1:10" x14ac:dyDescent="0.2">
      <c r="A39" s="18" t="s">
        <v>3235</v>
      </c>
      <c r="B39" s="18"/>
      <c r="C39" s="18"/>
      <c r="D39" s="18"/>
      <c r="E39" s="18"/>
      <c r="F39" s="18"/>
      <c r="G39" s="18"/>
      <c r="H39" s="18"/>
    </row>
    <row r="41" spans="1:10" x14ac:dyDescent="0.2">
      <c r="E41" s="20" t="s">
        <v>75</v>
      </c>
      <c r="F41" s="1" t="s">
        <v>694</v>
      </c>
    </row>
    <row r="42" spans="1:10" x14ac:dyDescent="0.2">
      <c r="A42" s="1" t="s">
        <v>3237</v>
      </c>
      <c r="E42" s="20">
        <v>3</v>
      </c>
      <c r="F42" s="1" t="s">
        <v>63</v>
      </c>
      <c r="G42" s="319" t="s">
        <v>3236</v>
      </c>
    </row>
    <row r="43" spans="1:10" x14ac:dyDescent="0.2">
      <c r="A43" s="1" t="s">
        <v>774</v>
      </c>
      <c r="E43" s="20">
        <v>8</v>
      </c>
      <c r="F43" s="1" t="s">
        <v>695</v>
      </c>
      <c r="G43" s="319" t="s">
        <v>3238</v>
      </c>
    </row>
    <row r="44" spans="1:10" x14ac:dyDescent="0.2">
      <c r="A44" s="18" t="s">
        <v>2055</v>
      </c>
      <c r="B44" s="18"/>
      <c r="C44" s="18"/>
      <c r="D44" s="18"/>
      <c r="E44" s="80">
        <f>PV(E42/100,E43,E45,E46)</f>
        <v>-114.03938437907095</v>
      </c>
      <c r="F44" s="18" t="s">
        <v>64</v>
      </c>
      <c r="G44" s="319" t="s">
        <v>693</v>
      </c>
    </row>
    <row r="45" spans="1:10" x14ac:dyDescent="0.2">
      <c r="A45" s="1" t="s">
        <v>775</v>
      </c>
      <c r="E45" s="20">
        <f>5%*100</f>
        <v>5</v>
      </c>
      <c r="F45" s="1" t="s">
        <v>65</v>
      </c>
      <c r="G45" s="319" t="s">
        <v>3239</v>
      </c>
    </row>
    <row r="46" spans="1:10" x14ac:dyDescent="0.2">
      <c r="A46" s="1" t="s">
        <v>656</v>
      </c>
      <c r="E46" s="20">
        <v>100</v>
      </c>
      <c r="F46" s="1" t="s">
        <v>66</v>
      </c>
      <c r="G46" s="319" t="s">
        <v>3240</v>
      </c>
    </row>
    <row r="48" spans="1:10" x14ac:dyDescent="0.2">
      <c r="A48" s="1" t="s">
        <v>710</v>
      </c>
    </row>
    <row r="50" spans="1:10" x14ac:dyDescent="0.2">
      <c r="A50" s="1" t="s">
        <v>3241</v>
      </c>
    </row>
    <row r="51" spans="1:10" x14ac:dyDescent="0.2">
      <c r="A51" s="1" t="s">
        <v>3242</v>
      </c>
    </row>
    <row r="53" spans="1:10" x14ac:dyDescent="0.2">
      <c r="A53" s="1" t="s">
        <v>3243</v>
      </c>
    </row>
    <row r="54" spans="1:10" x14ac:dyDescent="0.2">
      <c r="A54" s="1" t="s">
        <v>3244</v>
      </c>
    </row>
    <row r="57" spans="1:10" ht="17" thickBot="1" x14ac:dyDescent="0.25"/>
    <row r="58" spans="1:10" ht="17" thickBot="1" x14ac:dyDescent="0.25">
      <c r="A58" s="18" t="s">
        <v>696</v>
      </c>
      <c r="I58" s="82" t="s">
        <v>802</v>
      </c>
      <c r="J58" s="83"/>
    </row>
    <row r="59" spans="1:10" x14ac:dyDescent="0.2">
      <c r="A59" s="81" t="s">
        <v>777</v>
      </c>
    </row>
    <row r="60" spans="1:10" x14ac:dyDescent="0.2">
      <c r="A60" s="265" t="s">
        <v>698</v>
      </c>
      <c r="B60" s="52"/>
      <c r="C60" s="52"/>
    </row>
    <row r="61" spans="1:10" x14ac:dyDescent="0.2">
      <c r="A61" s="81" t="s">
        <v>778</v>
      </c>
    </row>
    <row r="62" spans="1:10" x14ac:dyDescent="0.2">
      <c r="A62" s="18"/>
    </row>
    <row r="63" spans="1:10" x14ac:dyDescent="0.2">
      <c r="A63" s="18" t="s">
        <v>3245</v>
      </c>
    </row>
    <row r="64" spans="1:10" x14ac:dyDescent="0.2">
      <c r="A64" s="18" t="s">
        <v>3246</v>
      </c>
    </row>
    <row r="65" spans="1:2" x14ac:dyDescent="0.2">
      <c r="A65" s="18" t="s">
        <v>3247</v>
      </c>
    </row>
    <row r="66" spans="1:2" x14ac:dyDescent="0.2">
      <c r="A66" s="18"/>
    </row>
    <row r="67" spans="1:2" x14ac:dyDescent="0.2">
      <c r="A67" s="18" t="s">
        <v>3248</v>
      </c>
    </row>
    <row r="68" spans="1:2" x14ac:dyDescent="0.2">
      <c r="A68" s="18" t="s">
        <v>3249</v>
      </c>
    </row>
    <row r="69" spans="1:2" x14ac:dyDescent="0.2">
      <c r="A69" s="18" t="s">
        <v>3250</v>
      </c>
    </row>
    <row r="70" spans="1:2" x14ac:dyDescent="0.2">
      <c r="A70" s="18"/>
      <c r="B70" s="1" t="s">
        <v>3251</v>
      </c>
    </row>
    <row r="71" spans="1:2" x14ac:dyDescent="0.2">
      <c r="A71" s="18"/>
      <c r="B71" s="1" t="s">
        <v>3252</v>
      </c>
    </row>
    <row r="72" spans="1:2" x14ac:dyDescent="0.2">
      <c r="A72" s="18"/>
    </row>
    <row r="73" spans="1:2" x14ac:dyDescent="0.2">
      <c r="A73" s="18"/>
    </row>
    <row r="74" spans="1:2" x14ac:dyDescent="0.2">
      <c r="A74" s="18" t="s">
        <v>3254</v>
      </c>
    </row>
    <row r="75" spans="1:2" x14ac:dyDescent="0.2">
      <c r="A75" s="18"/>
      <c r="B75" s="18" t="s">
        <v>3253</v>
      </c>
    </row>
    <row r="76" spans="1:2" x14ac:dyDescent="0.2">
      <c r="A76" s="18"/>
      <c r="B76" s="18"/>
    </row>
    <row r="77" spans="1:2" x14ac:dyDescent="0.2">
      <c r="A77" s="1" t="s">
        <v>3255</v>
      </c>
    </row>
    <row r="78" spans="1:2" x14ac:dyDescent="0.2">
      <c r="A78" s="1" t="s">
        <v>3256</v>
      </c>
    </row>
    <row r="80" spans="1:2" x14ac:dyDescent="0.2">
      <c r="A80" s="1" t="s">
        <v>793</v>
      </c>
    </row>
    <row r="81" spans="1:9" x14ac:dyDescent="0.2">
      <c r="A81" s="1" t="s">
        <v>697</v>
      </c>
    </row>
    <row r="82" spans="1:9" x14ac:dyDescent="0.2">
      <c r="E82" s="20" t="s">
        <v>75</v>
      </c>
      <c r="F82" s="1" t="s">
        <v>694</v>
      </c>
      <c r="I82" s="1" t="s">
        <v>782</v>
      </c>
    </row>
    <row r="83" spans="1:9" s="116" customFormat="1" x14ac:dyDescent="0.2">
      <c r="A83" s="116" t="s">
        <v>2056</v>
      </c>
      <c r="E83" s="48">
        <v>3</v>
      </c>
      <c r="F83" s="116" t="s">
        <v>63</v>
      </c>
      <c r="I83" s="116" t="s">
        <v>783</v>
      </c>
    </row>
    <row r="84" spans="1:9" x14ac:dyDescent="0.2">
      <c r="A84" s="1" t="s">
        <v>779</v>
      </c>
      <c r="E84" s="48">
        <f>8-1</f>
        <v>7</v>
      </c>
      <c r="F84" s="1" t="s">
        <v>695</v>
      </c>
      <c r="I84" s="1" t="s">
        <v>784</v>
      </c>
    </row>
    <row r="85" spans="1:9" x14ac:dyDescent="0.2">
      <c r="A85" s="18" t="s">
        <v>792</v>
      </c>
      <c r="E85" s="264">
        <f>PV(E83/100,E84,E86,E87)</f>
        <v>-112.46056591044308</v>
      </c>
      <c r="F85" s="1" t="s">
        <v>64</v>
      </c>
      <c r="G85" s="1" t="s">
        <v>693</v>
      </c>
      <c r="I85" s="1" t="s">
        <v>785</v>
      </c>
    </row>
    <row r="86" spans="1:9" x14ac:dyDescent="0.2">
      <c r="A86" s="1" t="s">
        <v>780</v>
      </c>
      <c r="E86" s="48">
        <v>5</v>
      </c>
      <c r="F86" s="1" t="s">
        <v>65</v>
      </c>
      <c r="G86" s="1" t="s">
        <v>781</v>
      </c>
      <c r="I86" s="1" t="s">
        <v>786</v>
      </c>
    </row>
    <row r="87" spans="1:9" x14ac:dyDescent="0.2">
      <c r="A87" s="1" t="s">
        <v>656</v>
      </c>
      <c r="E87" s="48">
        <v>100</v>
      </c>
      <c r="F87" s="1" t="s">
        <v>66</v>
      </c>
      <c r="G87" s="1" t="s">
        <v>781</v>
      </c>
      <c r="I87" s="1" t="s">
        <v>787</v>
      </c>
    </row>
    <row r="89" spans="1:9" x14ac:dyDescent="0.2">
      <c r="A89" s="1" t="s">
        <v>710</v>
      </c>
      <c r="I89" s="1" t="s">
        <v>788</v>
      </c>
    </row>
    <row r="90" spans="1:9" x14ac:dyDescent="0.2">
      <c r="I90" s="1" t="s">
        <v>789</v>
      </c>
    </row>
    <row r="91" spans="1:9" x14ac:dyDescent="0.2">
      <c r="I91" s="1" t="s">
        <v>790</v>
      </c>
    </row>
    <row r="92" spans="1:9" x14ac:dyDescent="0.2">
      <c r="I92" s="1" t="s">
        <v>791</v>
      </c>
    </row>
    <row r="97" spans="1:6" x14ac:dyDescent="0.2">
      <c r="A97" s="1" t="s">
        <v>794</v>
      </c>
    </row>
    <row r="103" spans="1:6" x14ac:dyDescent="0.2">
      <c r="C103" s="1" t="s">
        <v>795</v>
      </c>
      <c r="E103" s="1" t="s">
        <v>702</v>
      </c>
      <c r="F103" s="1" t="s">
        <v>699</v>
      </c>
    </row>
    <row r="104" spans="1:6" x14ac:dyDescent="0.2">
      <c r="C104" s="1" t="s">
        <v>709</v>
      </c>
      <c r="E104" s="1" t="s">
        <v>703</v>
      </c>
      <c r="F104" s="1" t="s">
        <v>700</v>
      </c>
    </row>
    <row r="105" spans="1:6" x14ac:dyDescent="0.2">
      <c r="C105" s="1" t="s">
        <v>796</v>
      </c>
      <c r="E105" s="1" t="s">
        <v>704</v>
      </c>
      <c r="F105" s="1" t="s">
        <v>701</v>
      </c>
    </row>
    <row r="106" spans="1:6" x14ac:dyDescent="0.2">
      <c r="C106" s="1" t="s">
        <v>797</v>
      </c>
      <c r="E106" s="1" t="s">
        <v>705</v>
      </c>
    </row>
    <row r="107" spans="1:6" x14ac:dyDescent="0.2">
      <c r="C107" s="1" t="s">
        <v>798</v>
      </c>
      <c r="E107" s="1" t="s">
        <v>706</v>
      </c>
    </row>
    <row r="108" spans="1:6" x14ac:dyDescent="0.2">
      <c r="E108" s="1" t="s">
        <v>707</v>
      </c>
    </row>
    <row r="109" spans="1:6" x14ac:dyDescent="0.2">
      <c r="E109" s="1" t="s">
        <v>708</v>
      </c>
    </row>
    <row r="111" spans="1:6" x14ac:dyDescent="0.2">
      <c r="A111" s="1" t="s">
        <v>799</v>
      </c>
      <c r="C111" s="501">
        <f>112.46*1.02</f>
        <v>114.7092</v>
      </c>
    </row>
    <row r="112" spans="1:6" x14ac:dyDescent="0.2">
      <c r="A112" s="1" t="s">
        <v>800</v>
      </c>
      <c r="C112" s="501"/>
    </row>
    <row r="113" spans="1:8" x14ac:dyDescent="0.2">
      <c r="A113" s="1" t="s">
        <v>801</v>
      </c>
    </row>
    <row r="115" spans="1:8" ht="17" thickBot="1" x14ac:dyDescent="0.25"/>
    <row r="116" spans="1:8" x14ac:dyDescent="0.2">
      <c r="A116" s="12" t="s">
        <v>3257</v>
      </c>
      <c r="B116" s="13"/>
      <c r="C116" s="13"/>
      <c r="D116" s="13"/>
      <c r="E116" s="13"/>
      <c r="F116" s="13"/>
      <c r="G116" s="13"/>
      <c r="H116" s="14"/>
    </row>
    <row r="117" spans="1:8" ht="17" thickBot="1" x14ac:dyDescent="0.25">
      <c r="A117" s="15" t="s">
        <v>3258</v>
      </c>
      <c r="B117" s="16"/>
      <c r="C117" s="16"/>
      <c r="D117" s="16"/>
      <c r="E117" s="16"/>
      <c r="F117" s="16"/>
      <c r="G117" s="16"/>
      <c r="H117" s="17"/>
    </row>
    <row r="121" spans="1:8" x14ac:dyDescent="0.2">
      <c r="A121" s="2" t="s">
        <v>729</v>
      </c>
      <c r="B121" s="2"/>
      <c r="C121" s="2"/>
      <c r="D121" s="2"/>
      <c r="E121" s="2"/>
      <c r="F121" s="2"/>
      <c r="G121" s="2"/>
      <c r="H121" s="2">
        <v>4.4000000000000004</v>
      </c>
    </row>
    <row r="123" spans="1:8" x14ac:dyDescent="0.2">
      <c r="A123" s="1" t="s">
        <v>730</v>
      </c>
    </row>
    <row r="124" spans="1:8" x14ac:dyDescent="0.2">
      <c r="A124" s="1" t="s">
        <v>731</v>
      </c>
    </row>
    <row r="125" spans="1:8" x14ac:dyDescent="0.2">
      <c r="A125" s="1" t="s">
        <v>732</v>
      </c>
    </row>
    <row r="126" spans="1:8" x14ac:dyDescent="0.2">
      <c r="A126" s="1" t="s">
        <v>733</v>
      </c>
    </row>
    <row r="128" spans="1:8" x14ac:dyDescent="0.2">
      <c r="A128" s="1" t="s">
        <v>568</v>
      </c>
    </row>
    <row r="129" spans="1:12" x14ac:dyDescent="0.2">
      <c r="A129" s="1" t="s">
        <v>741</v>
      </c>
    </row>
    <row r="130" spans="1:12" x14ac:dyDescent="0.2">
      <c r="A130" s="1" t="s">
        <v>734</v>
      </c>
    </row>
    <row r="131" spans="1:12" x14ac:dyDescent="0.2">
      <c r="A131" s="1" t="s">
        <v>735</v>
      </c>
    </row>
    <row r="132" spans="1:12" x14ac:dyDescent="0.2">
      <c r="A132" s="1" t="s">
        <v>736</v>
      </c>
    </row>
    <row r="133" spans="1:12" x14ac:dyDescent="0.2">
      <c r="A133" s="1" t="s">
        <v>737</v>
      </c>
    </row>
    <row r="135" spans="1:12" x14ac:dyDescent="0.2">
      <c r="A135" s="18" t="s">
        <v>146</v>
      </c>
    </row>
    <row r="137" spans="1:12" x14ac:dyDescent="0.2">
      <c r="A137" s="18" t="s">
        <v>3259</v>
      </c>
      <c r="G137" s="1" t="s">
        <v>3260</v>
      </c>
    </row>
    <row r="138" spans="1:12" x14ac:dyDescent="0.2">
      <c r="A138" s="1" t="s">
        <v>738</v>
      </c>
      <c r="G138" s="1" t="s">
        <v>3261</v>
      </c>
    </row>
    <row r="139" spans="1:12" x14ac:dyDescent="0.2">
      <c r="G139" s="1" t="s">
        <v>3262</v>
      </c>
    </row>
    <row r="140" spans="1:12" x14ac:dyDescent="0.2">
      <c r="A140" s="128" t="s">
        <v>739</v>
      </c>
      <c r="B140" s="128">
        <v>0</v>
      </c>
      <c r="C140" s="128">
        <v>1</v>
      </c>
      <c r="D140" s="128">
        <v>2</v>
      </c>
      <c r="E140" s="128">
        <v>3</v>
      </c>
      <c r="F140" s="128">
        <v>4</v>
      </c>
      <c r="G140" s="128">
        <v>5</v>
      </c>
      <c r="H140" s="128">
        <v>6</v>
      </c>
      <c r="I140" s="128">
        <v>7</v>
      </c>
      <c r="J140" s="128">
        <v>8</v>
      </c>
      <c r="K140" s="128">
        <v>9</v>
      </c>
      <c r="L140" s="128">
        <v>10</v>
      </c>
    </row>
    <row r="141" spans="1:12" x14ac:dyDescent="0.2">
      <c r="A141" s="128" t="s">
        <v>740</v>
      </c>
      <c r="B141" s="128"/>
      <c r="C141" s="128">
        <f t="shared" ref="C141:K141" si="0">7%*100</f>
        <v>7.0000000000000009</v>
      </c>
      <c r="D141" s="128">
        <f t="shared" si="0"/>
        <v>7.0000000000000009</v>
      </c>
      <c r="E141" s="128">
        <f t="shared" si="0"/>
        <v>7.0000000000000009</v>
      </c>
      <c r="F141" s="128">
        <f t="shared" si="0"/>
        <v>7.0000000000000009</v>
      </c>
      <c r="G141" s="128">
        <f t="shared" si="0"/>
        <v>7.0000000000000009</v>
      </c>
      <c r="H141" s="128">
        <f t="shared" si="0"/>
        <v>7.0000000000000009</v>
      </c>
      <c r="I141" s="128">
        <f t="shared" si="0"/>
        <v>7.0000000000000009</v>
      </c>
      <c r="J141" s="128">
        <f t="shared" si="0"/>
        <v>7.0000000000000009</v>
      </c>
      <c r="K141" s="128">
        <f t="shared" si="0"/>
        <v>7.0000000000000009</v>
      </c>
      <c r="L141" s="128">
        <v>107</v>
      </c>
    </row>
    <row r="142" spans="1:12" x14ac:dyDescent="0.2">
      <c r="L142" s="1" t="s">
        <v>3263</v>
      </c>
    </row>
    <row r="143" spans="1:12" x14ac:dyDescent="0.2">
      <c r="A143" s="18" t="s">
        <v>3266</v>
      </c>
      <c r="L143" s="1" t="s">
        <v>3264</v>
      </c>
    </row>
    <row r="144" spans="1:12" x14ac:dyDescent="0.2">
      <c r="A144" s="18" t="s">
        <v>3267</v>
      </c>
    </row>
    <row r="145" spans="1:12" x14ac:dyDescent="0.2">
      <c r="A145" s="18"/>
    </row>
    <row r="146" spans="1:12" x14ac:dyDescent="0.2">
      <c r="A146" s="18"/>
      <c r="B146" s="11" t="s">
        <v>29</v>
      </c>
      <c r="C146" s="128">
        <v>1</v>
      </c>
      <c r="D146" s="128">
        <v>2</v>
      </c>
      <c r="E146" s="128">
        <v>3</v>
      </c>
    </row>
    <row r="147" spans="1:12" x14ac:dyDescent="0.2">
      <c r="A147" s="18"/>
      <c r="B147" s="11" t="s">
        <v>845</v>
      </c>
      <c r="C147" s="455">
        <v>0.14000000000000001</v>
      </c>
      <c r="D147" s="455">
        <v>0.12</v>
      </c>
      <c r="E147" s="455">
        <v>0.12</v>
      </c>
    </row>
    <row r="148" spans="1:12" x14ac:dyDescent="0.2">
      <c r="A148" s="18"/>
      <c r="C148" s="51"/>
      <c r="D148" s="51"/>
      <c r="E148" s="51"/>
    </row>
    <row r="149" spans="1:12" x14ac:dyDescent="0.2">
      <c r="A149" s="18"/>
      <c r="C149" s="456" t="s">
        <v>3268</v>
      </c>
      <c r="D149" s="51"/>
      <c r="E149" s="51"/>
    </row>
    <row r="150" spans="1:12" x14ac:dyDescent="0.2">
      <c r="A150" s="18"/>
      <c r="C150" s="51"/>
      <c r="D150" s="51"/>
      <c r="E150" s="51"/>
    </row>
    <row r="151" spans="1:12" x14ac:dyDescent="0.2">
      <c r="A151" s="1" t="s">
        <v>3269</v>
      </c>
      <c r="L151" s="1" t="s">
        <v>3265</v>
      </c>
    </row>
    <row r="152" spans="1:12" x14ac:dyDescent="0.2">
      <c r="A152" s="1" t="s">
        <v>3270</v>
      </c>
    </row>
    <row r="154" spans="1:12" x14ac:dyDescent="0.2">
      <c r="A154" s="1" t="s">
        <v>3271</v>
      </c>
    </row>
    <row r="159" spans="1:12" x14ac:dyDescent="0.2">
      <c r="A159" s="1" t="s">
        <v>3277</v>
      </c>
    </row>
    <row r="160" spans="1:12" x14ac:dyDescent="0.2">
      <c r="B160" s="1" t="s">
        <v>3275</v>
      </c>
      <c r="D160" s="1" t="s">
        <v>3273</v>
      </c>
      <c r="F160" s="1" t="s">
        <v>3272</v>
      </c>
    </row>
    <row r="161" spans="1:11" x14ac:dyDescent="0.2">
      <c r="B161" s="1" t="s">
        <v>3276</v>
      </c>
      <c r="D161" s="1" t="s">
        <v>3274</v>
      </c>
    </row>
    <row r="165" spans="1:11" x14ac:dyDescent="0.2">
      <c r="A165" s="1" t="s">
        <v>3278</v>
      </c>
    </row>
    <row r="167" spans="1:11" x14ac:dyDescent="0.2">
      <c r="A167" s="18" t="s">
        <v>3281</v>
      </c>
      <c r="B167" s="18"/>
      <c r="C167" s="457">
        <f>1.14*1.12^2-1</f>
        <v>0.43001600000000018</v>
      </c>
    </row>
    <row r="168" spans="1:11" x14ac:dyDescent="0.2">
      <c r="A168" s="18" t="s">
        <v>3282</v>
      </c>
      <c r="B168" s="18"/>
      <c r="C168" s="18"/>
    </row>
    <row r="169" spans="1:11" x14ac:dyDescent="0.2">
      <c r="E169" s="1" t="s">
        <v>3279</v>
      </c>
    </row>
    <row r="170" spans="1:11" x14ac:dyDescent="0.2">
      <c r="E170" s="1" t="s">
        <v>3280</v>
      </c>
    </row>
    <row r="171" spans="1:11" ht="17" thickBot="1" x14ac:dyDescent="0.25"/>
    <row r="172" spans="1:11" ht="17" thickBot="1" x14ac:dyDescent="0.25">
      <c r="A172" s="18" t="s">
        <v>3283</v>
      </c>
      <c r="J172" s="82" t="s">
        <v>259</v>
      </c>
      <c r="K172" s="88">
        <f>-D191</f>
        <v>168.74881453407872</v>
      </c>
    </row>
    <row r="173" spans="1:11" x14ac:dyDescent="0.2">
      <c r="A173" s="18"/>
      <c r="B173" s="18" t="s">
        <v>3284</v>
      </c>
      <c r="J173" s="18"/>
      <c r="K173" s="458"/>
    </row>
    <row r="174" spans="1:11" x14ac:dyDescent="0.2">
      <c r="A174" s="18"/>
      <c r="B174" s="18"/>
      <c r="J174" s="18"/>
      <c r="K174" s="458"/>
    </row>
    <row r="175" spans="1:11" x14ac:dyDescent="0.2">
      <c r="A175" s="1" t="s">
        <v>3285</v>
      </c>
    </row>
    <row r="176" spans="1:11" x14ac:dyDescent="0.2">
      <c r="A176" s="1" t="s">
        <v>3286</v>
      </c>
    </row>
    <row r="177" spans="1:13" x14ac:dyDescent="0.2">
      <c r="J177" s="5" t="s">
        <v>3290</v>
      </c>
      <c r="K177" s="5"/>
      <c r="L177" s="460" t="s">
        <v>3293</v>
      </c>
      <c r="M177" s="460"/>
    </row>
    <row r="178" spans="1:13" x14ac:dyDescent="0.2">
      <c r="A178" s="52" t="s">
        <v>3298</v>
      </c>
      <c r="B178" s="52"/>
      <c r="C178" s="52"/>
      <c r="D178" s="52"/>
      <c r="E178" s="52"/>
      <c r="F178" s="52"/>
      <c r="G178" s="52"/>
      <c r="H178" s="52"/>
      <c r="J178" s="5" t="s">
        <v>740</v>
      </c>
      <c r="K178" s="5"/>
      <c r="L178" s="460" t="s">
        <v>3294</v>
      </c>
      <c r="M178" s="460"/>
    </row>
    <row r="179" spans="1:13" x14ac:dyDescent="0.2">
      <c r="A179" s="52"/>
      <c r="B179" s="52" t="s">
        <v>3287</v>
      </c>
      <c r="C179" s="52"/>
      <c r="D179" s="52"/>
      <c r="E179" s="52"/>
      <c r="F179" s="52"/>
      <c r="G179" s="52"/>
      <c r="H179" s="52"/>
      <c r="J179" s="5" t="s">
        <v>1440</v>
      </c>
      <c r="K179" s="5"/>
      <c r="L179" s="460" t="s">
        <v>3295</v>
      </c>
      <c r="M179" s="460"/>
    </row>
    <row r="180" spans="1:13" x14ac:dyDescent="0.2">
      <c r="A180" s="52"/>
      <c r="B180" s="52" t="s">
        <v>3288</v>
      </c>
      <c r="C180" s="52"/>
      <c r="D180" s="52"/>
      <c r="E180" s="52"/>
      <c r="F180" s="52"/>
      <c r="G180" s="52"/>
      <c r="H180" s="52"/>
      <c r="J180" s="5" t="s">
        <v>216</v>
      </c>
      <c r="K180" s="5"/>
      <c r="L180" s="460" t="s">
        <v>850</v>
      </c>
      <c r="M180" s="460"/>
    </row>
    <row r="181" spans="1:13" x14ac:dyDescent="0.2">
      <c r="A181" s="52"/>
      <c r="B181" s="52" t="s">
        <v>3289</v>
      </c>
      <c r="C181" s="52"/>
      <c r="D181" s="52"/>
      <c r="E181" s="52"/>
      <c r="F181" s="52"/>
      <c r="G181" s="52"/>
      <c r="H181" s="52"/>
      <c r="J181" s="5" t="s">
        <v>3291</v>
      </c>
      <c r="K181" s="5"/>
      <c r="L181" s="460" t="s">
        <v>3296</v>
      </c>
      <c r="M181" s="460"/>
    </row>
    <row r="182" spans="1:13" x14ac:dyDescent="0.2">
      <c r="J182" s="5" t="s">
        <v>3292</v>
      </c>
      <c r="K182" s="5"/>
      <c r="L182" s="460" t="s">
        <v>3297</v>
      </c>
      <c r="M182" s="460"/>
    </row>
    <row r="184" spans="1:13" x14ac:dyDescent="0.2">
      <c r="A184" s="11" t="s">
        <v>739</v>
      </c>
      <c r="B184" s="11">
        <v>0</v>
      </c>
      <c r="C184" s="11">
        <v>1</v>
      </c>
      <c r="D184" s="11">
        <v>2</v>
      </c>
      <c r="E184" s="11">
        <v>3</v>
      </c>
      <c r="F184" s="11">
        <v>4</v>
      </c>
      <c r="G184" s="11">
        <v>5</v>
      </c>
      <c r="H184" s="11">
        <v>6</v>
      </c>
      <c r="I184" s="11">
        <v>7</v>
      </c>
      <c r="J184" s="11">
        <v>8</v>
      </c>
      <c r="K184" s="11">
        <v>9</v>
      </c>
      <c r="L184" s="11">
        <v>10</v>
      </c>
    </row>
    <row r="185" spans="1:13" x14ac:dyDescent="0.2">
      <c r="A185" s="11" t="s">
        <v>803</v>
      </c>
      <c r="B185" s="11"/>
      <c r="C185" s="11" t="s">
        <v>742</v>
      </c>
      <c r="D185" s="11" t="s">
        <v>742</v>
      </c>
      <c r="E185" s="11" t="s">
        <v>742</v>
      </c>
      <c r="F185" s="459">
        <f t="shared" ref="F185:L185" si="1">F141</f>
        <v>7.0000000000000009</v>
      </c>
      <c r="G185" s="459">
        <f t="shared" si="1"/>
        <v>7.0000000000000009</v>
      </c>
      <c r="H185" s="459">
        <f t="shared" si="1"/>
        <v>7.0000000000000009</v>
      </c>
      <c r="I185" s="459">
        <f t="shared" si="1"/>
        <v>7.0000000000000009</v>
      </c>
      <c r="J185" s="459">
        <f t="shared" si="1"/>
        <v>7.0000000000000009</v>
      </c>
      <c r="K185" s="459">
        <f t="shared" si="1"/>
        <v>7.0000000000000009</v>
      </c>
      <c r="L185" s="459">
        <f t="shared" si="1"/>
        <v>107</v>
      </c>
    </row>
    <row r="186" spans="1:13" s="115" customFormat="1" x14ac:dyDescent="0.2">
      <c r="A186" s="116" t="s">
        <v>3299</v>
      </c>
      <c r="F186" s="461">
        <f>7*(1+43%)</f>
        <v>10.01</v>
      </c>
      <c r="G186" s="461">
        <f>7*(1+43%)</f>
        <v>10.01</v>
      </c>
      <c r="H186" s="461">
        <f t="shared" ref="H186:K186" si="2">7*(1+43%)</f>
        <v>10.01</v>
      </c>
      <c r="I186" s="461">
        <f t="shared" si="2"/>
        <v>10.01</v>
      </c>
      <c r="J186" s="461">
        <f t="shared" si="2"/>
        <v>10.01</v>
      </c>
      <c r="K186" s="461">
        <f t="shared" si="2"/>
        <v>10.01</v>
      </c>
      <c r="L186" s="461">
        <f>107*(1+43%)</f>
        <v>153.01</v>
      </c>
    </row>
    <row r="188" spans="1:13" x14ac:dyDescent="0.2">
      <c r="A188" s="1" t="s">
        <v>743</v>
      </c>
      <c r="H188" s="86" t="s">
        <v>804</v>
      </c>
    </row>
    <row r="189" spans="1:13" x14ac:dyDescent="0.2">
      <c r="A189" s="1" t="s">
        <v>808</v>
      </c>
      <c r="D189" s="48">
        <v>4</v>
      </c>
      <c r="E189" s="1" t="s">
        <v>63</v>
      </c>
      <c r="H189" s="1" t="s">
        <v>805</v>
      </c>
    </row>
    <row r="190" spans="1:13" ht="17" thickBot="1" x14ac:dyDescent="0.25">
      <c r="A190" s="1" t="s">
        <v>745</v>
      </c>
      <c r="D190" s="48">
        <v>7</v>
      </c>
      <c r="E190" s="1" t="s">
        <v>695</v>
      </c>
      <c r="H190" s="1" t="s">
        <v>3300</v>
      </c>
    </row>
    <row r="191" spans="1:13" ht="19" thickBot="1" x14ac:dyDescent="0.25">
      <c r="A191" s="462" t="s">
        <v>811</v>
      </c>
      <c r="B191" s="463"/>
      <c r="C191" s="463"/>
      <c r="D191" s="464">
        <f>PV(D189/100,D190,D192,D193)</f>
        <v>-168.74881453407872</v>
      </c>
      <c r="E191" s="463" t="s">
        <v>64</v>
      </c>
      <c r="F191" s="465" t="s">
        <v>77</v>
      </c>
      <c r="J191" s="1" t="s">
        <v>806</v>
      </c>
    </row>
    <row r="192" spans="1:13" x14ac:dyDescent="0.2">
      <c r="A192" s="1" t="s">
        <v>809</v>
      </c>
      <c r="D192" s="266">
        <f>F186</f>
        <v>10.01</v>
      </c>
      <c r="E192" s="1" t="s">
        <v>65</v>
      </c>
      <c r="J192" s="1" t="s">
        <v>807</v>
      </c>
    </row>
    <row r="193" spans="1:8" x14ac:dyDescent="0.2">
      <c r="A193" s="1" t="s">
        <v>747</v>
      </c>
      <c r="D193" s="48">
        <v>143</v>
      </c>
      <c r="E193" s="1" t="s">
        <v>66</v>
      </c>
      <c r="G193" s="1" t="s">
        <v>810</v>
      </c>
    </row>
    <row r="195" spans="1:8" ht="17" thickBot="1" x14ac:dyDescent="0.25">
      <c r="A195" s="1" t="s">
        <v>782</v>
      </c>
    </row>
    <row r="196" spans="1:8" x14ac:dyDescent="0.2">
      <c r="A196" s="12" t="s">
        <v>814</v>
      </c>
      <c r="B196" s="13"/>
      <c r="C196" s="13"/>
      <c r="D196" s="13"/>
      <c r="E196" s="13"/>
      <c r="F196" s="13"/>
      <c r="G196" s="13"/>
      <c r="H196" s="14"/>
    </row>
    <row r="197" spans="1:8" x14ac:dyDescent="0.2">
      <c r="A197" s="72" t="s">
        <v>812</v>
      </c>
      <c r="H197" s="73"/>
    </row>
    <row r="198" spans="1:8" ht="17" thickBot="1" x14ac:dyDescent="0.25">
      <c r="A198" s="15" t="s">
        <v>813</v>
      </c>
      <c r="B198" s="16"/>
      <c r="C198" s="16"/>
      <c r="D198" s="16"/>
      <c r="E198" s="16"/>
      <c r="F198" s="16"/>
      <c r="G198" s="16"/>
      <c r="H198" s="17"/>
    </row>
    <row r="199" spans="1:8" ht="17" thickBot="1" x14ac:dyDescent="0.25"/>
    <row r="200" spans="1:8" x14ac:dyDescent="0.2">
      <c r="A200" s="12" t="s">
        <v>815</v>
      </c>
      <c r="B200" s="13"/>
      <c r="C200" s="13"/>
      <c r="D200" s="13"/>
      <c r="E200" s="13"/>
      <c r="F200" s="13"/>
      <c r="G200" s="13"/>
      <c r="H200" s="14"/>
    </row>
    <row r="201" spans="1:8" x14ac:dyDescent="0.2">
      <c r="A201" s="72" t="s">
        <v>816</v>
      </c>
      <c r="H201" s="73"/>
    </row>
    <row r="202" spans="1:8" x14ac:dyDescent="0.2">
      <c r="A202" s="72" t="s">
        <v>817</v>
      </c>
      <c r="H202" s="73"/>
    </row>
    <row r="203" spans="1:8" ht="17" thickBot="1" x14ac:dyDescent="0.25">
      <c r="A203" s="15" t="s">
        <v>818</v>
      </c>
      <c r="B203" s="16"/>
      <c r="C203" s="16"/>
      <c r="D203" s="16"/>
      <c r="E203" s="16"/>
      <c r="F203" s="16"/>
      <c r="G203" s="16"/>
      <c r="H203" s="17"/>
    </row>
    <row r="206" spans="1:8" x14ac:dyDescent="0.2">
      <c r="A206" s="1" t="s">
        <v>3301</v>
      </c>
    </row>
    <row r="207" spans="1:8" x14ac:dyDescent="0.2">
      <c r="A207" s="1" t="s">
        <v>3302</v>
      </c>
    </row>
    <row r="208" spans="1:8" x14ac:dyDescent="0.2">
      <c r="A208" s="1" t="s">
        <v>3303</v>
      </c>
    </row>
    <row r="218" spans="1:1" x14ac:dyDescent="0.2">
      <c r="A218" s="18" t="s">
        <v>748</v>
      </c>
    </row>
    <row r="219" spans="1:1" ht="18" x14ac:dyDescent="0.2">
      <c r="A219" s="81" t="s">
        <v>819</v>
      </c>
    </row>
    <row r="220" spans="1:1" x14ac:dyDescent="0.2">
      <c r="A220" s="81" t="s">
        <v>737</v>
      </c>
    </row>
    <row r="222" spans="1:1" x14ac:dyDescent="0.2">
      <c r="A222" s="1" t="s">
        <v>749</v>
      </c>
    </row>
    <row r="223" spans="1:1" x14ac:dyDescent="0.2">
      <c r="A223" s="1" t="s">
        <v>750</v>
      </c>
    </row>
    <row r="226" spans="1:12" x14ac:dyDescent="0.2">
      <c r="A226" s="1" t="s">
        <v>3304</v>
      </c>
      <c r="D226" s="466">
        <f>1.43*1.08-1</f>
        <v>0.5444</v>
      </c>
    </row>
    <row r="227" spans="1:12" x14ac:dyDescent="0.2">
      <c r="A227" s="1" t="s">
        <v>3305</v>
      </c>
    </row>
    <row r="229" spans="1:12" x14ac:dyDescent="0.2">
      <c r="A229" s="1" t="s">
        <v>3306</v>
      </c>
    </row>
    <row r="230" spans="1:12" x14ac:dyDescent="0.2">
      <c r="A230" s="1" t="s">
        <v>3307</v>
      </c>
    </row>
    <row r="233" spans="1:12" x14ac:dyDescent="0.2">
      <c r="A233" s="11" t="s">
        <v>739</v>
      </c>
      <c r="B233" s="11">
        <v>0</v>
      </c>
      <c r="C233" s="11">
        <v>1</v>
      </c>
      <c r="D233" s="11">
        <v>2</v>
      </c>
      <c r="E233" s="11">
        <v>3</v>
      </c>
      <c r="F233" s="128">
        <v>4</v>
      </c>
      <c r="G233" s="11">
        <v>5</v>
      </c>
      <c r="H233" s="11">
        <v>6</v>
      </c>
      <c r="I233" s="11">
        <v>7</v>
      </c>
      <c r="J233" s="11">
        <v>8</v>
      </c>
      <c r="K233" s="11">
        <v>9</v>
      </c>
      <c r="L233" s="11">
        <v>10</v>
      </c>
    </row>
    <row r="234" spans="1:12" x14ac:dyDescent="0.2">
      <c r="A234" s="11" t="s">
        <v>803</v>
      </c>
      <c r="B234" s="11"/>
      <c r="C234" s="11" t="s">
        <v>742</v>
      </c>
      <c r="D234" s="11" t="s">
        <v>742</v>
      </c>
      <c r="E234" s="11" t="s">
        <v>742</v>
      </c>
      <c r="F234" s="128">
        <f>F185</f>
        <v>7.0000000000000009</v>
      </c>
      <c r="G234" s="11">
        <f t="shared" ref="G234:L234" si="3">G185</f>
        <v>7.0000000000000009</v>
      </c>
      <c r="H234" s="11">
        <f t="shared" si="3"/>
        <v>7.0000000000000009</v>
      </c>
      <c r="I234" s="11">
        <f t="shared" si="3"/>
        <v>7.0000000000000009</v>
      </c>
      <c r="J234" s="11">
        <f t="shared" si="3"/>
        <v>7.0000000000000009</v>
      </c>
      <c r="K234" s="11">
        <f t="shared" si="3"/>
        <v>7.0000000000000009</v>
      </c>
      <c r="L234" s="11">
        <f t="shared" si="3"/>
        <v>107</v>
      </c>
    </row>
    <row r="235" spans="1:12" x14ac:dyDescent="0.2">
      <c r="A235" s="1" t="s">
        <v>820</v>
      </c>
      <c r="F235" s="20">
        <f>7*(1+54.44%)</f>
        <v>10.8108</v>
      </c>
      <c r="G235" s="1">
        <f t="shared" ref="G235:L235" si="4">G234*(1+$G$251)</f>
        <v>10.810800000000002</v>
      </c>
      <c r="H235" s="1">
        <f t="shared" si="4"/>
        <v>10.810800000000002</v>
      </c>
      <c r="I235" s="1">
        <f t="shared" si="4"/>
        <v>10.810800000000002</v>
      </c>
      <c r="J235" s="1">
        <f t="shared" si="4"/>
        <v>10.810800000000002</v>
      </c>
      <c r="K235" s="1">
        <f t="shared" si="4"/>
        <v>10.810800000000002</v>
      </c>
      <c r="L235" s="1">
        <f t="shared" si="4"/>
        <v>165.2508</v>
      </c>
    </row>
    <row r="237" spans="1:12" x14ac:dyDescent="0.2">
      <c r="F237" s="1" t="s">
        <v>2057</v>
      </c>
      <c r="L237" s="1" t="s">
        <v>2058</v>
      </c>
    </row>
    <row r="238" spans="1:12" x14ac:dyDescent="0.2">
      <c r="A238" s="1" t="s">
        <v>3308</v>
      </c>
    </row>
    <row r="239" spans="1:12" x14ac:dyDescent="0.2">
      <c r="A239" s="1" t="s">
        <v>3309</v>
      </c>
    </row>
    <row r="240" spans="1:12" x14ac:dyDescent="0.2">
      <c r="A240" s="1" t="s">
        <v>3310</v>
      </c>
    </row>
    <row r="242" spans="1:10" x14ac:dyDescent="0.2">
      <c r="A242" s="63" t="s">
        <v>3311</v>
      </c>
    </row>
    <row r="244" spans="1:10" x14ac:dyDescent="0.2">
      <c r="H244" s="18" t="s">
        <v>821</v>
      </c>
    </row>
    <row r="245" spans="1:10" x14ac:dyDescent="0.2">
      <c r="A245" s="1" t="s">
        <v>743</v>
      </c>
      <c r="D245" s="48" t="s">
        <v>837</v>
      </c>
      <c r="E245" s="1" t="s">
        <v>694</v>
      </c>
      <c r="H245" s="1" t="s">
        <v>822</v>
      </c>
      <c r="J245" s="37">
        <v>0.43</v>
      </c>
    </row>
    <row r="246" spans="1:10" x14ac:dyDescent="0.2">
      <c r="A246" s="1" t="s">
        <v>744</v>
      </c>
      <c r="D246" s="48">
        <v>3</v>
      </c>
      <c r="E246" s="1" t="s">
        <v>63</v>
      </c>
      <c r="H246" s="1" t="s">
        <v>823</v>
      </c>
      <c r="J246" s="37">
        <v>0.08</v>
      </c>
    </row>
    <row r="247" spans="1:10" x14ac:dyDescent="0.2">
      <c r="A247" s="1" t="s">
        <v>745</v>
      </c>
      <c r="D247" s="48">
        <v>7</v>
      </c>
      <c r="E247" s="1" t="s">
        <v>695</v>
      </c>
      <c r="H247" s="1" t="s">
        <v>824</v>
      </c>
    </row>
    <row r="248" spans="1:10" x14ac:dyDescent="0.2">
      <c r="A248" s="18" t="s">
        <v>828</v>
      </c>
      <c r="B248" s="18"/>
      <c r="C248" s="18"/>
      <c r="D248" s="33">
        <f>PV(D246/100,D247,D249,D250)</f>
        <v>-192.92819598417663</v>
      </c>
      <c r="E248" s="1" t="s">
        <v>64</v>
      </c>
      <c r="F248" s="467" t="s">
        <v>77</v>
      </c>
    </row>
    <row r="249" spans="1:10" x14ac:dyDescent="0.2">
      <c r="A249" s="1" t="s">
        <v>746</v>
      </c>
      <c r="D249" s="48">
        <f>F235</f>
        <v>10.8108</v>
      </c>
      <c r="E249" s="1" t="s">
        <v>65</v>
      </c>
      <c r="F249" s="1" t="s">
        <v>3312</v>
      </c>
    </row>
    <row r="250" spans="1:10" x14ac:dyDescent="0.2">
      <c r="A250" s="1" t="s">
        <v>747</v>
      </c>
      <c r="D250" s="48">
        <f>L235-K235</f>
        <v>154.44</v>
      </c>
      <c r="E250" s="1" t="s">
        <v>66</v>
      </c>
      <c r="F250" s="1" t="s">
        <v>3313</v>
      </c>
      <c r="H250" s="1" t="s">
        <v>825</v>
      </c>
    </row>
    <row r="251" spans="1:10" x14ac:dyDescent="0.2">
      <c r="G251" s="502">
        <f>1.43*1.08-1</f>
        <v>0.5444</v>
      </c>
    </row>
    <row r="252" spans="1:10" x14ac:dyDescent="0.2">
      <c r="A252" s="1" t="s">
        <v>2060</v>
      </c>
      <c r="C252" s="25"/>
      <c r="D252" s="1" t="s">
        <v>2059</v>
      </c>
      <c r="G252" s="502"/>
    </row>
    <row r="253" spans="1:10" x14ac:dyDescent="0.2">
      <c r="C253" s="25"/>
      <c r="G253" s="253"/>
    </row>
    <row r="254" spans="1:10" x14ac:dyDescent="0.2">
      <c r="A254" s="1" t="s">
        <v>826</v>
      </c>
    </row>
    <row r="255" spans="1:10" x14ac:dyDescent="0.2">
      <c r="A255" s="1" t="s">
        <v>827</v>
      </c>
    </row>
    <row r="257" spans="1:9" x14ac:dyDescent="0.2">
      <c r="B257" s="1" t="s">
        <v>3314</v>
      </c>
      <c r="E257" s="1">
        <v>4</v>
      </c>
    </row>
    <row r="258" spans="1:9" x14ac:dyDescent="0.2">
      <c r="B258" s="1" t="s">
        <v>3315</v>
      </c>
      <c r="E258" s="1">
        <v>4</v>
      </c>
    </row>
    <row r="259" spans="1:9" x14ac:dyDescent="0.2">
      <c r="B259" s="1" t="s">
        <v>3316</v>
      </c>
      <c r="E259" s="1">
        <v>3</v>
      </c>
      <c r="F259" s="1" t="s">
        <v>3317</v>
      </c>
    </row>
    <row r="260" spans="1:9" x14ac:dyDescent="0.2">
      <c r="B260" s="1" t="s">
        <v>3318</v>
      </c>
      <c r="E260" s="90">
        <f>-D248</f>
        <v>192.92819598417663</v>
      </c>
      <c r="F260" s="1" t="s">
        <v>3319</v>
      </c>
    </row>
    <row r="262" spans="1:9" x14ac:dyDescent="0.2">
      <c r="B262" s="1" t="s">
        <v>3320</v>
      </c>
    </row>
    <row r="263" spans="1:9" ht="21" x14ac:dyDescent="0.25">
      <c r="B263" s="18" t="s">
        <v>3321</v>
      </c>
      <c r="C263" s="18"/>
      <c r="D263" s="18"/>
      <c r="E263" s="468">
        <f>E260*1.03</f>
        <v>198.71604186370192</v>
      </c>
      <c r="F263" s="18" t="s">
        <v>833</v>
      </c>
    </row>
    <row r="264" spans="1:9" ht="17" thickBot="1" x14ac:dyDescent="0.25"/>
    <row r="265" spans="1:9" x14ac:dyDescent="0.2">
      <c r="A265" s="469" t="s">
        <v>3322</v>
      </c>
      <c r="B265" s="470"/>
      <c r="C265" s="470"/>
      <c r="D265" s="470"/>
      <c r="E265" s="470"/>
      <c r="F265" s="470"/>
      <c r="G265" s="470"/>
      <c r="H265" s="470"/>
      <c r="I265" s="471"/>
    </row>
    <row r="266" spans="1:9" x14ac:dyDescent="0.2">
      <c r="A266" s="472" t="s">
        <v>3323</v>
      </c>
      <c r="B266" s="319"/>
      <c r="C266" s="319"/>
      <c r="D266" s="319"/>
      <c r="E266" s="319"/>
      <c r="F266" s="319"/>
      <c r="G266" s="319"/>
      <c r="H266" s="319"/>
      <c r="I266" s="473"/>
    </row>
    <row r="267" spans="1:9" x14ac:dyDescent="0.2">
      <c r="A267" s="472"/>
      <c r="B267" s="319"/>
      <c r="C267" s="319"/>
      <c r="D267" s="319"/>
      <c r="E267" s="319"/>
      <c r="F267" s="319"/>
      <c r="G267" s="319"/>
      <c r="H267" s="319"/>
      <c r="I267" s="473"/>
    </row>
    <row r="268" spans="1:9" x14ac:dyDescent="0.2">
      <c r="A268" s="472" t="s">
        <v>3324</v>
      </c>
      <c r="B268" s="319"/>
      <c r="C268" s="319"/>
      <c r="D268" s="319"/>
      <c r="E268" s="319"/>
      <c r="F268" s="319"/>
      <c r="G268" s="319"/>
      <c r="H268" s="319"/>
      <c r="I268" s="473"/>
    </row>
    <row r="269" spans="1:9" x14ac:dyDescent="0.2">
      <c r="A269" s="472" t="s">
        <v>3325</v>
      </c>
      <c r="B269" s="319"/>
      <c r="C269" s="319"/>
      <c r="D269" s="319"/>
      <c r="E269" s="319"/>
      <c r="F269" s="319"/>
      <c r="G269" s="319"/>
      <c r="H269" s="319"/>
      <c r="I269" s="473"/>
    </row>
    <row r="270" spans="1:9" ht="17" thickBot="1" x14ac:dyDescent="0.25">
      <c r="A270" s="474" t="s">
        <v>3326</v>
      </c>
      <c r="B270" s="475"/>
      <c r="C270" s="475"/>
      <c r="D270" s="475"/>
      <c r="E270" s="475"/>
      <c r="F270" s="475"/>
      <c r="G270" s="475"/>
      <c r="H270" s="475"/>
      <c r="I270" s="476"/>
    </row>
    <row r="273" spans="1:10" x14ac:dyDescent="0.2">
      <c r="A273" s="1" t="s">
        <v>829</v>
      </c>
    </row>
    <row r="274" spans="1:10" x14ac:dyDescent="0.2">
      <c r="A274" s="1" t="s">
        <v>830</v>
      </c>
    </row>
    <row r="275" spans="1:10" x14ac:dyDescent="0.2">
      <c r="A275" s="1" t="s">
        <v>831</v>
      </c>
    </row>
    <row r="276" spans="1:10" x14ac:dyDescent="0.2">
      <c r="A276" s="1" t="s">
        <v>832</v>
      </c>
      <c r="G276" s="90">
        <f>-D248*1.03</f>
        <v>198.71604186370192</v>
      </c>
      <c r="I276" s="1" t="s">
        <v>833</v>
      </c>
    </row>
    <row r="278" spans="1:10" x14ac:dyDescent="0.2">
      <c r="A278" s="1" t="s">
        <v>834</v>
      </c>
      <c r="B278" s="1" t="s">
        <v>835</v>
      </c>
      <c r="I278" s="1" t="s">
        <v>2064</v>
      </c>
      <c r="J278" s="1" t="s">
        <v>2061</v>
      </c>
    </row>
    <row r="279" spans="1:10" x14ac:dyDescent="0.2">
      <c r="B279" s="1" t="s">
        <v>836</v>
      </c>
      <c r="I279" s="1" t="s">
        <v>2065</v>
      </c>
      <c r="J279" s="1" t="s">
        <v>2062</v>
      </c>
    </row>
    <row r="280" spans="1:10" x14ac:dyDescent="0.2">
      <c r="I280" s="1" t="s">
        <v>2066</v>
      </c>
      <c r="J280" s="1" t="s">
        <v>2063</v>
      </c>
    </row>
    <row r="281" spans="1:10" x14ac:dyDescent="0.2">
      <c r="I281" s="1" t="s">
        <v>2067</v>
      </c>
    </row>
    <row r="282" spans="1:10" x14ac:dyDescent="0.2">
      <c r="I282" s="1" t="s">
        <v>2068</v>
      </c>
    </row>
    <row r="284" spans="1:10" x14ac:dyDescent="0.2">
      <c r="A284" s="2" t="s">
        <v>728</v>
      </c>
      <c r="B284" s="2"/>
      <c r="C284" s="2"/>
      <c r="D284" s="2"/>
      <c r="E284" s="2"/>
      <c r="F284" s="2"/>
      <c r="G284" s="2"/>
      <c r="H284" s="2">
        <v>4.2</v>
      </c>
    </row>
    <row r="286" spans="1:10" x14ac:dyDescent="0.2">
      <c r="A286" s="1" t="s">
        <v>711</v>
      </c>
    </row>
    <row r="287" spans="1:10" x14ac:dyDescent="0.2">
      <c r="A287" s="1" t="s">
        <v>712</v>
      </c>
    </row>
    <row r="288" spans="1:10" x14ac:dyDescent="0.2">
      <c r="A288" s="1" t="s">
        <v>713</v>
      </c>
    </row>
    <row r="290" spans="1:10" x14ac:dyDescent="0.2">
      <c r="A290" s="1" t="s">
        <v>568</v>
      </c>
    </row>
    <row r="291" spans="1:10" x14ac:dyDescent="0.2">
      <c r="A291" s="1" t="s">
        <v>714</v>
      </c>
      <c r="F291" s="75">
        <f>1.02^56-1</f>
        <v>2.0311652864835517</v>
      </c>
      <c r="H291" s="1" t="s">
        <v>2070</v>
      </c>
    </row>
    <row r="292" spans="1:10" x14ac:dyDescent="0.2">
      <c r="A292" s="1" t="s">
        <v>715</v>
      </c>
      <c r="E292" s="75">
        <f>1.07^3*1.08*1.04-1</f>
        <v>0.37596829760000028</v>
      </c>
      <c r="H292" s="1" t="s">
        <v>2069</v>
      </c>
    </row>
    <row r="293" spans="1:10" ht="23" customHeight="1" x14ac:dyDescent="0.2">
      <c r="A293" s="1" t="s">
        <v>2071</v>
      </c>
      <c r="F293" s="75">
        <f>(1+F291)/(1+E292)-1</f>
        <v>1.202932503438189</v>
      </c>
    </row>
    <row r="294" spans="1:10" ht="33" customHeight="1" x14ac:dyDescent="0.2">
      <c r="A294" s="1" t="s">
        <v>2072</v>
      </c>
    </row>
    <row r="296" spans="1:10" x14ac:dyDescent="0.2">
      <c r="A296" s="18" t="s">
        <v>146</v>
      </c>
    </row>
    <row r="297" spans="1:10" ht="17" thickBot="1" x14ac:dyDescent="0.25"/>
    <row r="298" spans="1:10" ht="17" thickBot="1" x14ac:dyDescent="0.25">
      <c r="A298" s="18" t="s">
        <v>716</v>
      </c>
      <c r="I298" s="82" t="s">
        <v>99</v>
      </c>
      <c r="J298" s="91">
        <v>2.0311659999999998</v>
      </c>
    </row>
    <row r="299" spans="1:10" x14ac:dyDescent="0.2">
      <c r="A299" s="1" t="s">
        <v>717</v>
      </c>
      <c r="J299" s="1" t="s">
        <v>843</v>
      </c>
    </row>
    <row r="300" spans="1:10" x14ac:dyDescent="0.2">
      <c r="A300" s="1" t="s">
        <v>718</v>
      </c>
      <c r="J300" s="1" t="s">
        <v>844</v>
      </c>
    </row>
    <row r="303" spans="1:10" x14ac:dyDescent="0.2">
      <c r="A303" s="1" t="s">
        <v>838</v>
      </c>
    </row>
    <row r="304" spans="1:10" x14ac:dyDescent="0.2">
      <c r="A304" s="1" t="s">
        <v>839</v>
      </c>
    </row>
    <row r="306" spans="1:10" x14ac:dyDescent="0.2">
      <c r="A306" s="1" t="s">
        <v>840</v>
      </c>
    </row>
    <row r="308" spans="1:10" ht="17" thickBot="1" x14ac:dyDescent="0.25"/>
    <row r="309" spans="1:10" ht="17" thickBot="1" x14ac:dyDescent="0.25">
      <c r="A309" s="18" t="s">
        <v>721</v>
      </c>
      <c r="I309" s="82" t="s">
        <v>842</v>
      </c>
      <c r="J309" s="92">
        <f>C315</f>
        <v>0.37596829760000028</v>
      </c>
    </row>
    <row r="310" spans="1:10" x14ac:dyDescent="0.2">
      <c r="A310" s="1" t="s">
        <v>719</v>
      </c>
      <c r="J310" s="1" t="s">
        <v>845</v>
      </c>
    </row>
    <row r="311" spans="1:10" x14ac:dyDescent="0.2">
      <c r="A311" s="1" t="s">
        <v>720</v>
      </c>
      <c r="J311" s="1" t="s">
        <v>844</v>
      </c>
    </row>
    <row r="313" spans="1:10" x14ac:dyDescent="0.2">
      <c r="A313" s="1" t="s">
        <v>841</v>
      </c>
    </row>
    <row r="314" spans="1:10" x14ac:dyDescent="0.2">
      <c r="A314" s="1" t="s">
        <v>713</v>
      </c>
    </row>
    <row r="315" spans="1:10" x14ac:dyDescent="0.2">
      <c r="C315" s="75">
        <f>1.07^3*1.08*1.04-1</f>
        <v>0.37596829760000028</v>
      </c>
    </row>
    <row r="316" spans="1:10" ht="17" thickBot="1" x14ac:dyDescent="0.25"/>
    <row r="317" spans="1:10" ht="17" thickBot="1" x14ac:dyDescent="0.25">
      <c r="A317" s="18" t="s">
        <v>722</v>
      </c>
      <c r="I317" s="82" t="s">
        <v>842</v>
      </c>
      <c r="J317" s="92">
        <f>E326</f>
        <v>1.2029582083304264</v>
      </c>
    </row>
    <row r="318" spans="1:10" x14ac:dyDescent="0.2">
      <c r="A318" s="1" t="s">
        <v>723</v>
      </c>
      <c r="J318" s="1" t="s">
        <v>850</v>
      </c>
    </row>
    <row r="319" spans="1:10" x14ac:dyDescent="0.2">
      <c r="A319" s="1" t="s">
        <v>724</v>
      </c>
      <c r="J319" s="1" t="s">
        <v>844</v>
      </c>
    </row>
    <row r="321" spans="1:8" x14ac:dyDescent="0.2">
      <c r="A321" s="1" t="s">
        <v>846</v>
      </c>
    </row>
    <row r="323" spans="1:8" x14ac:dyDescent="0.2">
      <c r="A323" s="1" t="s">
        <v>847</v>
      </c>
    </row>
    <row r="324" spans="1:8" x14ac:dyDescent="0.2">
      <c r="A324" s="1" t="s">
        <v>848</v>
      </c>
    </row>
    <row r="326" spans="1:8" x14ac:dyDescent="0.2">
      <c r="A326" s="1" t="s">
        <v>849</v>
      </c>
      <c r="E326" s="75">
        <f>3.0312/1.375968-1</f>
        <v>1.2029582083304264</v>
      </c>
    </row>
    <row r="327" spans="1:8" ht="17" thickBot="1" x14ac:dyDescent="0.25"/>
    <row r="328" spans="1:8" ht="17" thickBot="1" x14ac:dyDescent="0.25">
      <c r="A328" s="18" t="s">
        <v>725</v>
      </c>
      <c r="G328" s="82" t="s">
        <v>245</v>
      </c>
      <c r="H328" s="93">
        <f>D334</f>
        <v>0.18440800037379645</v>
      </c>
    </row>
    <row r="329" spans="1:8" x14ac:dyDescent="0.2">
      <c r="A329" s="1" t="s">
        <v>726</v>
      </c>
    </row>
    <row r="330" spans="1:8" x14ac:dyDescent="0.2">
      <c r="A330" s="1" t="s">
        <v>727</v>
      </c>
    </row>
    <row r="332" spans="1:8" x14ac:dyDescent="0.2">
      <c r="A332" s="1" t="s">
        <v>851</v>
      </c>
    </row>
    <row r="334" spans="1:8" x14ac:dyDescent="0.2">
      <c r="A334" s="18" t="s">
        <v>852</v>
      </c>
      <c r="B334" s="18"/>
      <c r="C334" s="18"/>
      <c r="D334" s="94">
        <f>(1+120.2958%)^(1/(4+8/12))-1</f>
        <v>0.18440800037379645</v>
      </c>
    </row>
    <row r="339" spans="1:8" x14ac:dyDescent="0.2">
      <c r="A339" s="2" t="s">
        <v>751</v>
      </c>
      <c r="B339" s="2"/>
      <c r="C339" s="2"/>
      <c r="D339" s="2"/>
      <c r="E339" s="2"/>
      <c r="F339" s="2"/>
      <c r="G339" s="2"/>
      <c r="H339" s="2">
        <v>4.3</v>
      </c>
    </row>
    <row r="341" spans="1:8" x14ac:dyDescent="0.2">
      <c r="A341" s="1" t="s">
        <v>752</v>
      </c>
    </row>
    <row r="342" spans="1:8" x14ac:dyDescent="0.2">
      <c r="C342" s="1" t="s">
        <v>739</v>
      </c>
      <c r="D342" s="1" t="s">
        <v>739</v>
      </c>
    </row>
    <row r="343" spans="1:8" x14ac:dyDescent="0.2">
      <c r="A343" s="1" t="s">
        <v>753</v>
      </c>
      <c r="C343" s="1">
        <v>0</v>
      </c>
      <c r="D343" s="1">
        <v>4</v>
      </c>
      <c r="E343" s="1" t="s">
        <v>756</v>
      </c>
    </row>
    <row r="344" spans="1:8" x14ac:dyDescent="0.2">
      <c r="A344" s="1" t="s">
        <v>765</v>
      </c>
      <c r="B344" s="1" t="s">
        <v>754</v>
      </c>
      <c r="C344" s="1">
        <v>300</v>
      </c>
      <c r="D344" s="1">
        <v>-340</v>
      </c>
      <c r="E344" s="1" t="s">
        <v>757</v>
      </c>
    </row>
    <row r="345" spans="1:8" x14ac:dyDescent="0.2">
      <c r="A345" s="1" t="s">
        <v>765</v>
      </c>
      <c r="B345" s="1" t="s">
        <v>755</v>
      </c>
      <c r="C345" s="1">
        <v>300</v>
      </c>
      <c r="D345" s="1">
        <v>-315</v>
      </c>
      <c r="E345" s="1" t="s">
        <v>758</v>
      </c>
    </row>
    <row r="347" spans="1:8" x14ac:dyDescent="0.2">
      <c r="A347" s="1" t="s">
        <v>568</v>
      </c>
    </row>
    <row r="348" spans="1:8" x14ac:dyDescent="0.2">
      <c r="A348" s="1" t="s">
        <v>759</v>
      </c>
    </row>
    <row r="349" spans="1:8" x14ac:dyDescent="0.2">
      <c r="A349" s="1" t="s">
        <v>760</v>
      </c>
    </row>
    <row r="350" spans="1:8" x14ac:dyDescent="0.2">
      <c r="A350" s="1" t="s">
        <v>761</v>
      </c>
    </row>
    <row r="351" spans="1:8" x14ac:dyDescent="0.2">
      <c r="A351" s="1" t="s">
        <v>762</v>
      </c>
    </row>
    <row r="353" spans="1:1" x14ac:dyDescent="0.2">
      <c r="A353" s="1" t="s">
        <v>763</v>
      </c>
    </row>
    <row r="355" spans="1:1" x14ac:dyDescent="0.2">
      <c r="A355" s="18" t="s">
        <v>764</v>
      </c>
    </row>
    <row r="356" spans="1:1" x14ac:dyDescent="0.2">
      <c r="A356" s="18" t="s">
        <v>2073</v>
      </c>
    </row>
    <row r="357" spans="1:1" x14ac:dyDescent="0.2">
      <c r="A357" s="1" t="s">
        <v>766</v>
      </c>
    </row>
    <row r="358" spans="1:1" x14ac:dyDescent="0.2">
      <c r="A358" s="1" t="s">
        <v>767</v>
      </c>
    </row>
    <row r="363" spans="1:1" x14ac:dyDescent="0.2">
      <c r="A363" s="18" t="s">
        <v>768</v>
      </c>
    </row>
    <row r="364" spans="1:1" x14ac:dyDescent="0.2">
      <c r="A364" s="1" t="s">
        <v>853</v>
      </c>
    </row>
    <row r="365" spans="1:1" x14ac:dyDescent="0.2">
      <c r="A365" s="1" t="s">
        <v>769</v>
      </c>
    </row>
    <row r="369" spans="1:5" x14ac:dyDescent="0.2">
      <c r="A369" s="1" t="s">
        <v>770</v>
      </c>
    </row>
    <row r="374" spans="1:5" x14ac:dyDescent="0.2">
      <c r="A374" s="18" t="s">
        <v>771</v>
      </c>
    </row>
    <row r="375" spans="1:5" x14ac:dyDescent="0.2">
      <c r="A375" s="1" t="s">
        <v>772</v>
      </c>
    </row>
    <row r="376" spans="1:5" x14ac:dyDescent="0.2">
      <c r="A376" s="1" t="s">
        <v>773</v>
      </c>
    </row>
    <row r="377" spans="1:5" x14ac:dyDescent="0.2">
      <c r="D377" s="1" t="s">
        <v>2075</v>
      </c>
    </row>
    <row r="379" spans="1:5" x14ac:dyDescent="0.2">
      <c r="C379" s="95">
        <f>1.0793648^0.25-1</f>
        <v>1.9276620378157139E-2</v>
      </c>
    </row>
    <row r="381" spans="1:5" x14ac:dyDescent="0.2">
      <c r="E381" s="1" t="s">
        <v>2074</v>
      </c>
    </row>
    <row r="383" spans="1:5" x14ac:dyDescent="0.2">
      <c r="A383" s="18" t="s">
        <v>762</v>
      </c>
    </row>
    <row r="384" spans="1:5" x14ac:dyDescent="0.2">
      <c r="A384" s="1" t="s">
        <v>854</v>
      </c>
    </row>
    <row r="385" spans="1:6" x14ac:dyDescent="0.2">
      <c r="A385" s="1" t="s">
        <v>762</v>
      </c>
    </row>
    <row r="387" spans="1:6" x14ac:dyDescent="0.2">
      <c r="B387" s="75">
        <f>1.0793648/1.01^3-1</f>
        <v>4.762084089989238E-2</v>
      </c>
    </row>
    <row r="389" spans="1:6" x14ac:dyDescent="0.2">
      <c r="A389" s="1" t="s">
        <v>2083</v>
      </c>
      <c r="F389" s="1" t="s">
        <v>2076</v>
      </c>
    </row>
    <row r="390" spans="1:6" x14ac:dyDescent="0.2">
      <c r="A390" s="1" t="s">
        <v>2084</v>
      </c>
      <c r="D390" s="1" t="s">
        <v>845</v>
      </c>
    </row>
    <row r="391" spans="1:6" x14ac:dyDescent="0.2">
      <c r="D391" s="1" t="s">
        <v>2080</v>
      </c>
      <c r="E391" s="1" t="s">
        <v>2077</v>
      </c>
    </row>
    <row r="392" spans="1:6" x14ac:dyDescent="0.2">
      <c r="D392" s="1" t="s">
        <v>2081</v>
      </c>
      <c r="E392" s="1" t="s">
        <v>2078</v>
      </c>
    </row>
    <row r="393" spans="1:6" x14ac:dyDescent="0.2">
      <c r="D393" s="1" t="s">
        <v>2082</v>
      </c>
      <c r="E393" s="1" t="s">
        <v>2079</v>
      </c>
    </row>
    <row r="395" spans="1:6" x14ac:dyDescent="0.2">
      <c r="A395" s="1" t="s">
        <v>2085</v>
      </c>
    </row>
  </sheetData>
  <mergeCells count="2">
    <mergeCell ref="C111:C112"/>
    <mergeCell ref="G251:G252"/>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817A6E-6F10-C54B-BF75-D965592584E4}">
  <dimension ref="A1:T693"/>
  <sheetViews>
    <sheetView rightToLeft="1" tabSelected="1" topLeftCell="A676" zoomScale="215" zoomScaleNormal="320" workbookViewId="0">
      <selection activeCell="I681" sqref="I681"/>
    </sheetView>
  </sheetViews>
  <sheetFormatPr baseColWidth="10" defaultRowHeight="16" x14ac:dyDescent="0.2"/>
  <cols>
    <col min="1" max="3" width="10.83203125" style="1"/>
    <col min="4" max="4" width="12.1640625" style="1" customWidth="1"/>
    <col min="5" max="5" width="14.5" style="1" bestFit="1" customWidth="1"/>
    <col min="6" max="6" width="11.6640625" style="1" bestFit="1" customWidth="1"/>
    <col min="7" max="16384" width="10.83203125" style="1"/>
  </cols>
  <sheetData>
    <row r="1" spans="1:9" x14ac:dyDescent="0.2">
      <c r="A1" s="505" t="s">
        <v>3328</v>
      </c>
      <c r="B1" s="505"/>
      <c r="C1" s="505"/>
      <c r="D1" s="505"/>
      <c r="E1" s="505"/>
      <c r="F1" s="505"/>
      <c r="G1" s="505"/>
      <c r="H1" s="505"/>
    </row>
    <row r="3" spans="1:9" x14ac:dyDescent="0.2">
      <c r="A3" s="2" t="s">
        <v>191</v>
      </c>
      <c r="B3" s="2"/>
      <c r="C3" s="2"/>
      <c r="D3" s="2"/>
      <c r="E3" s="2"/>
      <c r="F3" s="2"/>
      <c r="G3" s="2"/>
      <c r="H3" s="2"/>
    </row>
    <row r="4" spans="1:9" x14ac:dyDescent="0.2">
      <c r="A4" s="1" t="s">
        <v>866</v>
      </c>
    </row>
    <row r="5" spans="1:9" x14ac:dyDescent="0.2">
      <c r="A5" s="1" t="s">
        <v>856</v>
      </c>
      <c r="I5" s="6" t="s">
        <v>2149</v>
      </c>
    </row>
    <row r="6" spans="1:9" x14ac:dyDescent="0.2">
      <c r="A6" s="1" t="s">
        <v>855</v>
      </c>
      <c r="I6" s="6" t="s">
        <v>2150</v>
      </c>
    </row>
    <row r="7" spans="1:9" x14ac:dyDescent="0.2">
      <c r="A7" s="1" t="s">
        <v>857</v>
      </c>
      <c r="I7" s="6" t="s">
        <v>1904</v>
      </c>
    </row>
    <row r="8" spans="1:9" x14ac:dyDescent="0.2">
      <c r="A8" s="1" t="s">
        <v>858</v>
      </c>
      <c r="I8" s="6" t="s">
        <v>2151</v>
      </c>
    </row>
    <row r="9" spans="1:9" x14ac:dyDescent="0.2">
      <c r="A9" s="1" t="s">
        <v>865</v>
      </c>
    </row>
    <row r="10" spans="1:9" x14ac:dyDescent="0.2">
      <c r="A10" s="1" t="s">
        <v>859</v>
      </c>
      <c r="I10" s="6" t="s">
        <v>2152</v>
      </c>
    </row>
    <row r="11" spans="1:9" x14ac:dyDescent="0.2">
      <c r="A11" s="1" t="s">
        <v>860</v>
      </c>
      <c r="I11" s="6" t="s">
        <v>2153</v>
      </c>
    </row>
    <row r="12" spans="1:9" x14ac:dyDescent="0.2">
      <c r="A12" s="1" t="s">
        <v>861</v>
      </c>
      <c r="I12" s="6" t="s">
        <v>2154</v>
      </c>
    </row>
    <row r="13" spans="1:9" x14ac:dyDescent="0.2">
      <c r="A13" s="1" t="s">
        <v>862</v>
      </c>
      <c r="I13" s="6" t="s">
        <v>2155</v>
      </c>
    </row>
    <row r="14" spans="1:9" x14ac:dyDescent="0.2">
      <c r="A14" s="1" t="s">
        <v>863</v>
      </c>
      <c r="I14" s="6" t="s">
        <v>2156</v>
      </c>
    </row>
    <row r="15" spans="1:9" x14ac:dyDescent="0.2">
      <c r="A15" s="1" t="s">
        <v>864</v>
      </c>
      <c r="I15" s="6" t="s">
        <v>2157</v>
      </c>
    </row>
    <row r="17" spans="1:9" x14ac:dyDescent="0.2">
      <c r="A17" s="2" t="s">
        <v>867</v>
      </c>
      <c r="B17" s="2"/>
      <c r="C17" s="2"/>
      <c r="D17" s="2"/>
      <c r="E17" s="2"/>
      <c r="F17" s="2"/>
      <c r="G17" s="2"/>
      <c r="H17" s="97">
        <v>5.2</v>
      </c>
    </row>
    <row r="19" spans="1:9" x14ac:dyDescent="0.2">
      <c r="A19" s="1" t="s">
        <v>868</v>
      </c>
      <c r="I19" s="1" t="s">
        <v>2158</v>
      </c>
    </row>
    <row r="20" spans="1:9" x14ac:dyDescent="0.2">
      <c r="A20" s="1" t="s">
        <v>869</v>
      </c>
      <c r="I20" s="1" t="s">
        <v>2159</v>
      </c>
    </row>
    <row r="21" spans="1:9" x14ac:dyDescent="0.2">
      <c r="I21" s="1" t="s">
        <v>2160</v>
      </c>
    </row>
    <row r="22" spans="1:9" ht="34" x14ac:dyDescent="0.2">
      <c r="A22" s="27" t="s">
        <v>875</v>
      </c>
      <c r="B22" s="27" t="s">
        <v>872</v>
      </c>
      <c r="C22" s="27" t="s">
        <v>874</v>
      </c>
      <c r="D22" s="96" t="s">
        <v>1049</v>
      </c>
      <c r="I22" s="273" t="s">
        <v>2161</v>
      </c>
    </row>
    <row r="23" spans="1:9" x14ac:dyDescent="0.2">
      <c r="A23" s="20" t="s">
        <v>870</v>
      </c>
      <c r="B23" s="20" t="s">
        <v>695</v>
      </c>
      <c r="C23" s="24">
        <v>10000</v>
      </c>
      <c r="D23" s="24">
        <v>2606</v>
      </c>
      <c r="I23" s="1" t="s">
        <v>2162</v>
      </c>
    </row>
    <row r="24" spans="1:9" x14ac:dyDescent="0.2">
      <c r="A24" s="20" t="s">
        <v>871</v>
      </c>
      <c r="B24" s="20" t="s">
        <v>873</v>
      </c>
      <c r="C24" s="24">
        <v>30000</v>
      </c>
      <c r="D24" s="24">
        <v>6515</v>
      </c>
      <c r="I24" s="1" t="s">
        <v>2163</v>
      </c>
    </row>
    <row r="25" spans="1:9" x14ac:dyDescent="0.2">
      <c r="I25" s="1" t="s">
        <v>2164</v>
      </c>
    </row>
    <row r="26" spans="1:9" x14ac:dyDescent="0.2">
      <c r="A26" s="1" t="s">
        <v>568</v>
      </c>
    </row>
    <row r="27" spans="1:9" x14ac:dyDescent="0.2">
      <c r="A27" s="1" t="s">
        <v>2165</v>
      </c>
    </row>
    <row r="28" spans="1:9" x14ac:dyDescent="0.2">
      <c r="A28" s="1" t="s">
        <v>1023</v>
      </c>
    </row>
    <row r="29" spans="1:9" x14ac:dyDescent="0.2">
      <c r="A29" s="1" t="s">
        <v>876</v>
      </c>
    </row>
    <row r="30" spans="1:9" x14ac:dyDescent="0.2">
      <c r="A30" s="1" t="s">
        <v>877</v>
      </c>
    </row>
    <row r="31" spans="1:9" x14ac:dyDescent="0.2">
      <c r="A31" s="1" t="s">
        <v>878</v>
      </c>
    </row>
    <row r="32" spans="1:9" x14ac:dyDescent="0.2">
      <c r="A32" s="1" t="s">
        <v>879</v>
      </c>
    </row>
    <row r="33" spans="1:8" x14ac:dyDescent="0.2">
      <c r="A33" s="1" t="s">
        <v>880</v>
      </c>
    </row>
    <row r="35" spans="1:8" x14ac:dyDescent="0.2">
      <c r="A35" s="1" t="s">
        <v>146</v>
      </c>
    </row>
    <row r="36" spans="1:8" ht="17" thickBot="1" x14ac:dyDescent="0.25"/>
    <row r="37" spans="1:8" ht="17" thickBot="1" x14ac:dyDescent="0.25">
      <c r="A37" s="60" t="s">
        <v>1005</v>
      </c>
      <c r="B37" s="8"/>
      <c r="C37" s="8"/>
      <c r="D37" s="8"/>
      <c r="E37" s="8"/>
      <c r="F37" s="8"/>
      <c r="G37" s="8"/>
      <c r="H37" s="9"/>
    </row>
    <row r="39" spans="1:8" x14ac:dyDescent="0.2">
      <c r="A39" s="1" t="s">
        <v>997</v>
      </c>
    </row>
    <row r="40" spans="1:8" x14ac:dyDescent="0.2">
      <c r="A40" s="1" t="s">
        <v>998</v>
      </c>
    </row>
    <row r="41" spans="1:8" x14ac:dyDescent="0.2">
      <c r="A41" s="1" t="s">
        <v>999</v>
      </c>
    </row>
    <row r="42" spans="1:8" x14ac:dyDescent="0.2">
      <c r="A42" s="1" t="s">
        <v>1000</v>
      </c>
    </row>
    <row r="44" spans="1:8" x14ac:dyDescent="0.2">
      <c r="A44" s="1" t="s">
        <v>1001</v>
      </c>
    </row>
    <row r="45" spans="1:8" x14ac:dyDescent="0.2">
      <c r="A45" s="1" t="s">
        <v>1002</v>
      </c>
    </row>
    <row r="46" spans="1:8" x14ac:dyDescent="0.2">
      <c r="A46" s="1" t="s">
        <v>1003</v>
      </c>
    </row>
    <row r="48" spans="1:8" x14ac:dyDescent="0.2">
      <c r="A48" s="1" t="s">
        <v>1006</v>
      </c>
    </row>
    <row r="49" spans="1:13" x14ac:dyDescent="0.2">
      <c r="A49" s="1" t="s">
        <v>1004</v>
      </c>
    </row>
    <row r="51" spans="1:13" x14ac:dyDescent="0.2">
      <c r="A51" s="1" t="s">
        <v>1007</v>
      </c>
    </row>
    <row r="52" spans="1:13" x14ac:dyDescent="0.2">
      <c r="G52" s="21" t="s">
        <v>84</v>
      </c>
    </row>
    <row r="53" spans="1:13" x14ac:dyDescent="0.2">
      <c r="A53" s="1" t="s">
        <v>3329</v>
      </c>
      <c r="G53" s="20" t="s">
        <v>63</v>
      </c>
      <c r="H53" s="1" t="s">
        <v>2166</v>
      </c>
    </row>
    <row r="55" spans="1:13" x14ac:dyDescent="0.2">
      <c r="C55" s="48" t="s">
        <v>87</v>
      </c>
      <c r="D55" s="20" t="s">
        <v>87</v>
      </c>
      <c r="G55" s="1" t="s">
        <v>2168</v>
      </c>
      <c r="H55" s="1" t="s">
        <v>2167</v>
      </c>
      <c r="L55" s="20"/>
      <c r="M55" s="20"/>
    </row>
    <row r="56" spans="1:13" x14ac:dyDescent="0.2">
      <c r="C56" s="48" t="s">
        <v>2171</v>
      </c>
      <c r="D56" s="20" t="s">
        <v>2170</v>
      </c>
      <c r="L56" s="24"/>
      <c r="M56" s="24"/>
    </row>
    <row r="57" spans="1:13" x14ac:dyDescent="0.2">
      <c r="C57" s="274">
        <f>-C24</f>
        <v>-30000</v>
      </c>
      <c r="D57" s="274">
        <f>-C23</f>
        <v>-10000</v>
      </c>
      <c r="E57" s="1">
        <v>1</v>
      </c>
      <c r="F57" s="1" t="s">
        <v>3332</v>
      </c>
      <c r="L57" s="24"/>
      <c r="M57" s="24"/>
    </row>
    <row r="58" spans="1:13" x14ac:dyDescent="0.2">
      <c r="C58" s="274">
        <f>D24</f>
        <v>6515</v>
      </c>
      <c r="D58" s="274">
        <f>D23</f>
        <v>2606</v>
      </c>
      <c r="E58" s="1">
        <v>2</v>
      </c>
      <c r="F58" s="1" t="s">
        <v>2169</v>
      </c>
      <c r="G58" s="21" t="s">
        <v>89</v>
      </c>
      <c r="H58" s="20" t="s">
        <v>368</v>
      </c>
      <c r="L58" s="24"/>
      <c r="M58" s="24"/>
    </row>
    <row r="59" spans="1:13" x14ac:dyDescent="0.2">
      <c r="C59" s="274">
        <f>C58</f>
        <v>6515</v>
      </c>
      <c r="D59" s="274">
        <f>D58</f>
        <v>2606</v>
      </c>
      <c r="E59" s="1">
        <v>3</v>
      </c>
      <c r="L59" s="24"/>
      <c r="M59" s="24"/>
    </row>
    <row r="60" spans="1:13" x14ac:dyDescent="0.2">
      <c r="C60" s="274">
        <f t="shared" ref="C60:C64" si="0">C59</f>
        <v>6515</v>
      </c>
      <c r="D60" s="274">
        <f t="shared" ref="D60:D64" si="1">D59</f>
        <v>2606</v>
      </c>
      <c r="E60" s="1">
        <v>4</v>
      </c>
      <c r="F60" s="1" t="s">
        <v>3333</v>
      </c>
      <c r="L60" s="24"/>
      <c r="M60" s="24"/>
    </row>
    <row r="61" spans="1:13" x14ac:dyDescent="0.2">
      <c r="C61" s="274">
        <f t="shared" si="0"/>
        <v>6515</v>
      </c>
      <c r="D61" s="274">
        <f t="shared" si="1"/>
        <v>2606</v>
      </c>
      <c r="E61" s="1">
        <v>5</v>
      </c>
      <c r="H61" s="276">
        <f>IRR(D57:D64)</f>
        <v>0.17763328083126506</v>
      </c>
      <c r="J61" s="1" t="s">
        <v>3330</v>
      </c>
      <c r="L61" s="24"/>
      <c r="M61" s="24"/>
    </row>
    <row r="62" spans="1:13" x14ac:dyDescent="0.2">
      <c r="C62" s="274">
        <f t="shared" si="0"/>
        <v>6515</v>
      </c>
      <c r="D62" s="274">
        <f t="shared" si="1"/>
        <v>2606</v>
      </c>
      <c r="E62" s="1">
        <v>6</v>
      </c>
      <c r="H62" s="276">
        <f>IRR(C57:C64)</f>
        <v>0.11718677399898092</v>
      </c>
      <c r="J62" s="1" t="s">
        <v>3331</v>
      </c>
      <c r="L62" s="24"/>
      <c r="M62" s="24"/>
    </row>
    <row r="63" spans="1:13" x14ac:dyDescent="0.2">
      <c r="C63" s="274">
        <f t="shared" si="0"/>
        <v>6515</v>
      </c>
      <c r="D63" s="274">
        <f t="shared" si="1"/>
        <v>2606</v>
      </c>
      <c r="E63" s="1">
        <v>7</v>
      </c>
      <c r="L63" s="24"/>
      <c r="M63" s="24"/>
    </row>
    <row r="64" spans="1:13" x14ac:dyDescent="0.2">
      <c r="C64" s="274">
        <f t="shared" si="0"/>
        <v>6515</v>
      </c>
      <c r="D64" s="274">
        <f t="shared" si="1"/>
        <v>2606</v>
      </c>
      <c r="E64" s="1">
        <v>8</v>
      </c>
    </row>
    <row r="65" spans="1:11" ht="17" thickBot="1" x14ac:dyDescent="0.25"/>
    <row r="66" spans="1:11" x14ac:dyDescent="0.2">
      <c r="B66" s="12" t="s">
        <v>1016</v>
      </c>
      <c r="C66" s="13"/>
      <c r="D66" s="13"/>
      <c r="E66" s="13"/>
      <c r="F66" s="121">
        <f>IRR(D57:D64)</f>
        <v>0.17763328083126506</v>
      </c>
      <c r="G66" s="122" t="s">
        <v>1014</v>
      </c>
    </row>
    <row r="67" spans="1:11" ht="17" thickBot="1" x14ac:dyDescent="0.25">
      <c r="B67" s="15"/>
      <c r="C67" s="16"/>
      <c r="D67" s="16"/>
      <c r="E67" s="16"/>
      <c r="F67" s="123">
        <f>IRR(C57:C64)</f>
        <v>0.11718677399898092</v>
      </c>
      <c r="G67" s="124" t="s">
        <v>1015</v>
      </c>
    </row>
    <row r="69" spans="1:11" x14ac:dyDescent="0.2">
      <c r="A69" s="1" t="s">
        <v>834</v>
      </c>
      <c r="B69" s="1" t="s">
        <v>1012</v>
      </c>
    </row>
    <row r="70" spans="1:11" x14ac:dyDescent="0.2">
      <c r="B70" s="1" t="s">
        <v>1013</v>
      </c>
    </row>
    <row r="72" spans="1:11" x14ac:dyDescent="0.2">
      <c r="A72" s="1" t="s">
        <v>3338</v>
      </c>
      <c r="B72" s="1" t="s">
        <v>3334</v>
      </c>
    </row>
    <row r="73" spans="1:11" x14ac:dyDescent="0.2">
      <c r="B73" s="1" t="s">
        <v>3335</v>
      </c>
    </row>
    <row r="74" spans="1:11" x14ac:dyDescent="0.2">
      <c r="B74" s="1" t="s">
        <v>3336</v>
      </c>
    </row>
    <row r="75" spans="1:11" x14ac:dyDescent="0.2">
      <c r="B75" s="1" t="s">
        <v>3337</v>
      </c>
    </row>
    <row r="76" spans="1:11" ht="17" thickBot="1" x14ac:dyDescent="0.25"/>
    <row r="77" spans="1:11" ht="17" thickBot="1" x14ac:dyDescent="0.25">
      <c r="A77" s="60" t="s">
        <v>1025</v>
      </c>
      <c r="B77" s="8"/>
      <c r="C77" s="8"/>
      <c r="D77" s="8"/>
      <c r="E77" s="8"/>
      <c r="F77" s="8"/>
      <c r="G77" s="8"/>
      <c r="H77" s="9"/>
    </row>
    <row r="78" spans="1:11" ht="17" thickBot="1" x14ac:dyDescent="0.25"/>
    <row r="79" spans="1:11" x14ac:dyDescent="0.2">
      <c r="A79" s="1" t="s">
        <v>3339</v>
      </c>
      <c r="J79" s="477" t="s">
        <v>3343</v>
      </c>
      <c r="K79" s="478"/>
    </row>
    <row r="80" spans="1:11" x14ac:dyDescent="0.2">
      <c r="A80" s="1" t="s">
        <v>3340</v>
      </c>
      <c r="J80" s="479" t="s">
        <v>3344</v>
      </c>
      <c r="K80" s="480"/>
    </row>
    <row r="81" spans="1:11" x14ac:dyDescent="0.2">
      <c r="A81" s="1" t="s">
        <v>3341</v>
      </c>
      <c r="J81" s="479" t="s">
        <v>3345</v>
      </c>
      <c r="K81" s="480"/>
    </row>
    <row r="82" spans="1:11" x14ac:dyDescent="0.2">
      <c r="A82" s="1" t="s">
        <v>3342</v>
      </c>
      <c r="J82" s="479" t="s">
        <v>3346</v>
      </c>
      <c r="K82" s="480"/>
    </row>
    <row r="83" spans="1:11" x14ac:dyDescent="0.2">
      <c r="J83" s="479" t="s">
        <v>3347</v>
      </c>
      <c r="K83" s="480"/>
    </row>
    <row r="84" spans="1:11" x14ac:dyDescent="0.2">
      <c r="J84" s="479" t="s">
        <v>3348</v>
      </c>
      <c r="K84" s="480"/>
    </row>
    <row r="85" spans="1:11" x14ac:dyDescent="0.2">
      <c r="A85" s="1" t="s">
        <v>1017</v>
      </c>
      <c r="J85" s="479" t="s">
        <v>3353</v>
      </c>
      <c r="K85" s="480"/>
    </row>
    <row r="86" spans="1:11" x14ac:dyDescent="0.2">
      <c r="A86" s="1" t="s">
        <v>1018</v>
      </c>
      <c r="J86" s="479" t="s">
        <v>3354</v>
      </c>
      <c r="K86" s="480"/>
    </row>
    <row r="87" spans="1:11" x14ac:dyDescent="0.2">
      <c r="J87" s="479"/>
      <c r="K87" s="480"/>
    </row>
    <row r="88" spans="1:11" x14ac:dyDescent="0.2">
      <c r="A88" s="1" t="s">
        <v>1019</v>
      </c>
      <c r="J88" s="479" t="s">
        <v>3349</v>
      </c>
      <c r="K88" s="480"/>
    </row>
    <row r="89" spans="1:11" x14ac:dyDescent="0.2">
      <c r="A89" s="1" t="s">
        <v>1020</v>
      </c>
      <c r="J89" s="479" t="s">
        <v>3350</v>
      </c>
      <c r="K89" s="480"/>
    </row>
    <row r="90" spans="1:11" x14ac:dyDescent="0.2">
      <c r="F90" s="18" t="s">
        <v>2174</v>
      </c>
      <c r="J90" s="479" t="s">
        <v>3351</v>
      </c>
      <c r="K90" s="480"/>
    </row>
    <row r="91" spans="1:11" x14ac:dyDescent="0.2">
      <c r="A91" s="1" t="s">
        <v>1007</v>
      </c>
      <c r="J91" s="479" t="s">
        <v>3352</v>
      </c>
      <c r="K91" s="480"/>
    </row>
    <row r="92" spans="1:11" x14ac:dyDescent="0.2">
      <c r="G92" s="35" t="s">
        <v>84</v>
      </c>
      <c r="J92" s="479" t="s">
        <v>3355</v>
      </c>
      <c r="K92" s="480"/>
    </row>
    <row r="93" spans="1:11" ht="17" thickBot="1" x14ac:dyDescent="0.25">
      <c r="A93" s="1" t="s">
        <v>2172</v>
      </c>
      <c r="F93" s="20">
        <v>6</v>
      </c>
      <c r="G93" s="1" t="s">
        <v>63</v>
      </c>
      <c r="J93" s="481" t="s">
        <v>3356</v>
      </c>
      <c r="K93" s="482"/>
    </row>
    <row r="94" spans="1:11" x14ac:dyDescent="0.2">
      <c r="A94" s="1" t="s">
        <v>2173</v>
      </c>
    </row>
    <row r="96" spans="1:11" x14ac:dyDescent="0.2">
      <c r="C96" s="20" t="s">
        <v>87</v>
      </c>
      <c r="D96" s="20" t="s">
        <v>87</v>
      </c>
      <c r="G96" s="1" t="s">
        <v>2176</v>
      </c>
      <c r="H96" s="1" t="s">
        <v>2175</v>
      </c>
    </row>
    <row r="97" spans="2:12" x14ac:dyDescent="0.2">
      <c r="C97" s="20" t="s">
        <v>1011</v>
      </c>
      <c r="D97" s="20" t="s">
        <v>1010</v>
      </c>
    </row>
    <row r="98" spans="2:12" x14ac:dyDescent="0.2">
      <c r="C98" s="120">
        <f t="shared" ref="C98:D105" si="2">C57</f>
        <v>-30000</v>
      </c>
      <c r="D98" s="120">
        <f t="shared" si="2"/>
        <v>-10000</v>
      </c>
      <c r="E98" s="1">
        <v>1</v>
      </c>
    </row>
    <row r="99" spans="2:12" x14ac:dyDescent="0.2">
      <c r="C99" s="120">
        <f t="shared" si="2"/>
        <v>6515</v>
      </c>
      <c r="D99" s="120">
        <f t="shared" si="2"/>
        <v>2606</v>
      </c>
      <c r="E99" s="1">
        <v>2</v>
      </c>
    </row>
    <row r="100" spans="2:12" x14ac:dyDescent="0.2">
      <c r="C100" s="120">
        <f t="shared" si="2"/>
        <v>6515</v>
      </c>
      <c r="D100" s="120">
        <f t="shared" si="2"/>
        <v>2606</v>
      </c>
      <c r="E100" s="1">
        <v>3</v>
      </c>
    </row>
    <row r="101" spans="2:12" x14ac:dyDescent="0.2">
      <c r="C101" s="120">
        <f t="shared" si="2"/>
        <v>6515</v>
      </c>
      <c r="D101" s="120">
        <f t="shared" si="2"/>
        <v>2606</v>
      </c>
      <c r="E101" s="1">
        <v>4</v>
      </c>
      <c r="F101" s="1" t="s">
        <v>3357</v>
      </c>
    </row>
    <row r="102" spans="2:12" x14ac:dyDescent="0.2">
      <c r="C102" s="120">
        <f t="shared" si="2"/>
        <v>6515</v>
      </c>
      <c r="D102" s="120">
        <f t="shared" si="2"/>
        <v>2606</v>
      </c>
      <c r="E102" s="1">
        <v>5</v>
      </c>
      <c r="F102" s="1" t="s">
        <v>3358</v>
      </c>
    </row>
    <row r="103" spans="2:12" x14ac:dyDescent="0.2">
      <c r="C103" s="120">
        <f t="shared" si="2"/>
        <v>6515</v>
      </c>
      <c r="D103" s="120">
        <f t="shared" si="2"/>
        <v>2606</v>
      </c>
      <c r="E103" s="1">
        <v>6</v>
      </c>
      <c r="F103" s="1" t="s">
        <v>3359</v>
      </c>
    </row>
    <row r="104" spans="2:12" x14ac:dyDescent="0.2">
      <c r="C104" s="120">
        <f t="shared" si="2"/>
        <v>6515</v>
      </c>
      <c r="D104" s="120">
        <f t="shared" si="2"/>
        <v>2606</v>
      </c>
      <c r="E104" s="1">
        <v>7</v>
      </c>
    </row>
    <row r="105" spans="2:12" x14ac:dyDescent="0.2">
      <c r="C105" s="120">
        <f t="shared" si="2"/>
        <v>6515</v>
      </c>
      <c r="D105" s="120">
        <f t="shared" si="2"/>
        <v>2606</v>
      </c>
      <c r="E105" s="1">
        <v>8</v>
      </c>
      <c r="J105" s="368" t="s">
        <v>3364</v>
      </c>
      <c r="K105" s="368"/>
      <c r="L105" s="368"/>
    </row>
    <row r="106" spans="2:12" ht="17" thickBot="1" x14ac:dyDescent="0.25">
      <c r="J106" s="368"/>
      <c r="K106" s="368"/>
      <c r="L106" s="368"/>
    </row>
    <row r="107" spans="2:12" x14ac:dyDescent="0.2">
      <c r="B107" s="12" t="s">
        <v>1024</v>
      </c>
      <c r="C107" s="13"/>
      <c r="D107" s="13"/>
      <c r="E107" s="13"/>
      <c r="F107" s="125">
        <f>NPV(F93/100,D99:D105)+D98</f>
        <v>4547.686031669853</v>
      </c>
      <c r="G107" s="122" t="s">
        <v>1021</v>
      </c>
      <c r="H107" s="1" t="s">
        <v>227</v>
      </c>
      <c r="J107" s="368"/>
      <c r="K107" s="368" t="str">
        <f ca="1">_xlfn.FORMULATEXT(F107)</f>
        <v>=NPV(F93/100,D99:D105)+D98</v>
      </c>
      <c r="L107" s="368"/>
    </row>
    <row r="108" spans="2:12" ht="17" thickBot="1" x14ac:dyDescent="0.25">
      <c r="B108" s="15"/>
      <c r="C108" s="16"/>
      <c r="D108" s="16"/>
      <c r="E108" s="16"/>
      <c r="F108" s="126">
        <f>NPV(F93/100,C99:C105)+C98</f>
        <v>6369.2150791746317</v>
      </c>
      <c r="G108" s="124" t="s">
        <v>1022</v>
      </c>
      <c r="H108" s="1" t="s">
        <v>227</v>
      </c>
      <c r="J108" s="368" t="s">
        <v>3365</v>
      </c>
      <c r="K108" s="368"/>
      <c r="L108" s="368"/>
    </row>
    <row r="109" spans="2:12" x14ac:dyDescent="0.2">
      <c r="J109" s="368" t="s">
        <v>3366</v>
      </c>
      <c r="K109" s="368"/>
      <c r="L109" s="368"/>
    </row>
    <row r="110" spans="2:12" x14ac:dyDescent="0.2">
      <c r="B110" s="1" t="s">
        <v>3360</v>
      </c>
      <c r="J110" s="368" t="s">
        <v>3367</v>
      </c>
      <c r="K110" s="368"/>
      <c r="L110" s="368"/>
    </row>
    <row r="111" spans="2:12" x14ac:dyDescent="0.2">
      <c r="B111" s="1" t="s">
        <v>3361</v>
      </c>
    </row>
    <row r="112" spans="2:12" x14ac:dyDescent="0.2">
      <c r="B112" s="1" t="s">
        <v>3362</v>
      </c>
    </row>
    <row r="116" spans="1:11" x14ac:dyDescent="0.2">
      <c r="B116" s="1" t="s">
        <v>3363</v>
      </c>
    </row>
    <row r="117" spans="1:11" x14ac:dyDescent="0.2">
      <c r="B117" s="1" t="s">
        <v>3368</v>
      </c>
    </row>
    <row r="119" spans="1:11" ht="17" thickBot="1" x14ac:dyDescent="0.25"/>
    <row r="120" spans="1:11" x14ac:dyDescent="0.2">
      <c r="A120" s="12" t="s">
        <v>3369</v>
      </c>
      <c r="B120" s="13"/>
      <c r="C120" s="13"/>
      <c r="D120" s="13"/>
      <c r="E120" s="13"/>
      <c r="F120" s="13"/>
      <c r="G120" s="13"/>
      <c r="H120" s="13"/>
      <c r="I120" s="13"/>
      <c r="J120" s="13"/>
      <c r="K120" s="14"/>
    </row>
    <row r="121" spans="1:11" x14ac:dyDescent="0.2">
      <c r="A121" s="72" t="s">
        <v>3370</v>
      </c>
      <c r="K121" s="73"/>
    </row>
    <row r="122" spans="1:11" ht="17" thickBot="1" x14ac:dyDescent="0.25">
      <c r="A122" s="15" t="s">
        <v>3371</v>
      </c>
      <c r="B122" s="16"/>
      <c r="C122" s="16"/>
      <c r="D122" s="16"/>
      <c r="E122" s="16"/>
      <c r="F122" s="16"/>
      <c r="G122" s="16"/>
      <c r="H122" s="16"/>
      <c r="I122" s="16"/>
      <c r="J122" s="16"/>
      <c r="K122" s="17"/>
    </row>
    <row r="125" spans="1:11" ht="17" thickBot="1" x14ac:dyDescent="0.25"/>
    <row r="126" spans="1:11" ht="17" thickBot="1" x14ac:dyDescent="0.25">
      <c r="A126" s="60" t="s">
        <v>876</v>
      </c>
      <c r="B126" s="61"/>
      <c r="C126" s="61"/>
      <c r="D126" s="61"/>
      <c r="E126" s="61"/>
      <c r="F126" s="61"/>
      <c r="G126" s="61"/>
      <c r="H126" s="127"/>
    </row>
    <row r="128" spans="1:11" x14ac:dyDescent="0.2">
      <c r="A128" s="1" t="s">
        <v>3374</v>
      </c>
    </row>
    <row r="129" spans="1:8" x14ac:dyDescent="0.2">
      <c r="A129" s="1" t="s">
        <v>3375</v>
      </c>
    </row>
    <row r="130" spans="1:8" x14ac:dyDescent="0.2">
      <c r="A130" s="1" t="s">
        <v>3376</v>
      </c>
    </row>
    <row r="131" spans="1:8" x14ac:dyDescent="0.2">
      <c r="A131" s="1" t="s">
        <v>3377</v>
      </c>
    </row>
    <row r="133" spans="1:8" x14ac:dyDescent="0.2">
      <c r="A133" s="1" t="s">
        <v>3378</v>
      </c>
    </row>
    <row r="134" spans="1:8" x14ac:dyDescent="0.2">
      <c r="A134" s="1" t="s">
        <v>3379</v>
      </c>
    </row>
    <row r="136" spans="1:8" x14ac:dyDescent="0.2">
      <c r="A136" s="1" t="s">
        <v>3380</v>
      </c>
    </row>
    <row r="137" spans="1:8" x14ac:dyDescent="0.2">
      <c r="A137" s="1" t="s">
        <v>3381</v>
      </c>
    </row>
    <row r="139" spans="1:8" x14ac:dyDescent="0.2">
      <c r="A139" s="1" t="s">
        <v>1026</v>
      </c>
    </row>
    <row r="140" spans="1:8" x14ac:dyDescent="0.2">
      <c r="C140" s="128" t="s">
        <v>1032</v>
      </c>
      <c r="D140" s="128" t="s">
        <v>1010</v>
      </c>
      <c r="E140" s="128" t="s">
        <v>1011</v>
      </c>
      <c r="F140" s="280" t="s">
        <v>1029</v>
      </c>
      <c r="G140" s="280"/>
    </row>
    <row r="141" spans="1:8" x14ac:dyDescent="0.2">
      <c r="A141" s="1" t="s">
        <v>3372</v>
      </c>
      <c r="C141" s="128" t="s">
        <v>1028</v>
      </c>
      <c r="D141" s="278">
        <f>F66</f>
        <v>0.17763328083126506</v>
      </c>
      <c r="E141" s="129">
        <f>F67</f>
        <v>0.11718677399898092</v>
      </c>
      <c r="F141" s="280" t="s">
        <v>1010</v>
      </c>
      <c r="G141" s="280" t="s">
        <v>1030</v>
      </c>
    </row>
    <row r="142" spans="1:8" x14ac:dyDescent="0.2">
      <c r="A142" s="1" t="s">
        <v>3373</v>
      </c>
      <c r="C142" s="128" t="s">
        <v>1027</v>
      </c>
      <c r="D142" s="130">
        <f>F107</f>
        <v>4547.686031669853</v>
      </c>
      <c r="E142" s="279">
        <f>F108</f>
        <v>6369.2150791746317</v>
      </c>
      <c r="F142" s="280" t="s">
        <v>1011</v>
      </c>
      <c r="G142" s="280" t="s">
        <v>1031</v>
      </c>
    </row>
    <row r="143" spans="1:8" ht="17" thickBot="1" x14ac:dyDescent="0.25"/>
    <row r="144" spans="1:8" ht="17" thickBot="1" x14ac:dyDescent="0.25">
      <c r="A144" s="60" t="s">
        <v>877</v>
      </c>
      <c r="B144" s="8"/>
      <c r="C144" s="8"/>
      <c r="D144" s="8"/>
      <c r="E144" s="8"/>
      <c r="F144" s="8"/>
      <c r="G144" s="8"/>
      <c r="H144" s="9"/>
    </row>
    <row r="146" spans="1:10" x14ac:dyDescent="0.2">
      <c r="A146" s="1" t="s">
        <v>3382</v>
      </c>
    </row>
    <row r="147" spans="1:10" x14ac:dyDescent="0.2">
      <c r="A147" s="1" t="s">
        <v>3383</v>
      </c>
    </row>
    <row r="157" spans="1:10" x14ac:dyDescent="0.2">
      <c r="J157" s="1" t="s">
        <v>3110</v>
      </c>
    </row>
    <row r="158" spans="1:10" x14ac:dyDescent="0.2">
      <c r="J158" s="1" t="s">
        <v>3384</v>
      </c>
    </row>
    <row r="159" spans="1:10" x14ac:dyDescent="0.2">
      <c r="J159" s="1" t="s">
        <v>3385</v>
      </c>
    </row>
    <row r="160" spans="1:10" x14ac:dyDescent="0.2">
      <c r="J160" s="1" t="s">
        <v>3386</v>
      </c>
    </row>
    <row r="161" spans="1:10" x14ac:dyDescent="0.2">
      <c r="J161" s="1" t="s">
        <v>3387</v>
      </c>
    </row>
    <row r="162" spans="1:10" x14ac:dyDescent="0.2">
      <c r="J162" s="1" t="s">
        <v>3388</v>
      </c>
    </row>
    <row r="163" spans="1:10" x14ac:dyDescent="0.2">
      <c r="A163" s="1" t="s">
        <v>1033</v>
      </c>
      <c r="J163" s="1" t="s">
        <v>3389</v>
      </c>
    </row>
    <row r="164" spans="1:10" x14ac:dyDescent="0.2">
      <c r="A164" s="1" t="s">
        <v>1034</v>
      </c>
      <c r="J164" s="1" t="s">
        <v>3390</v>
      </c>
    </row>
    <row r="165" spans="1:10" ht="17" thickBot="1" x14ac:dyDescent="0.25"/>
    <row r="166" spans="1:10" ht="17" thickBot="1" x14ac:dyDescent="0.25">
      <c r="A166" s="60" t="s">
        <v>878</v>
      </c>
      <c r="B166" s="8"/>
      <c r="C166" s="8"/>
      <c r="D166" s="8"/>
      <c r="E166" s="8"/>
      <c r="F166" s="8"/>
      <c r="G166" s="8"/>
      <c r="H166" s="9"/>
    </row>
    <row r="168" spans="1:10" x14ac:dyDescent="0.2">
      <c r="A168" s="1" t="s">
        <v>1035</v>
      </c>
    </row>
    <row r="169" spans="1:10" x14ac:dyDescent="0.2">
      <c r="A169" s="1" t="s">
        <v>1036</v>
      </c>
    </row>
    <row r="171" spans="1:10" x14ac:dyDescent="0.2">
      <c r="B171" s="1" t="s">
        <v>3391</v>
      </c>
    </row>
    <row r="173" spans="1:10" x14ac:dyDescent="0.2">
      <c r="B173" s="241" t="s">
        <v>3392</v>
      </c>
      <c r="C173" s="241"/>
      <c r="D173" s="241"/>
      <c r="E173" s="241"/>
      <c r="F173" s="241"/>
      <c r="G173" s="241"/>
      <c r="H173" s="241"/>
    </row>
    <row r="174" spans="1:10" ht="17" thickBot="1" x14ac:dyDescent="0.25">
      <c r="B174" s="241" t="s">
        <v>3393</v>
      </c>
      <c r="C174" s="241"/>
      <c r="D174" s="241"/>
      <c r="E174" s="241"/>
      <c r="F174" s="241"/>
      <c r="G174" s="241"/>
      <c r="H174" s="241"/>
    </row>
    <row r="175" spans="1:10" x14ac:dyDescent="0.2">
      <c r="B175" s="109" t="s">
        <v>3394</v>
      </c>
      <c r="C175" s="240"/>
      <c r="D175" s="240"/>
      <c r="E175" s="240"/>
      <c r="F175" s="240"/>
      <c r="G175" s="240"/>
      <c r="H175" s="110"/>
    </row>
    <row r="176" spans="1:10" x14ac:dyDescent="0.2">
      <c r="B176" s="111"/>
      <c r="C176" s="241" t="s">
        <v>3395</v>
      </c>
      <c r="D176" s="241"/>
      <c r="E176" s="241"/>
      <c r="F176" s="241" t="s">
        <v>3397</v>
      </c>
      <c r="G176" s="241"/>
      <c r="H176" s="112"/>
    </row>
    <row r="177" spans="1:8" x14ac:dyDescent="0.2">
      <c r="B177" s="111"/>
      <c r="C177" s="241" t="s">
        <v>3396</v>
      </c>
      <c r="D177" s="241"/>
      <c r="E177" s="241"/>
      <c r="F177" s="241" t="s">
        <v>3398</v>
      </c>
      <c r="G177" s="241"/>
      <c r="H177" s="112"/>
    </row>
    <row r="178" spans="1:8" ht="17" thickBot="1" x14ac:dyDescent="0.25">
      <c r="B178" s="113"/>
      <c r="C178" s="244"/>
      <c r="D178" s="244"/>
      <c r="E178" s="244"/>
      <c r="F178" s="244" t="s">
        <v>3399</v>
      </c>
      <c r="G178" s="244"/>
      <c r="H178" s="114"/>
    </row>
    <row r="180" spans="1:8" ht="17" thickBot="1" x14ac:dyDescent="0.25"/>
    <row r="181" spans="1:8" x14ac:dyDescent="0.2">
      <c r="A181" s="132" t="s">
        <v>879</v>
      </c>
      <c r="B181" s="13"/>
      <c r="C181" s="13"/>
      <c r="D181" s="13"/>
      <c r="E181" s="13"/>
      <c r="F181" s="13"/>
      <c r="G181" s="13"/>
      <c r="H181" s="14"/>
    </row>
    <row r="182" spans="1:8" ht="17" thickBot="1" x14ac:dyDescent="0.25">
      <c r="A182" s="133" t="s">
        <v>880</v>
      </c>
      <c r="B182" s="16"/>
      <c r="C182" s="16"/>
      <c r="D182" s="16"/>
      <c r="E182" s="16"/>
      <c r="F182" s="16"/>
      <c r="G182" s="16"/>
      <c r="H182" s="17"/>
    </row>
    <row r="184" spans="1:8" x14ac:dyDescent="0.2">
      <c r="A184" s="1" t="s">
        <v>1037</v>
      </c>
    </row>
    <row r="185" spans="1:8" x14ac:dyDescent="0.2">
      <c r="A185" s="1" t="s">
        <v>1038</v>
      </c>
    </row>
    <row r="187" spans="1:8" x14ac:dyDescent="0.2">
      <c r="A187" s="1" t="s">
        <v>1039</v>
      </c>
    </row>
    <row r="188" spans="1:8" x14ac:dyDescent="0.2">
      <c r="A188" s="1" t="s">
        <v>1040</v>
      </c>
    </row>
    <row r="189" spans="1:8" x14ac:dyDescent="0.2">
      <c r="A189" s="1" t="s">
        <v>1041</v>
      </c>
    </row>
    <row r="190" spans="1:8" x14ac:dyDescent="0.2">
      <c r="A190" s="1" t="s">
        <v>1042</v>
      </c>
    </row>
    <row r="192" spans="1:8" x14ac:dyDescent="0.2">
      <c r="E192" s="20" t="s">
        <v>1027</v>
      </c>
    </row>
    <row r="194" spans="1:12" x14ac:dyDescent="0.2">
      <c r="E194" s="483">
        <v>15605</v>
      </c>
    </row>
    <row r="196" spans="1:12" x14ac:dyDescent="0.2">
      <c r="E196" s="483">
        <v>8242</v>
      </c>
    </row>
    <row r="199" spans="1:12" x14ac:dyDescent="0.2">
      <c r="A199" s="20" t="s">
        <v>2186</v>
      </c>
    </row>
    <row r="200" spans="1:12" x14ac:dyDescent="0.2">
      <c r="A200" s="20" t="s">
        <v>3400</v>
      </c>
    </row>
    <row r="201" spans="1:12" x14ac:dyDescent="0.2">
      <c r="A201" s="20" t="s">
        <v>3401</v>
      </c>
    </row>
    <row r="202" spans="1:12" x14ac:dyDescent="0.2">
      <c r="D202" s="434" t="s">
        <v>3431</v>
      </c>
      <c r="E202" s="434"/>
    </row>
    <row r="203" spans="1:12" x14ac:dyDescent="0.2">
      <c r="D203" s="434" t="s">
        <v>3432</v>
      </c>
      <c r="E203" s="434"/>
    </row>
    <row r="205" spans="1:12" x14ac:dyDescent="0.2">
      <c r="A205" s="1" t="s">
        <v>3402</v>
      </c>
    </row>
    <row r="206" spans="1:12" x14ac:dyDescent="0.2">
      <c r="A206" s="1" t="s">
        <v>3405</v>
      </c>
      <c r="H206" s="1" t="s">
        <v>3406</v>
      </c>
    </row>
    <row r="207" spans="1:12" x14ac:dyDescent="0.2">
      <c r="A207" s="1" t="s">
        <v>3403</v>
      </c>
      <c r="H207" s="1" t="s">
        <v>3408</v>
      </c>
    </row>
    <row r="208" spans="1:12" x14ac:dyDescent="0.2">
      <c r="A208" s="1" t="s">
        <v>3404</v>
      </c>
      <c r="H208" s="1" t="s">
        <v>3409</v>
      </c>
      <c r="J208" s="1">
        <f>-30000+6515*7</f>
        <v>15605</v>
      </c>
      <c r="K208" s="1" t="s">
        <v>3412</v>
      </c>
      <c r="L208" s="1">
        <f>-10000+2606*7</f>
        <v>8242</v>
      </c>
    </row>
    <row r="210" spans="1:11" x14ac:dyDescent="0.2">
      <c r="A210" s="1" t="s">
        <v>3414</v>
      </c>
      <c r="H210" s="1" t="s">
        <v>3407</v>
      </c>
    </row>
    <row r="211" spans="1:11" x14ac:dyDescent="0.2">
      <c r="A211" s="1" t="s">
        <v>3415</v>
      </c>
      <c r="H211" s="1" t="s">
        <v>3410</v>
      </c>
    </row>
    <row r="212" spans="1:11" x14ac:dyDescent="0.2">
      <c r="A212" s="1" t="s">
        <v>3416</v>
      </c>
      <c r="H212" s="1" t="s">
        <v>3411</v>
      </c>
      <c r="K212" s="1" t="s">
        <v>3413</v>
      </c>
    </row>
    <row r="213" spans="1:11" x14ac:dyDescent="0.2">
      <c r="A213" s="1" t="s">
        <v>3417</v>
      </c>
    </row>
    <row r="217" spans="1:11" x14ac:dyDescent="0.2">
      <c r="A217" s="1" t="s">
        <v>3418</v>
      </c>
      <c r="D217" s="1" t="s">
        <v>3423</v>
      </c>
    </row>
    <row r="218" spans="1:11" x14ac:dyDescent="0.2">
      <c r="A218" s="1" t="s">
        <v>3419</v>
      </c>
      <c r="D218" s="1" t="s">
        <v>3424</v>
      </c>
    </row>
    <row r="219" spans="1:11" x14ac:dyDescent="0.2">
      <c r="A219" s="1" t="s">
        <v>3420</v>
      </c>
      <c r="D219" s="1" t="s">
        <v>3430</v>
      </c>
    </row>
    <row r="220" spans="1:11" x14ac:dyDescent="0.2">
      <c r="A220" s="1" t="s">
        <v>3421</v>
      </c>
      <c r="G220" s="48" t="s">
        <v>1043</v>
      </c>
      <c r="H220" s="20" t="s">
        <v>87</v>
      </c>
      <c r="I220" s="20" t="s">
        <v>87</v>
      </c>
    </row>
    <row r="221" spans="1:11" x14ac:dyDescent="0.2">
      <c r="A221" s="1" t="s">
        <v>3422</v>
      </c>
      <c r="G221" s="117" t="s">
        <v>1044</v>
      </c>
      <c r="H221" s="27" t="s">
        <v>1011</v>
      </c>
      <c r="I221" s="27" t="s">
        <v>1010</v>
      </c>
      <c r="J221" s="10"/>
    </row>
    <row r="222" spans="1:11" x14ac:dyDescent="0.2">
      <c r="F222" s="1" t="s">
        <v>3425</v>
      </c>
      <c r="G222" s="484">
        <f>H222-I222</f>
        <v>-20000</v>
      </c>
      <c r="H222" s="120">
        <v>-30000</v>
      </c>
      <c r="I222" s="120">
        <v>-10000</v>
      </c>
      <c r="J222" s="1">
        <v>1</v>
      </c>
    </row>
    <row r="223" spans="1:11" x14ac:dyDescent="0.2">
      <c r="F223" s="1" t="s">
        <v>3426</v>
      </c>
      <c r="G223" s="484">
        <f t="shared" ref="G223:G229" si="3">H223-I223</f>
        <v>3909</v>
      </c>
      <c r="H223" s="120">
        <v>6515</v>
      </c>
      <c r="I223" s="120">
        <v>2606</v>
      </c>
      <c r="J223" s="1">
        <v>2</v>
      </c>
    </row>
    <row r="224" spans="1:11" x14ac:dyDescent="0.2">
      <c r="G224" s="484">
        <f t="shared" si="3"/>
        <v>3909</v>
      </c>
      <c r="H224" s="120">
        <v>6515</v>
      </c>
      <c r="I224" s="120">
        <v>2606</v>
      </c>
      <c r="J224" s="1">
        <v>3</v>
      </c>
    </row>
    <row r="225" spans="1:11" x14ac:dyDescent="0.2">
      <c r="G225" s="484">
        <f t="shared" si="3"/>
        <v>3909</v>
      </c>
      <c r="H225" s="120">
        <v>6515</v>
      </c>
      <c r="I225" s="120">
        <v>2606</v>
      </c>
      <c r="J225" s="1">
        <v>4</v>
      </c>
    </row>
    <row r="226" spans="1:11" x14ac:dyDescent="0.2">
      <c r="A226" s="1" t="s">
        <v>3429</v>
      </c>
      <c r="G226" s="484">
        <f t="shared" si="3"/>
        <v>3909</v>
      </c>
      <c r="H226" s="120">
        <v>6515</v>
      </c>
      <c r="I226" s="120">
        <v>2606</v>
      </c>
      <c r="J226" s="1">
        <v>5</v>
      </c>
    </row>
    <row r="227" spans="1:11" x14ac:dyDescent="0.2">
      <c r="G227" s="484">
        <f t="shared" si="3"/>
        <v>3909</v>
      </c>
      <c r="H227" s="120">
        <v>6515</v>
      </c>
      <c r="I227" s="120">
        <v>2606</v>
      </c>
      <c r="J227" s="1">
        <v>6</v>
      </c>
    </row>
    <row r="228" spans="1:11" x14ac:dyDescent="0.2">
      <c r="A228" s="156">
        <f>IRR(G222:G229)</f>
        <v>8.5122044548703313E-2</v>
      </c>
      <c r="B228" s="491" t="s">
        <v>3428</v>
      </c>
      <c r="C228" s="491"/>
      <c r="E228" s="20" t="s">
        <v>3427</v>
      </c>
      <c r="G228" s="484">
        <f t="shared" si="3"/>
        <v>3909</v>
      </c>
      <c r="H228" s="120">
        <v>6515</v>
      </c>
      <c r="I228" s="120">
        <v>2606</v>
      </c>
      <c r="J228" s="1">
        <v>7</v>
      </c>
    </row>
    <row r="229" spans="1:11" x14ac:dyDescent="0.2">
      <c r="G229" s="484">
        <f t="shared" si="3"/>
        <v>3909</v>
      </c>
      <c r="H229" s="120">
        <v>6515</v>
      </c>
      <c r="I229" s="120">
        <v>2606</v>
      </c>
      <c r="J229" s="1">
        <v>8</v>
      </c>
    </row>
    <row r="230" spans="1:11" ht="17" thickBot="1" x14ac:dyDescent="0.25"/>
    <row r="231" spans="1:11" x14ac:dyDescent="0.2">
      <c r="A231" s="12" t="s">
        <v>3369</v>
      </c>
      <c r="B231" s="13"/>
      <c r="C231" s="13"/>
      <c r="D231" s="13"/>
      <c r="E231" s="13"/>
      <c r="F231" s="13"/>
      <c r="G231" s="13"/>
      <c r="H231" s="13"/>
      <c r="I231" s="13"/>
      <c r="J231" s="13"/>
      <c r="K231" s="14"/>
    </row>
    <row r="232" spans="1:11" x14ac:dyDescent="0.2">
      <c r="A232" s="72" t="s">
        <v>3433</v>
      </c>
      <c r="K232" s="73"/>
    </row>
    <row r="233" spans="1:11" x14ac:dyDescent="0.2">
      <c r="A233" s="72" t="s">
        <v>3434</v>
      </c>
      <c r="K233" s="73"/>
    </row>
    <row r="234" spans="1:11" x14ac:dyDescent="0.2">
      <c r="A234" s="72" t="s">
        <v>3435</v>
      </c>
      <c r="K234" s="73"/>
    </row>
    <row r="235" spans="1:11" x14ac:dyDescent="0.2">
      <c r="A235" s="72" t="s">
        <v>3436</v>
      </c>
      <c r="K235" s="73"/>
    </row>
    <row r="236" spans="1:11" ht="17" thickBot="1" x14ac:dyDescent="0.25">
      <c r="A236" s="15" t="s">
        <v>3437</v>
      </c>
      <c r="B236" s="16"/>
      <c r="C236" s="16"/>
      <c r="D236" s="16"/>
      <c r="E236" s="16"/>
      <c r="F236" s="16"/>
      <c r="G236" s="16"/>
      <c r="H236" s="16"/>
      <c r="I236" s="16"/>
      <c r="J236" s="16"/>
      <c r="K236" s="17"/>
    </row>
    <row r="238" spans="1:11" x14ac:dyDescent="0.2">
      <c r="A238" s="5" t="s">
        <v>3438</v>
      </c>
      <c r="B238" s="5"/>
      <c r="C238" s="5"/>
      <c r="D238" s="5"/>
      <c r="E238" s="5"/>
      <c r="F238" s="5"/>
      <c r="G238" s="5"/>
      <c r="H238" s="5"/>
      <c r="I238" s="5"/>
      <c r="J238" s="5"/>
      <c r="K238" s="5"/>
    </row>
    <row r="240" spans="1:11" x14ac:dyDescent="0.2">
      <c r="A240" s="1" t="s">
        <v>1007</v>
      </c>
    </row>
    <row r="241" spans="1:16" x14ac:dyDescent="0.2">
      <c r="G241" s="1" t="s">
        <v>84</v>
      </c>
    </row>
    <row r="242" spans="1:16" x14ac:dyDescent="0.2">
      <c r="A242" s="1" t="s">
        <v>1008</v>
      </c>
      <c r="G242" s="1" t="s">
        <v>63</v>
      </c>
      <c r="P242" s="20" t="s">
        <v>2185</v>
      </c>
    </row>
    <row r="243" spans="1:16" x14ac:dyDescent="0.2">
      <c r="P243" s="20" t="s">
        <v>1027</v>
      </c>
    </row>
    <row r="244" spans="1:16" x14ac:dyDescent="0.2">
      <c r="B244" s="48" t="s">
        <v>1043</v>
      </c>
      <c r="C244" s="20" t="s">
        <v>87</v>
      </c>
      <c r="D244" s="20" t="s">
        <v>87</v>
      </c>
      <c r="G244" s="1" t="s">
        <v>1009</v>
      </c>
    </row>
    <row r="245" spans="1:16" x14ac:dyDescent="0.2">
      <c r="B245" s="48" t="s">
        <v>1044</v>
      </c>
      <c r="C245" s="20" t="s">
        <v>1011</v>
      </c>
      <c r="D245" s="20" t="s">
        <v>1010</v>
      </c>
    </row>
    <row r="246" spans="1:16" x14ac:dyDescent="0.2">
      <c r="B246" s="274">
        <f>C246-D246</f>
        <v>-20000</v>
      </c>
      <c r="C246" s="120">
        <f t="shared" ref="C246:D253" si="4">C98</f>
        <v>-30000</v>
      </c>
      <c r="D246" s="120">
        <f t="shared" si="4"/>
        <v>-10000</v>
      </c>
      <c r="E246" s="1">
        <v>1</v>
      </c>
      <c r="F246" s="1" t="s">
        <v>2188</v>
      </c>
    </row>
    <row r="247" spans="1:16" x14ac:dyDescent="0.2">
      <c r="B247" s="274">
        <f t="shared" ref="B247:B253" si="5">C247-D247</f>
        <v>3909</v>
      </c>
      <c r="C247" s="120">
        <f t="shared" si="4"/>
        <v>6515</v>
      </c>
      <c r="D247" s="120">
        <f t="shared" si="4"/>
        <v>2606</v>
      </c>
      <c r="E247" s="1">
        <v>2</v>
      </c>
      <c r="I247" s="3">
        <f>SUM(D246:D253)</f>
        <v>8242</v>
      </c>
      <c r="J247" s="1" t="s">
        <v>2177</v>
      </c>
    </row>
    <row r="248" spans="1:16" x14ac:dyDescent="0.2">
      <c r="B248" s="274">
        <f t="shared" si="5"/>
        <v>3909</v>
      </c>
      <c r="C248" s="120">
        <f t="shared" si="4"/>
        <v>6515</v>
      </c>
      <c r="D248" s="120">
        <f t="shared" si="4"/>
        <v>2606</v>
      </c>
      <c r="E248" s="1">
        <v>3</v>
      </c>
      <c r="I248" s="3">
        <f>SUM(C246:C253)</f>
        <v>15605</v>
      </c>
      <c r="J248" s="1" t="s">
        <v>2178</v>
      </c>
    </row>
    <row r="249" spans="1:16" x14ac:dyDescent="0.2">
      <c r="B249" s="274">
        <f t="shared" si="5"/>
        <v>3909</v>
      </c>
      <c r="C249" s="120">
        <f t="shared" si="4"/>
        <v>6515</v>
      </c>
      <c r="D249" s="120">
        <f t="shared" si="4"/>
        <v>2606</v>
      </c>
      <c r="E249" s="1">
        <v>4</v>
      </c>
      <c r="F249" s="1" t="s">
        <v>2179</v>
      </c>
      <c r="I249" s="277">
        <f>D141</f>
        <v>0.17763328083126506</v>
      </c>
      <c r="J249" s="1" t="s">
        <v>2180</v>
      </c>
      <c r="K249" s="18" t="s">
        <v>2187</v>
      </c>
    </row>
    <row r="250" spans="1:16" x14ac:dyDescent="0.2">
      <c r="B250" s="274">
        <f t="shared" si="5"/>
        <v>3909</v>
      </c>
      <c r="C250" s="120">
        <f t="shared" si="4"/>
        <v>6515</v>
      </c>
      <c r="D250" s="120">
        <f t="shared" si="4"/>
        <v>2606</v>
      </c>
      <c r="E250" s="1">
        <v>5</v>
      </c>
      <c r="I250" s="277">
        <f>E141</f>
        <v>0.11718677399898092</v>
      </c>
      <c r="J250" s="1" t="s">
        <v>2181</v>
      </c>
    </row>
    <row r="251" spans="1:16" x14ac:dyDescent="0.2">
      <c r="B251" s="274">
        <f t="shared" si="5"/>
        <v>3909</v>
      </c>
      <c r="C251" s="120">
        <f t="shared" si="4"/>
        <v>6515</v>
      </c>
      <c r="D251" s="120">
        <f t="shared" si="4"/>
        <v>2606</v>
      </c>
      <c r="E251" s="1">
        <v>6</v>
      </c>
      <c r="F251" s="1" t="s">
        <v>2182</v>
      </c>
      <c r="I251" s="3">
        <f>D246</f>
        <v>-10000</v>
      </c>
      <c r="J251" s="1" t="s">
        <v>2183</v>
      </c>
    </row>
    <row r="252" spans="1:16" x14ac:dyDescent="0.2">
      <c r="B252" s="274">
        <f t="shared" si="5"/>
        <v>3909</v>
      </c>
      <c r="C252" s="120">
        <f t="shared" si="4"/>
        <v>6515</v>
      </c>
      <c r="D252" s="120">
        <f t="shared" si="4"/>
        <v>2606</v>
      </c>
      <c r="E252" s="1">
        <v>7</v>
      </c>
      <c r="I252" s="3">
        <f>C246</f>
        <v>-30000</v>
      </c>
      <c r="J252" s="1" t="s">
        <v>2184</v>
      </c>
      <c r="L252" s="20" t="s">
        <v>63</v>
      </c>
    </row>
    <row r="253" spans="1:16" x14ac:dyDescent="0.2">
      <c r="B253" s="274">
        <f t="shared" si="5"/>
        <v>3909</v>
      </c>
      <c r="C253" s="120">
        <f t="shared" si="4"/>
        <v>6515</v>
      </c>
      <c r="D253" s="120">
        <f t="shared" si="4"/>
        <v>2606</v>
      </c>
      <c r="E253" s="1">
        <v>8</v>
      </c>
      <c r="L253" s="20" t="s">
        <v>2186</v>
      </c>
    </row>
    <row r="255" spans="1:16" x14ac:dyDescent="0.2">
      <c r="B255" s="1" t="s">
        <v>1048</v>
      </c>
    </row>
    <row r="257" spans="1:11" ht="17" thickBot="1" x14ac:dyDescent="0.25"/>
    <row r="258" spans="1:11" ht="17" thickBot="1" x14ac:dyDescent="0.25">
      <c r="B258" s="7" t="s">
        <v>99</v>
      </c>
      <c r="C258" s="8"/>
      <c r="D258" s="8"/>
      <c r="E258" s="8"/>
      <c r="F258" s="131">
        <f>IRR(B246:B253)</f>
        <v>8.5122044548703313E-2</v>
      </c>
      <c r="G258" s="84" t="s">
        <v>1045</v>
      </c>
    </row>
    <row r="260" spans="1:11" x14ac:dyDescent="0.2">
      <c r="A260" s="1" t="s">
        <v>1046</v>
      </c>
    </row>
    <row r="261" spans="1:11" x14ac:dyDescent="0.2">
      <c r="A261" s="1" t="s">
        <v>1047</v>
      </c>
    </row>
    <row r="263" spans="1:11" x14ac:dyDescent="0.2">
      <c r="A263" s="5" t="s">
        <v>3439</v>
      </c>
      <c r="B263" s="5"/>
      <c r="C263" s="5"/>
      <c r="D263" s="5"/>
      <c r="E263" s="5"/>
      <c r="F263" s="5"/>
      <c r="G263" s="5"/>
      <c r="H263" s="5"/>
      <c r="I263" s="5"/>
      <c r="J263" s="5"/>
      <c r="K263" s="5"/>
    </row>
    <row r="275" spans="1:8" x14ac:dyDescent="0.2">
      <c r="A275" s="2" t="s">
        <v>887</v>
      </c>
      <c r="B275" s="2"/>
      <c r="C275" s="2"/>
      <c r="D275" s="2"/>
      <c r="E275" s="2"/>
      <c r="F275" s="2"/>
      <c r="G275" s="2"/>
      <c r="H275" s="97">
        <v>5.3</v>
      </c>
    </row>
    <row r="276" spans="1:8" x14ac:dyDescent="0.2">
      <c r="A276" s="2" t="s">
        <v>3440</v>
      </c>
      <c r="B276" s="2"/>
      <c r="C276" s="2"/>
      <c r="D276" s="2"/>
      <c r="E276" s="2"/>
      <c r="F276" s="2"/>
      <c r="G276" s="2"/>
      <c r="H276" s="97"/>
    </row>
    <row r="277" spans="1:8" x14ac:dyDescent="0.2">
      <c r="A277" s="2" t="s">
        <v>3441</v>
      </c>
      <c r="B277" s="2"/>
      <c r="C277" s="2"/>
      <c r="D277" s="2"/>
      <c r="E277" s="2"/>
      <c r="F277" s="2"/>
      <c r="G277" s="2"/>
      <c r="H277" s="97"/>
    </row>
    <row r="278" spans="1:8" s="116" customFormat="1" ht="17" thickBot="1" x14ac:dyDescent="0.25"/>
    <row r="279" spans="1:8" s="116" customFormat="1" x14ac:dyDescent="0.2">
      <c r="A279" s="116" t="s">
        <v>886</v>
      </c>
      <c r="F279" s="281" t="s">
        <v>2189</v>
      </c>
      <c r="G279" s="282"/>
      <c r="H279" s="283"/>
    </row>
    <row r="280" spans="1:8" s="116" customFormat="1" x14ac:dyDescent="0.2">
      <c r="F280" s="284" t="s">
        <v>2190</v>
      </c>
      <c r="H280" s="285"/>
    </row>
    <row r="281" spans="1:8" s="116" customFormat="1" x14ac:dyDescent="0.2">
      <c r="A281" s="117" t="s">
        <v>875</v>
      </c>
      <c r="B281" s="117" t="s">
        <v>872</v>
      </c>
      <c r="C281" s="117">
        <v>0</v>
      </c>
      <c r="D281" s="118">
        <v>1</v>
      </c>
      <c r="E281" s="117">
        <v>2</v>
      </c>
      <c r="F281" s="284" t="s">
        <v>2191</v>
      </c>
      <c r="H281" s="285"/>
    </row>
    <row r="282" spans="1:8" s="116" customFormat="1" x14ac:dyDescent="0.2">
      <c r="A282" s="48" t="s">
        <v>881</v>
      </c>
      <c r="B282" s="48" t="s">
        <v>883</v>
      </c>
      <c r="C282" s="119">
        <v>-12</v>
      </c>
      <c r="D282" s="119">
        <v>7</v>
      </c>
      <c r="E282" s="48">
        <v>7</v>
      </c>
      <c r="F282" s="284" t="s">
        <v>2192</v>
      </c>
      <c r="H282" s="285"/>
    </row>
    <row r="283" spans="1:8" s="116" customFormat="1" x14ac:dyDescent="0.2">
      <c r="A283" s="48" t="s">
        <v>882</v>
      </c>
      <c r="B283" s="48" t="s">
        <v>884</v>
      </c>
      <c r="C283" s="119">
        <v>-18</v>
      </c>
      <c r="D283" s="119">
        <v>90</v>
      </c>
      <c r="E283" s="48">
        <v>-90</v>
      </c>
      <c r="F283" s="284" t="s">
        <v>2193</v>
      </c>
      <c r="H283" s="285"/>
    </row>
    <row r="284" spans="1:8" s="116" customFormat="1" x14ac:dyDescent="0.2">
      <c r="F284" s="284" t="s">
        <v>2194</v>
      </c>
      <c r="H284" s="285"/>
    </row>
    <row r="285" spans="1:8" s="116" customFormat="1" x14ac:dyDescent="0.2">
      <c r="A285" s="116" t="s">
        <v>885</v>
      </c>
      <c r="F285" s="286" t="s">
        <v>2195</v>
      </c>
      <c r="H285" s="285"/>
    </row>
    <row r="286" spans="1:8" s="116" customFormat="1" x14ac:dyDescent="0.2">
      <c r="A286" s="116" t="s">
        <v>3442</v>
      </c>
      <c r="F286" s="284" t="s">
        <v>2196</v>
      </c>
      <c r="H286" s="285"/>
    </row>
    <row r="287" spans="1:8" s="116" customFormat="1" ht="17" thickBot="1" x14ac:dyDescent="0.25">
      <c r="A287" s="116" t="s">
        <v>888</v>
      </c>
      <c r="F287" s="287" t="s">
        <v>2197</v>
      </c>
      <c r="G287" s="288"/>
      <c r="H287" s="289"/>
    </row>
    <row r="288" spans="1:8" s="116" customFormat="1" x14ac:dyDescent="0.2">
      <c r="A288" s="116" t="s">
        <v>889</v>
      </c>
    </row>
    <row r="289" spans="1:8" s="116" customFormat="1" x14ac:dyDescent="0.2">
      <c r="A289" s="116" t="s">
        <v>943</v>
      </c>
    </row>
    <row r="290" spans="1:8" s="116" customFormat="1" ht="17" thickBot="1" x14ac:dyDescent="0.25"/>
    <row r="291" spans="1:8" ht="17" thickBot="1" x14ac:dyDescent="0.25">
      <c r="A291" s="60" t="s">
        <v>1005</v>
      </c>
      <c r="B291" s="8"/>
      <c r="C291" s="8"/>
      <c r="D291" s="8"/>
      <c r="E291" s="8"/>
      <c r="F291" s="8"/>
      <c r="G291" s="8"/>
      <c r="H291" s="9"/>
    </row>
    <row r="292" spans="1:8" s="116" customFormat="1" x14ac:dyDescent="0.2"/>
    <row r="293" spans="1:8" s="116" customFormat="1" x14ac:dyDescent="0.2">
      <c r="A293" s="116" t="s">
        <v>1050</v>
      </c>
    </row>
    <row r="294" spans="1:8" s="116" customFormat="1" x14ac:dyDescent="0.2">
      <c r="A294" s="116" t="s">
        <v>1051</v>
      </c>
    </row>
    <row r="295" spans="1:8" s="116" customFormat="1" x14ac:dyDescent="0.2">
      <c r="A295" s="116" t="s">
        <v>1052</v>
      </c>
    </row>
    <row r="296" spans="1:8" s="116" customFormat="1" x14ac:dyDescent="0.2">
      <c r="A296" s="116" t="s">
        <v>1053</v>
      </c>
    </row>
    <row r="297" spans="1:8" s="116" customFormat="1" x14ac:dyDescent="0.2"/>
    <row r="298" spans="1:8" s="116" customFormat="1" x14ac:dyDescent="0.2">
      <c r="A298" s="134" t="s">
        <v>1054</v>
      </c>
    </row>
    <row r="299" spans="1:8" s="116" customFormat="1" x14ac:dyDescent="0.2">
      <c r="A299" s="134" t="s">
        <v>1055</v>
      </c>
    </row>
    <row r="300" spans="1:8" s="116" customFormat="1" x14ac:dyDescent="0.2"/>
    <row r="301" spans="1:8" s="116" customFormat="1" x14ac:dyDescent="0.2">
      <c r="A301" s="116" t="s">
        <v>1056</v>
      </c>
    </row>
    <row r="302" spans="1:8" s="116" customFormat="1" x14ac:dyDescent="0.2">
      <c r="A302" s="116" t="s">
        <v>1057</v>
      </c>
    </row>
    <row r="303" spans="1:8" s="116" customFormat="1" x14ac:dyDescent="0.2"/>
    <row r="304" spans="1:8" s="116" customFormat="1" x14ac:dyDescent="0.2">
      <c r="A304" s="116" t="s">
        <v>1058</v>
      </c>
    </row>
    <row r="305" spans="1:6" s="116" customFormat="1" x14ac:dyDescent="0.2">
      <c r="A305" s="116" t="s">
        <v>1059</v>
      </c>
    </row>
    <row r="306" spans="1:6" s="116" customFormat="1" x14ac:dyDescent="0.2">
      <c r="A306" s="116" t="s">
        <v>1060</v>
      </c>
    </row>
    <row r="307" spans="1:6" s="116" customFormat="1" x14ac:dyDescent="0.2"/>
    <row r="308" spans="1:6" s="116" customFormat="1" x14ac:dyDescent="0.2">
      <c r="A308" s="134" t="s">
        <v>1062</v>
      </c>
    </row>
    <row r="309" spans="1:6" s="116" customFormat="1" x14ac:dyDescent="0.2">
      <c r="A309" s="116" t="s">
        <v>3443</v>
      </c>
    </row>
    <row r="310" spans="1:6" s="116" customFormat="1" x14ac:dyDescent="0.2">
      <c r="A310" s="116" t="s">
        <v>3444</v>
      </c>
    </row>
    <row r="311" spans="1:6" s="116" customFormat="1" x14ac:dyDescent="0.2">
      <c r="E311" s="48" t="s">
        <v>87</v>
      </c>
      <c r="F311" s="48"/>
    </row>
    <row r="312" spans="1:6" s="116" customFormat="1" x14ac:dyDescent="0.2">
      <c r="E312" s="48">
        <v>-12</v>
      </c>
      <c r="F312" s="48">
        <v>1</v>
      </c>
    </row>
    <row r="313" spans="1:6" s="116" customFormat="1" x14ac:dyDescent="0.2">
      <c r="E313" s="48">
        <v>7</v>
      </c>
      <c r="F313" s="48">
        <v>2</v>
      </c>
    </row>
    <row r="314" spans="1:6" s="116" customFormat="1" x14ac:dyDescent="0.2">
      <c r="B314" s="275">
        <f>IRR(E312:E314)</f>
        <v>0.10922570293048639</v>
      </c>
      <c r="D314" s="116" t="s">
        <v>2198</v>
      </c>
      <c r="E314" s="48">
        <v>7</v>
      </c>
      <c r="F314" s="48">
        <v>3</v>
      </c>
    </row>
    <row r="315" spans="1:6" s="116" customFormat="1" x14ac:dyDescent="0.2"/>
    <row r="316" spans="1:6" s="116" customFormat="1" x14ac:dyDescent="0.2"/>
    <row r="317" spans="1:6" s="116" customFormat="1" x14ac:dyDescent="0.2">
      <c r="A317" s="116" t="s">
        <v>1063</v>
      </c>
    </row>
    <row r="318" spans="1:6" s="116" customFormat="1" x14ac:dyDescent="0.2">
      <c r="A318" s="116" t="s">
        <v>1064</v>
      </c>
    </row>
    <row r="319" spans="1:6" s="116" customFormat="1" x14ac:dyDescent="0.2">
      <c r="A319" s="116" t="s">
        <v>1065</v>
      </c>
    </row>
    <row r="320" spans="1:6" s="116" customFormat="1" x14ac:dyDescent="0.2">
      <c r="A320" s="116" t="s">
        <v>1066</v>
      </c>
    </row>
    <row r="321" spans="1:10" s="116" customFormat="1" x14ac:dyDescent="0.2"/>
    <row r="322" spans="1:10" s="116" customFormat="1" x14ac:dyDescent="0.2">
      <c r="A322" s="134" t="s">
        <v>3445</v>
      </c>
    </row>
    <row r="323" spans="1:10" s="116" customFormat="1" x14ac:dyDescent="0.2">
      <c r="A323" s="116" t="s">
        <v>2199</v>
      </c>
    </row>
    <row r="324" spans="1:10" s="116" customFormat="1" x14ac:dyDescent="0.2">
      <c r="A324" s="116" t="s">
        <v>2200</v>
      </c>
    </row>
    <row r="325" spans="1:10" s="116" customFormat="1" x14ac:dyDescent="0.2">
      <c r="A325" s="116" t="s">
        <v>2201</v>
      </c>
    </row>
    <row r="326" spans="1:10" s="116" customFormat="1" x14ac:dyDescent="0.2">
      <c r="A326" s="116" t="s">
        <v>2202</v>
      </c>
      <c r="H326" s="485"/>
      <c r="I326" s="485" t="s">
        <v>3446</v>
      </c>
    </row>
    <row r="327" spans="1:10" s="116" customFormat="1" x14ac:dyDescent="0.2">
      <c r="A327" s="116" t="s">
        <v>2203</v>
      </c>
      <c r="H327" s="485"/>
      <c r="I327" s="485" t="s">
        <v>3447</v>
      </c>
    </row>
    <row r="328" spans="1:10" s="116" customFormat="1" x14ac:dyDescent="0.2">
      <c r="C328" s="117">
        <v>0</v>
      </c>
      <c r="D328" s="117">
        <v>1</v>
      </c>
      <c r="E328" s="117">
        <v>2</v>
      </c>
      <c r="H328" s="485"/>
      <c r="I328" s="485" t="s">
        <v>3448</v>
      </c>
    </row>
    <row r="329" spans="1:10" s="116" customFormat="1" x14ac:dyDescent="0.2">
      <c r="A329" s="48" t="s">
        <v>882</v>
      </c>
      <c r="B329" s="48" t="s">
        <v>884</v>
      </c>
      <c r="C329" s="290">
        <v>-18</v>
      </c>
      <c r="D329" s="291">
        <v>90</v>
      </c>
      <c r="E329" s="292">
        <v>-90</v>
      </c>
      <c r="H329" s="485"/>
      <c r="I329" s="485"/>
    </row>
    <row r="330" spans="1:10" s="116" customFormat="1" x14ac:dyDescent="0.2">
      <c r="H330" s="486" t="s">
        <v>3449</v>
      </c>
      <c r="I330" s="486"/>
      <c r="J330" s="52"/>
    </row>
    <row r="331" spans="1:10" s="116" customFormat="1" x14ac:dyDescent="0.2">
      <c r="C331" s="116" t="s">
        <v>2204</v>
      </c>
      <c r="H331" s="486" t="s">
        <v>3450</v>
      </c>
      <c r="I331" s="486"/>
      <c r="J331" s="52"/>
    </row>
    <row r="332" spans="1:10" s="116" customFormat="1" x14ac:dyDescent="0.2">
      <c r="H332" s="486" t="s">
        <v>3451</v>
      </c>
      <c r="I332" s="486"/>
      <c r="J332" s="52"/>
    </row>
    <row r="333" spans="1:10" s="116" customFormat="1" x14ac:dyDescent="0.2">
      <c r="C333" s="134" t="s">
        <v>2205</v>
      </c>
    </row>
    <row r="334" spans="1:10" s="116" customFormat="1" x14ac:dyDescent="0.2">
      <c r="C334" s="134" t="s">
        <v>2206</v>
      </c>
    </row>
    <row r="335" spans="1:10" s="116" customFormat="1" x14ac:dyDescent="0.2">
      <c r="C335" s="134"/>
    </row>
    <row r="336" spans="1:10" s="116" customFormat="1" x14ac:dyDescent="0.2">
      <c r="C336" s="134" t="s">
        <v>3452</v>
      </c>
    </row>
    <row r="337" spans="1:3" s="116" customFormat="1" x14ac:dyDescent="0.2"/>
    <row r="338" spans="1:3" s="116" customFormat="1" x14ac:dyDescent="0.2">
      <c r="A338" s="116" t="s">
        <v>1061</v>
      </c>
    </row>
    <row r="339" spans="1:3" s="116" customFormat="1" x14ac:dyDescent="0.2"/>
    <row r="340" spans="1:3" s="116" customFormat="1" x14ac:dyDescent="0.2">
      <c r="A340" s="116" t="s">
        <v>2207</v>
      </c>
    </row>
    <row r="341" spans="1:3" s="116" customFormat="1" x14ac:dyDescent="0.2"/>
    <row r="342" spans="1:3" s="116" customFormat="1" x14ac:dyDescent="0.2"/>
    <row r="343" spans="1:3" s="116" customFormat="1" x14ac:dyDescent="0.2"/>
    <row r="344" spans="1:3" s="116" customFormat="1" x14ac:dyDescent="0.2"/>
    <row r="345" spans="1:3" s="116" customFormat="1" x14ac:dyDescent="0.2">
      <c r="A345" s="116" t="s">
        <v>2208</v>
      </c>
    </row>
    <row r="346" spans="1:3" s="116" customFormat="1" x14ac:dyDescent="0.2">
      <c r="A346" s="116" t="s">
        <v>2209</v>
      </c>
    </row>
    <row r="347" spans="1:3" s="116" customFormat="1" x14ac:dyDescent="0.2">
      <c r="C347" s="116" t="s">
        <v>2210</v>
      </c>
    </row>
    <row r="348" spans="1:3" s="116" customFormat="1" x14ac:dyDescent="0.2">
      <c r="A348" s="116" t="s">
        <v>2211</v>
      </c>
    </row>
    <row r="349" spans="1:3" s="116" customFormat="1" x14ac:dyDescent="0.2"/>
    <row r="350" spans="1:3" s="116" customFormat="1" x14ac:dyDescent="0.2"/>
    <row r="351" spans="1:3" s="116" customFormat="1" x14ac:dyDescent="0.2">
      <c r="A351" s="116" t="s">
        <v>1067</v>
      </c>
    </row>
    <row r="352" spans="1:3" s="116" customFormat="1" x14ac:dyDescent="0.2">
      <c r="A352" s="116" t="s">
        <v>1068</v>
      </c>
    </row>
    <row r="353" spans="1:9" s="116" customFormat="1" x14ac:dyDescent="0.2">
      <c r="A353" s="116" t="s">
        <v>1069</v>
      </c>
      <c r="I353" s="135"/>
    </row>
    <row r="354" spans="1:9" s="116" customFormat="1" x14ac:dyDescent="0.2">
      <c r="A354" s="116" t="s">
        <v>1082</v>
      </c>
      <c r="I354" s="135"/>
    </row>
    <row r="355" spans="1:9" s="116" customFormat="1" x14ac:dyDescent="0.2">
      <c r="A355" s="116" t="s">
        <v>1083</v>
      </c>
      <c r="I355" s="135"/>
    </row>
    <row r="356" spans="1:9" s="116" customFormat="1" x14ac:dyDescent="0.2"/>
    <row r="357" spans="1:9" s="116" customFormat="1" x14ac:dyDescent="0.2">
      <c r="A357" s="116" t="s">
        <v>1070</v>
      </c>
    </row>
    <row r="358" spans="1:9" s="116" customFormat="1" ht="17" thickBot="1" x14ac:dyDescent="0.25"/>
    <row r="359" spans="1:9" ht="17" thickBot="1" x14ac:dyDescent="0.25">
      <c r="A359" s="136" t="s">
        <v>888</v>
      </c>
      <c r="B359" s="61"/>
      <c r="C359" s="61"/>
      <c r="D359" s="61"/>
      <c r="E359" s="61"/>
      <c r="F359" s="61"/>
      <c r="G359" s="61"/>
      <c r="H359" s="127"/>
    </row>
    <row r="360" spans="1:9" s="116" customFormat="1" x14ac:dyDescent="0.2"/>
    <row r="361" spans="1:9" s="116" customFormat="1" x14ac:dyDescent="0.2">
      <c r="A361" s="116" t="s">
        <v>1071</v>
      </c>
    </row>
    <row r="362" spans="1:9" s="116" customFormat="1" x14ac:dyDescent="0.2">
      <c r="A362" s="116" t="s">
        <v>1072</v>
      </c>
    </row>
    <row r="363" spans="1:9" s="116" customFormat="1" x14ac:dyDescent="0.2"/>
    <row r="364" spans="1:9" s="116" customFormat="1" x14ac:dyDescent="0.2">
      <c r="F364" s="116" t="s">
        <v>1181</v>
      </c>
    </row>
    <row r="365" spans="1:9" s="116" customFormat="1" x14ac:dyDescent="0.2">
      <c r="C365" s="48" t="s">
        <v>87</v>
      </c>
      <c r="D365" s="48" t="s">
        <v>87</v>
      </c>
      <c r="E365" s="48"/>
      <c r="H365" s="116" t="s">
        <v>2214</v>
      </c>
    </row>
    <row r="366" spans="1:9" s="116" customFormat="1" x14ac:dyDescent="0.2">
      <c r="C366" s="117" t="s">
        <v>882</v>
      </c>
      <c r="D366" s="117" t="s">
        <v>881</v>
      </c>
      <c r="E366" s="48"/>
      <c r="H366" s="116" t="s">
        <v>2215</v>
      </c>
    </row>
    <row r="367" spans="1:9" s="116" customFormat="1" x14ac:dyDescent="0.2">
      <c r="C367" s="48">
        <v>-18</v>
      </c>
      <c r="D367" s="48">
        <v>-12</v>
      </c>
      <c r="E367" s="48">
        <v>1</v>
      </c>
      <c r="H367" s="116" t="s">
        <v>2216</v>
      </c>
    </row>
    <row r="368" spans="1:9" s="116" customFormat="1" x14ac:dyDescent="0.2">
      <c r="C368" s="48">
        <v>90</v>
      </c>
      <c r="D368" s="48">
        <v>7</v>
      </c>
      <c r="E368" s="48">
        <v>2</v>
      </c>
      <c r="H368" s="116" t="s">
        <v>2217</v>
      </c>
    </row>
    <row r="369" spans="1:8" s="116" customFormat="1" x14ac:dyDescent="0.2">
      <c r="C369" s="48">
        <v>-90</v>
      </c>
      <c r="D369" s="48">
        <v>7</v>
      </c>
      <c r="E369" s="48">
        <v>3</v>
      </c>
      <c r="H369" s="116" t="s">
        <v>2218</v>
      </c>
    </row>
    <row r="370" spans="1:8" s="116" customFormat="1" x14ac:dyDescent="0.2">
      <c r="H370" s="116" t="s">
        <v>2219</v>
      </c>
    </row>
    <row r="371" spans="1:8" s="116" customFormat="1" x14ac:dyDescent="0.2">
      <c r="C371" s="116" t="s">
        <v>2221</v>
      </c>
      <c r="D371" s="293">
        <f>NPV(5%,D368:D369)+D367</f>
        <v>1.015873015873014</v>
      </c>
      <c r="F371" s="116" t="s">
        <v>2212</v>
      </c>
      <c r="H371" s="116" t="s">
        <v>2220</v>
      </c>
    </row>
    <row r="372" spans="1:8" s="116" customFormat="1" x14ac:dyDescent="0.2">
      <c r="C372" s="116" t="s">
        <v>2222</v>
      </c>
      <c r="D372" s="293">
        <f>NPV(5%,C368:C369)+C367</f>
        <v>-13.918367346938769</v>
      </c>
      <c r="F372" s="116" t="s">
        <v>2213</v>
      </c>
    </row>
    <row r="373" spans="1:8" s="116" customFormat="1" ht="17" thickBot="1" x14ac:dyDescent="0.25"/>
    <row r="374" spans="1:8" s="116" customFormat="1" ht="17" thickBot="1" x14ac:dyDescent="0.25">
      <c r="A374" s="136" t="s">
        <v>889</v>
      </c>
      <c r="B374" s="137"/>
      <c r="C374" s="137"/>
      <c r="D374" s="137"/>
      <c r="E374" s="137"/>
      <c r="F374" s="137"/>
      <c r="G374" s="137"/>
      <c r="H374" s="138"/>
    </row>
    <row r="376" spans="1:8" s="116" customFormat="1" x14ac:dyDescent="0.2"/>
    <row r="377" spans="1:8" s="116" customFormat="1" x14ac:dyDescent="0.2"/>
    <row r="378" spans="1:8" x14ac:dyDescent="0.2">
      <c r="A378" s="115"/>
    </row>
    <row r="379" spans="1:8" x14ac:dyDescent="0.2">
      <c r="A379" s="115"/>
    </row>
    <row r="387" spans="1:8" ht="17" thickBot="1" x14ac:dyDescent="0.25"/>
    <row r="388" spans="1:8" s="116" customFormat="1" ht="17" thickBot="1" x14ac:dyDescent="0.25">
      <c r="A388" s="136" t="s">
        <v>943</v>
      </c>
      <c r="B388" s="137"/>
      <c r="C388" s="137"/>
      <c r="D388" s="137"/>
      <c r="E388" s="137"/>
      <c r="F388" s="137"/>
      <c r="G388" s="137"/>
      <c r="H388" s="138"/>
    </row>
    <row r="390" spans="1:8" x14ac:dyDescent="0.2">
      <c r="A390" s="1" t="s">
        <v>1073</v>
      </c>
    </row>
    <row r="391" spans="1:8" x14ac:dyDescent="0.2">
      <c r="A391" s="1" t="s">
        <v>1074</v>
      </c>
    </row>
    <row r="393" spans="1:8" x14ac:dyDescent="0.2">
      <c r="A393" s="2" t="s">
        <v>890</v>
      </c>
      <c r="B393" s="2"/>
      <c r="C393" s="2"/>
      <c r="D393" s="2"/>
      <c r="E393" s="2"/>
      <c r="F393" s="2"/>
      <c r="G393" s="2"/>
      <c r="H393" s="97">
        <v>5.0999999999999996</v>
      </c>
    </row>
    <row r="395" spans="1:8" x14ac:dyDescent="0.2">
      <c r="A395" s="1" t="s">
        <v>936</v>
      </c>
    </row>
    <row r="396" spans="1:8" x14ac:dyDescent="0.2">
      <c r="A396" s="1" t="s">
        <v>937</v>
      </c>
    </row>
    <row r="397" spans="1:8" x14ac:dyDescent="0.2">
      <c r="A397" s="1" t="s">
        <v>939</v>
      </c>
    </row>
    <row r="398" spans="1:8" x14ac:dyDescent="0.2">
      <c r="A398" s="1" t="s">
        <v>891</v>
      </c>
    </row>
    <row r="399" spans="1:8" x14ac:dyDescent="0.2">
      <c r="A399" s="1" t="s">
        <v>938</v>
      </c>
    </row>
    <row r="401" spans="1:8" x14ac:dyDescent="0.2">
      <c r="A401" s="1" t="s">
        <v>940</v>
      </c>
    </row>
    <row r="402" spans="1:8" x14ac:dyDescent="0.2">
      <c r="A402" s="1" t="s">
        <v>941</v>
      </c>
    </row>
    <row r="403" spans="1:8" x14ac:dyDescent="0.2">
      <c r="A403" s="1" t="s">
        <v>942</v>
      </c>
    </row>
    <row r="404" spans="1:8" ht="17" thickBot="1" x14ac:dyDescent="0.25"/>
    <row r="405" spans="1:8" ht="17" thickBot="1" x14ac:dyDescent="0.25">
      <c r="A405" s="60" t="s">
        <v>146</v>
      </c>
      <c r="B405" s="8"/>
      <c r="C405" s="8"/>
      <c r="D405" s="8"/>
      <c r="E405" s="8"/>
      <c r="F405" s="8"/>
      <c r="G405" s="8"/>
      <c r="H405" s="9"/>
    </row>
    <row r="406" spans="1:8" x14ac:dyDescent="0.2">
      <c r="A406" s="18"/>
    </row>
    <row r="407" spans="1:8" x14ac:dyDescent="0.2">
      <c r="B407" s="506" t="s">
        <v>1077</v>
      </c>
      <c r="C407" s="507"/>
      <c r="D407" s="11" t="s">
        <v>1079</v>
      </c>
      <c r="E407" s="11" t="s">
        <v>1080</v>
      </c>
      <c r="F407" s="11" t="s">
        <v>1078</v>
      </c>
    </row>
    <row r="408" spans="1:8" x14ac:dyDescent="0.2">
      <c r="B408" s="11" t="s">
        <v>1075</v>
      </c>
      <c r="C408" s="11"/>
      <c r="D408" s="38">
        <v>-2000000</v>
      </c>
      <c r="E408" s="11">
        <v>0</v>
      </c>
      <c r="F408" s="38">
        <v>600000</v>
      </c>
    </row>
    <row r="409" spans="1:8" x14ac:dyDescent="0.2">
      <c r="B409" s="11" t="s">
        <v>1076</v>
      </c>
      <c r="C409" s="11"/>
      <c r="D409" s="11">
        <v>0</v>
      </c>
      <c r="E409" s="38">
        <v>400000</v>
      </c>
      <c r="F409" s="38">
        <v>400000</v>
      </c>
    </row>
    <row r="411" spans="1:8" x14ac:dyDescent="0.2">
      <c r="A411" s="1" t="s">
        <v>1081</v>
      </c>
    </row>
    <row r="416" spans="1:8" x14ac:dyDescent="0.2">
      <c r="A416" s="1" t="s">
        <v>1084</v>
      </c>
    </row>
    <row r="417" spans="1:8" x14ac:dyDescent="0.2">
      <c r="A417" s="1" t="s">
        <v>1085</v>
      </c>
    </row>
    <row r="418" spans="1:8" x14ac:dyDescent="0.2">
      <c r="A418" s="1" t="s">
        <v>1086</v>
      </c>
    </row>
    <row r="419" spans="1:8" x14ac:dyDescent="0.2">
      <c r="A419" s="1" t="s">
        <v>1087</v>
      </c>
    </row>
    <row r="421" spans="1:8" x14ac:dyDescent="0.2">
      <c r="A421" s="505" t="s">
        <v>3453</v>
      </c>
      <c r="B421" s="505"/>
      <c r="C421" s="505"/>
      <c r="D421" s="505"/>
      <c r="E421" s="505"/>
      <c r="F421" s="505"/>
      <c r="G421" s="505"/>
      <c r="H421" s="505"/>
    </row>
    <row r="423" spans="1:8" x14ac:dyDescent="0.2">
      <c r="A423" s="1" t="s">
        <v>3454</v>
      </c>
    </row>
    <row r="424" spans="1:8" x14ac:dyDescent="0.2">
      <c r="A424" s="1" t="s">
        <v>3455</v>
      </c>
    </row>
    <row r="425" spans="1:8" x14ac:dyDescent="0.2">
      <c r="A425" s="1" t="s">
        <v>3456</v>
      </c>
    </row>
    <row r="426" spans="1:8" x14ac:dyDescent="0.2">
      <c r="A426" s="1" t="s">
        <v>892</v>
      </c>
    </row>
    <row r="427" spans="1:8" x14ac:dyDescent="0.2">
      <c r="A427" s="1" t="s">
        <v>3457</v>
      </c>
    </row>
    <row r="428" spans="1:8" x14ac:dyDescent="0.2">
      <c r="A428" s="18" t="s">
        <v>893</v>
      </c>
    </row>
    <row r="429" spans="1:8" x14ac:dyDescent="0.2">
      <c r="A429" s="1" t="s">
        <v>894</v>
      </c>
    </row>
    <row r="431" spans="1:8" x14ac:dyDescent="0.2">
      <c r="C431" s="20" t="s">
        <v>739</v>
      </c>
      <c r="D431" s="20" t="s">
        <v>489</v>
      </c>
    </row>
    <row r="432" spans="1:8" x14ac:dyDescent="0.2">
      <c r="A432" s="10" t="s">
        <v>895</v>
      </c>
      <c r="B432" s="10"/>
      <c r="C432" s="27">
        <v>0</v>
      </c>
      <c r="D432" s="27" t="s">
        <v>905</v>
      </c>
    </row>
    <row r="433" spans="1:13" x14ac:dyDescent="0.2">
      <c r="A433" s="1" t="s">
        <v>896</v>
      </c>
      <c r="C433" s="20"/>
      <c r="D433" s="20" t="s">
        <v>906</v>
      </c>
      <c r="F433" s="1" t="s">
        <v>3458</v>
      </c>
    </row>
    <row r="434" spans="1:13" x14ac:dyDescent="0.2">
      <c r="A434" s="1" t="s">
        <v>897</v>
      </c>
      <c r="C434" s="20"/>
      <c r="D434" s="20" t="s">
        <v>907</v>
      </c>
      <c r="F434" s="1" t="s">
        <v>3459</v>
      </c>
    </row>
    <row r="435" spans="1:13" x14ac:dyDescent="0.2">
      <c r="A435" s="241" t="s">
        <v>898</v>
      </c>
      <c r="B435" s="241"/>
      <c r="C435" s="31"/>
      <c r="D435" s="31" t="s">
        <v>907</v>
      </c>
      <c r="F435" s="1" t="s">
        <v>3460</v>
      </c>
    </row>
    <row r="436" spans="1:13" x14ac:dyDescent="0.2">
      <c r="A436" s="1" t="s">
        <v>899</v>
      </c>
      <c r="C436" s="20"/>
      <c r="D436" s="98" t="s">
        <v>908</v>
      </c>
      <c r="F436" s="1" t="s">
        <v>3461</v>
      </c>
    </row>
    <row r="437" spans="1:13" x14ac:dyDescent="0.2">
      <c r="A437" s="1" t="s">
        <v>900</v>
      </c>
      <c r="C437" s="20"/>
      <c r="D437" s="20" t="s">
        <v>907</v>
      </c>
      <c r="F437" s="1" t="s">
        <v>3462</v>
      </c>
    </row>
    <row r="438" spans="1:13" x14ac:dyDescent="0.2">
      <c r="A438" s="1" t="s">
        <v>904</v>
      </c>
      <c r="C438" s="20"/>
      <c r="D438" s="98" t="s">
        <v>908</v>
      </c>
    </row>
    <row r="439" spans="1:13" x14ac:dyDescent="0.2">
      <c r="A439" s="1" t="s">
        <v>901</v>
      </c>
      <c r="C439" s="20" t="s">
        <v>907</v>
      </c>
      <c r="D439" s="20"/>
      <c r="F439" s="1" t="s">
        <v>3463</v>
      </c>
    </row>
    <row r="440" spans="1:13" x14ac:dyDescent="0.2">
      <c r="A440" s="1" t="s">
        <v>934</v>
      </c>
      <c r="C440" s="20"/>
      <c r="D440" s="20" t="s">
        <v>906</v>
      </c>
      <c r="F440" s="1" t="s">
        <v>3464</v>
      </c>
    </row>
    <row r="441" spans="1:13" x14ac:dyDescent="0.2">
      <c r="A441" s="241" t="s">
        <v>902</v>
      </c>
      <c r="B441" s="241"/>
      <c r="C441" s="31"/>
      <c r="D441" s="31" t="s">
        <v>906</v>
      </c>
    </row>
    <row r="442" spans="1:13" x14ac:dyDescent="0.2">
      <c r="A442" s="1" t="s">
        <v>903</v>
      </c>
      <c r="C442" s="98" t="s">
        <v>908</v>
      </c>
      <c r="D442" s="98" t="s">
        <v>908</v>
      </c>
    </row>
    <row r="444" spans="1:13" x14ac:dyDescent="0.2">
      <c r="A444" s="2" t="s">
        <v>909</v>
      </c>
      <c r="B444" s="2"/>
      <c r="C444" s="2"/>
      <c r="D444" s="2"/>
      <c r="E444" s="2"/>
      <c r="F444" s="2"/>
      <c r="G444" s="2"/>
      <c r="H444" s="2">
        <v>6.1</v>
      </c>
      <c r="I444" s="529"/>
      <c r="J444" s="529"/>
      <c r="K444" s="529"/>
      <c r="L444" s="529"/>
      <c r="M444" s="529"/>
    </row>
    <row r="445" spans="1:13" x14ac:dyDescent="0.2">
      <c r="I445" s="529"/>
      <c r="J445" s="529"/>
      <c r="K445" s="529"/>
      <c r="L445" s="529"/>
      <c r="M445" s="529"/>
    </row>
    <row r="446" spans="1:13" x14ac:dyDescent="0.2">
      <c r="A446" s="1" t="s">
        <v>910</v>
      </c>
      <c r="I446" s="529"/>
      <c r="J446" s="529"/>
      <c r="K446" s="530"/>
      <c r="L446" s="531"/>
      <c r="M446" s="529"/>
    </row>
    <row r="447" spans="1:13" x14ac:dyDescent="0.2">
      <c r="A447" s="1" t="s">
        <v>911</v>
      </c>
      <c r="I447" s="529"/>
      <c r="J447" s="529"/>
      <c r="K447" s="530"/>
      <c r="L447" s="530"/>
      <c r="M447" s="529"/>
    </row>
    <row r="448" spans="1:13" x14ac:dyDescent="0.2">
      <c r="A448" s="1" t="s">
        <v>912</v>
      </c>
      <c r="I448" s="529"/>
      <c r="J448" s="529"/>
      <c r="K448" s="530"/>
      <c r="L448" s="530"/>
      <c r="M448" s="529"/>
    </row>
    <row r="449" spans="1:13" x14ac:dyDescent="0.2">
      <c r="A449" s="1" t="s">
        <v>2223</v>
      </c>
      <c r="I449" s="529"/>
      <c r="J449" s="529"/>
      <c r="K449" s="529"/>
      <c r="L449" s="529"/>
      <c r="M449" s="529"/>
    </row>
    <row r="450" spans="1:13" x14ac:dyDescent="0.2">
      <c r="A450" s="1" t="s">
        <v>913</v>
      </c>
      <c r="I450" s="532"/>
      <c r="J450" s="532"/>
      <c r="K450" s="533"/>
      <c r="L450" s="533"/>
      <c r="M450" s="529"/>
    </row>
    <row r="451" spans="1:13" x14ac:dyDescent="0.2">
      <c r="A451" s="1" t="s">
        <v>914</v>
      </c>
      <c r="I451" s="529"/>
      <c r="J451" s="529"/>
      <c r="K451" s="530"/>
      <c r="L451" s="530"/>
      <c r="M451" s="529"/>
    </row>
    <row r="452" spans="1:13" x14ac:dyDescent="0.2">
      <c r="A452" s="1" t="s">
        <v>949</v>
      </c>
      <c r="I452" s="529"/>
      <c r="J452" s="529"/>
      <c r="K452" s="530"/>
      <c r="L452" s="530"/>
      <c r="M452" s="529"/>
    </row>
    <row r="453" spans="1:13" x14ac:dyDescent="0.2">
      <c r="A453" s="1" t="s">
        <v>915</v>
      </c>
      <c r="I453" s="529"/>
      <c r="J453" s="529"/>
      <c r="K453" s="530"/>
      <c r="L453" s="530"/>
      <c r="M453" s="529"/>
    </row>
    <row r="454" spans="1:13" x14ac:dyDescent="0.2">
      <c r="A454" s="1" t="s">
        <v>916</v>
      </c>
      <c r="I454" s="529"/>
      <c r="J454" s="529"/>
      <c r="K454" s="530"/>
      <c r="L454" s="530"/>
      <c r="M454" s="529"/>
    </row>
    <row r="455" spans="1:13" x14ac:dyDescent="0.2">
      <c r="I455" s="529"/>
      <c r="J455" s="529"/>
      <c r="K455" s="530"/>
      <c r="L455" s="530"/>
      <c r="M455" s="529"/>
    </row>
    <row r="456" spans="1:13" x14ac:dyDescent="0.2">
      <c r="A456" s="1" t="s">
        <v>885</v>
      </c>
      <c r="I456" s="532"/>
      <c r="J456" s="532"/>
      <c r="K456" s="533"/>
      <c r="L456" s="533"/>
      <c r="M456" s="529"/>
    </row>
    <row r="457" spans="1:13" x14ac:dyDescent="0.2">
      <c r="A457" s="1" t="s">
        <v>917</v>
      </c>
      <c r="I457" s="529"/>
      <c r="J457" s="529"/>
      <c r="K457" s="530"/>
      <c r="L457" s="530"/>
      <c r="M457" s="529"/>
    </row>
    <row r="458" spans="1:13" x14ac:dyDescent="0.2">
      <c r="A458" s="1" t="s">
        <v>918</v>
      </c>
    </row>
    <row r="459" spans="1:13" x14ac:dyDescent="0.2">
      <c r="A459" s="1" t="s">
        <v>3512</v>
      </c>
    </row>
    <row r="461" spans="1:13" x14ac:dyDescent="0.2">
      <c r="A461" s="99" t="s">
        <v>944</v>
      </c>
      <c r="B461" s="100"/>
      <c r="C461" s="100"/>
      <c r="D461" s="100"/>
      <c r="E461" s="100"/>
      <c r="F461" s="100"/>
      <c r="G461" s="100"/>
      <c r="H461" s="100"/>
    </row>
    <row r="462" spans="1:13" x14ac:dyDescent="0.2">
      <c r="C462" s="20" t="s">
        <v>739</v>
      </c>
      <c r="D462" s="20"/>
    </row>
    <row r="463" spans="1:13" x14ac:dyDescent="0.2">
      <c r="A463" s="10" t="s">
        <v>895</v>
      </c>
      <c r="B463" s="10"/>
      <c r="C463" s="27">
        <v>0</v>
      </c>
      <c r="D463" s="27">
        <v>1</v>
      </c>
      <c r="E463" s="27">
        <v>2</v>
      </c>
      <c r="F463" s="27">
        <v>3</v>
      </c>
      <c r="G463" s="27">
        <v>4</v>
      </c>
    </row>
    <row r="464" spans="1:13" s="116" customFormat="1" x14ac:dyDescent="0.2">
      <c r="A464" s="116" t="s">
        <v>896</v>
      </c>
      <c r="C464" s="48"/>
      <c r="D464" s="119">
        <v>80000</v>
      </c>
      <c r="E464" s="119">
        <f>D464</f>
        <v>80000</v>
      </c>
      <c r="F464" s="119">
        <f>E464</f>
        <v>80000</v>
      </c>
      <c r="G464" s="119">
        <f>F464</f>
        <v>80000</v>
      </c>
      <c r="H464" s="116" t="s">
        <v>3465</v>
      </c>
    </row>
    <row r="465" spans="1:15" x14ac:dyDescent="0.2">
      <c r="A465" s="116" t="s">
        <v>948</v>
      </c>
      <c r="B465" s="115"/>
      <c r="C465" s="218"/>
      <c r="D465" s="171">
        <f>-15000-10000</f>
        <v>-25000</v>
      </c>
      <c r="E465" s="171">
        <f>-15000-12000</f>
        <v>-27000</v>
      </c>
      <c r="F465" s="171">
        <f>-15000-12000*1.04</f>
        <v>-27480</v>
      </c>
      <c r="G465" s="171">
        <f>-15000-12000*1.04^2</f>
        <v>-27979.200000000001</v>
      </c>
      <c r="H465" s="1" t="s">
        <v>3466</v>
      </c>
    </row>
    <row r="466" spans="1:15" x14ac:dyDescent="0.2">
      <c r="A466" s="116" t="s">
        <v>898</v>
      </c>
      <c r="B466" s="116"/>
      <c r="C466" s="48"/>
      <c r="D466" s="295">
        <f>-100000/2</f>
        <v>-50000</v>
      </c>
      <c r="E466" s="295">
        <f>D466</f>
        <v>-50000</v>
      </c>
      <c r="F466" s="48">
        <v>0</v>
      </c>
      <c r="G466" s="48">
        <v>0</v>
      </c>
      <c r="H466" s="1" t="s">
        <v>3467</v>
      </c>
      <c r="O466" s="1" t="s">
        <v>3468</v>
      </c>
    </row>
    <row r="467" spans="1:15" s="116" customFormat="1" x14ac:dyDescent="0.2">
      <c r="A467" s="116" t="s">
        <v>899</v>
      </c>
      <c r="C467" s="48"/>
      <c r="D467" s="296">
        <f>SUM(D464:D466)</f>
        <v>5000</v>
      </c>
      <c r="E467" s="296">
        <f>SUM(E464:E466)</f>
        <v>3000</v>
      </c>
      <c r="F467" s="296">
        <f>SUM(F464:F466)</f>
        <v>52520</v>
      </c>
      <c r="G467" s="296">
        <f>SUM(G464:G466)</f>
        <v>52020.800000000003</v>
      </c>
      <c r="H467" s="116" t="s">
        <v>3469</v>
      </c>
    </row>
    <row r="468" spans="1:15" ht="17" thickBot="1" x14ac:dyDescent="0.25">
      <c r="A468" s="116" t="s">
        <v>950</v>
      </c>
      <c r="B468" s="116"/>
      <c r="C468" s="48"/>
      <c r="D468" s="295">
        <f>-23%*D467</f>
        <v>-1150</v>
      </c>
      <c r="E468" s="295">
        <f>-23%*E467</f>
        <v>-690</v>
      </c>
      <c r="F468" s="295">
        <f>-23%*F467</f>
        <v>-12079.6</v>
      </c>
      <c r="G468" s="295">
        <f>-23%*G467</f>
        <v>-11964.784000000001</v>
      </c>
      <c r="H468" s="1" t="s">
        <v>3470</v>
      </c>
    </row>
    <row r="469" spans="1:15" ht="17" thickBot="1" x14ac:dyDescent="0.25">
      <c r="A469" s="136" t="s">
        <v>951</v>
      </c>
      <c r="B469" s="137"/>
      <c r="C469" s="297"/>
      <c r="D469" s="298">
        <f>D467+D468</f>
        <v>3850</v>
      </c>
      <c r="E469" s="298">
        <f t="shared" ref="E469:G469" si="6">E467+E468</f>
        <v>2310</v>
      </c>
      <c r="F469" s="298">
        <f t="shared" si="6"/>
        <v>40440.400000000001</v>
      </c>
      <c r="G469" s="299">
        <f t="shared" si="6"/>
        <v>40056.016000000003</v>
      </c>
    </row>
    <row r="470" spans="1:15" x14ac:dyDescent="0.2">
      <c r="A470" s="116" t="s">
        <v>901</v>
      </c>
      <c r="B470" s="116"/>
      <c r="C470" s="171">
        <v>-100000</v>
      </c>
      <c r="D470" s="218"/>
      <c r="E470" s="218"/>
      <c r="F470" s="218"/>
      <c r="G470" s="218"/>
      <c r="H470" s="1" t="s">
        <v>3471</v>
      </c>
    </row>
    <row r="471" spans="1:15" s="116" customFormat="1" x14ac:dyDescent="0.2">
      <c r="A471" s="116" t="s">
        <v>934</v>
      </c>
      <c r="C471" s="48"/>
      <c r="D471" s="48"/>
      <c r="E471" s="48"/>
      <c r="F471" s="48"/>
      <c r="G471" s="48">
        <v>0</v>
      </c>
      <c r="H471" s="116" t="s">
        <v>3472</v>
      </c>
    </row>
    <row r="472" spans="1:15" s="116" customFormat="1" x14ac:dyDescent="0.2">
      <c r="A472" s="116" t="s">
        <v>902</v>
      </c>
      <c r="C472" s="48"/>
      <c r="D472" s="171">
        <f>-D466</f>
        <v>50000</v>
      </c>
      <c r="E472" s="171">
        <f>-E466</f>
        <v>50000</v>
      </c>
      <c r="F472" s="48">
        <v>0</v>
      </c>
      <c r="G472" s="48">
        <v>0</v>
      </c>
      <c r="H472" s="116" t="s">
        <v>3473</v>
      </c>
    </row>
    <row r="473" spans="1:15" s="18" customFormat="1" x14ac:dyDescent="0.2">
      <c r="A473" s="134" t="s">
        <v>903</v>
      </c>
      <c r="B473" s="294"/>
      <c r="C473" s="300">
        <f>SUM(C469:C472)</f>
        <v>-100000</v>
      </c>
      <c r="D473" s="300">
        <f>SUM(D469:D472)</f>
        <v>53850</v>
      </c>
      <c r="E473" s="300">
        <f>SUM(E469:E472)</f>
        <v>52310</v>
      </c>
      <c r="F473" s="300">
        <f>SUM(F469:F472)</f>
        <v>40440.400000000001</v>
      </c>
      <c r="G473" s="300">
        <f>SUM(G469:G472)</f>
        <v>40056.016000000003</v>
      </c>
    </row>
    <row r="476" spans="1:15" hidden="1" x14ac:dyDescent="0.2">
      <c r="A476" s="1" t="s">
        <v>945</v>
      </c>
    </row>
    <row r="477" spans="1:15" hidden="1" x14ac:dyDescent="0.2">
      <c r="A477" s="1" t="s">
        <v>946</v>
      </c>
    </row>
    <row r="478" spans="1:15" hidden="1" x14ac:dyDescent="0.2">
      <c r="A478" s="1" t="s">
        <v>947</v>
      </c>
    </row>
    <row r="479" spans="1:15" hidden="1" x14ac:dyDescent="0.2"/>
    <row r="480" spans="1:15" hidden="1" x14ac:dyDescent="0.2">
      <c r="A480" s="1" t="s">
        <v>952</v>
      </c>
    </row>
    <row r="481" spans="1:8" hidden="1" x14ac:dyDescent="0.2">
      <c r="A481" s="1" t="s">
        <v>953</v>
      </c>
    </row>
    <row r="482" spans="1:8" hidden="1" x14ac:dyDescent="0.2"/>
    <row r="483" spans="1:8" hidden="1" x14ac:dyDescent="0.2">
      <c r="A483" s="1" t="s">
        <v>954</v>
      </c>
    </row>
    <row r="484" spans="1:8" hidden="1" x14ac:dyDescent="0.2"/>
    <row r="485" spans="1:8" hidden="1" x14ac:dyDescent="0.2">
      <c r="A485" s="18" t="s">
        <v>403</v>
      </c>
    </row>
    <row r="486" spans="1:8" hidden="1" x14ac:dyDescent="0.2"/>
    <row r="487" spans="1:8" x14ac:dyDescent="0.2">
      <c r="H487" s="1" t="s">
        <v>3474</v>
      </c>
    </row>
    <row r="488" spans="1:8" x14ac:dyDescent="0.2">
      <c r="H488" s="1" t="s">
        <v>3475</v>
      </c>
    </row>
    <row r="489" spans="1:8" x14ac:dyDescent="0.2">
      <c r="H489" s="1" t="s">
        <v>3476</v>
      </c>
    </row>
    <row r="490" spans="1:8" x14ac:dyDescent="0.2">
      <c r="A490" s="1" t="s">
        <v>3478</v>
      </c>
      <c r="H490" s="1" t="s">
        <v>3477</v>
      </c>
    </row>
    <row r="491" spans="1:8" x14ac:dyDescent="0.2">
      <c r="A491" s="1" t="s">
        <v>3479</v>
      </c>
    </row>
    <row r="492" spans="1:8" x14ac:dyDescent="0.2">
      <c r="A492" s="1" t="s">
        <v>3480</v>
      </c>
    </row>
    <row r="494" spans="1:8" x14ac:dyDescent="0.2">
      <c r="A494" s="18" t="s">
        <v>3481</v>
      </c>
    </row>
    <row r="496" spans="1:8" x14ac:dyDescent="0.2">
      <c r="F496" s="20"/>
      <c r="G496" s="1" t="s">
        <v>955</v>
      </c>
    </row>
    <row r="497" spans="1:8" x14ac:dyDescent="0.2">
      <c r="A497" s="1" t="s">
        <v>956</v>
      </c>
      <c r="F497" s="20">
        <v>10</v>
      </c>
      <c r="G497" s="1" t="s">
        <v>63</v>
      </c>
      <c r="H497" s="1" t="s">
        <v>3482</v>
      </c>
    </row>
    <row r="498" spans="1:8" x14ac:dyDescent="0.2">
      <c r="D498" s="20" t="s">
        <v>87</v>
      </c>
      <c r="G498" s="1" t="s">
        <v>957</v>
      </c>
    </row>
    <row r="499" spans="1:8" x14ac:dyDescent="0.2">
      <c r="A499" s="1" t="s">
        <v>3483</v>
      </c>
      <c r="D499" s="150">
        <v>-100000</v>
      </c>
      <c r="E499" s="20">
        <v>1</v>
      </c>
    </row>
    <row r="500" spans="1:8" x14ac:dyDescent="0.2">
      <c r="A500" s="1" t="s">
        <v>3484</v>
      </c>
      <c r="D500" s="101">
        <v>53850</v>
      </c>
      <c r="E500" s="20">
        <v>2</v>
      </c>
    </row>
    <row r="501" spans="1:8" x14ac:dyDescent="0.2">
      <c r="A501" s="1" t="s">
        <v>3485</v>
      </c>
      <c r="D501" s="101">
        <v>52310</v>
      </c>
      <c r="E501" s="20">
        <v>3</v>
      </c>
    </row>
    <row r="502" spans="1:8" x14ac:dyDescent="0.2">
      <c r="D502" s="101">
        <v>40440</v>
      </c>
      <c r="E502" s="20">
        <v>4</v>
      </c>
    </row>
    <row r="503" spans="1:8" x14ac:dyDescent="0.2">
      <c r="D503" s="101">
        <v>40056</v>
      </c>
      <c r="E503" s="20">
        <v>5</v>
      </c>
      <c r="F503" s="20" t="s">
        <v>88</v>
      </c>
      <c r="G503" s="21" t="s">
        <v>89</v>
      </c>
      <c r="H503" s="1" t="s">
        <v>3486</v>
      </c>
    </row>
    <row r="504" spans="1:8" x14ac:dyDescent="0.2">
      <c r="H504" s="1" t="s">
        <v>3487</v>
      </c>
    </row>
    <row r="505" spans="1:8" x14ac:dyDescent="0.2">
      <c r="F505" s="57">
        <f>NPV(F497/100,D500:D503)+D499</f>
        <v>49927.90792978619</v>
      </c>
      <c r="G505" s="1" t="s">
        <v>3488</v>
      </c>
      <c r="H505" s="534" t="s">
        <v>77</v>
      </c>
    </row>
    <row r="507" spans="1:8" x14ac:dyDescent="0.2">
      <c r="A507" s="1" t="s">
        <v>959</v>
      </c>
    </row>
    <row r="509" spans="1:8" x14ac:dyDescent="0.2">
      <c r="A509" s="99" t="s">
        <v>960</v>
      </c>
      <c r="B509" s="100"/>
      <c r="C509" s="100"/>
      <c r="D509" s="100"/>
      <c r="E509" s="100"/>
      <c r="F509" s="100"/>
      <c r="G509" s="100"/>
      <c r="H509" s="100"/>
    </row>
    <row r="511" spans="1:8" x14ac:dyDescent="0.2">
      <c r="A511" s="1" t="s">
        <v>3489</v>
      </c>
    </row>
    <row r="512" spans="1:8" x14ac:dyDescent="0.2">
      <c r="A512" s="1" t="s">
        <v>3490</v>
      </c>
    </row>
    <row r="513" spans="1:10" x14ac:dyDescent="0.2">
      <c r="A513" s="1" t="s">
        <v>3491</v>
      </c>
    </row>
    <row r="514" spans="1:10" x14ac:dyDescent="0.2">
      <c r="A514" s="1" t="s">
        <v>3492</v>
      </c>
    </row>
    <row r="517" spans="1:10" x14ac:dyDescent="0.2">
      <c r="A517" s="1" t="s">
        <v>3496</v>
      </c>
      <c r="E517" s="1" t="s">
        <v>3493</v>
      </c>
    </row>
    <row r="518" spans="1:10" x14ac:dyDescent="0.2">
      <c r="A518" s="1" t="s">
        <v>3497</v>
      </c>
      <c r="E518" s="1" t="s">
        <v>3494</v>
      </c>
    </row>
    <row r="519" spans="1:10" x14ac:dyDescent="0.2">
      <c r="A519" s="1" t="s">
        <v>3498</v>
      </c>
      <c r="E519" s="1" t="s">
        <v>3495</v>
      </c>
    </row>
    <row r="520" spans="1:10" x14ac:dyDescent="0.2">
      <c r="A520" s="1" t="s">
        <v>3499</v>
      </c>
    </row>
    <row r="521" spans="1:10" ht="17" thickBot="1" x14ac:dyDescent="0.25"/>
    <row r="522" spans="1:10" x14ac:dyDescent="0.2">
      <c r="A522" s="1" t="s">
        <v>3500</v>
      </c>
      <c r="F522" s="20">
        <v>0</v>
      </c>
      <c r="G522" s="20">
        <v>1</v>
      </c>
      <c r="H522" s="20">
        <v>2</v>
      </c>
      <c r="I522" s="255">
        <v>3</v>
      </c>
      <c r="J522" s="536">
        <v>4</v>
      </c>
    </row>
    <row r="523" spans="1:10" ht="17" thickBot="1" x14ac:dyDescent="0.25">
      <c r="A523" s="1" t="s">
        <v>3501</v>
      </c>
      <c r="F523" s="535">
        <v>-100000</v>
      </c>
      <c r="G523" s="535">
        <v>53850</v>
      </c>
      <c r="H523" s="535">
        <v>52310</v>
      </c>
      <c r="I523" s="537">
        <v>40440.400000000001</v>
      </c>
      <c r="J523" s="538">
        <v>40056.016000000003</v>
      </c>
    </row>
    <row r="524" spans="1:10" x14ac:dyDescent="0.2">
      <c r="A524" s="1" t="s">
        <v>3502</v>
      </c>
      <c r="H524" s="30">
        <f>F537</f>
        <v>69867.7685950413</v>
      </c>
    </row>
    <row r="527" spans="1:10" x14ac:dyDescent="0.2">
      <c r="I527" s="1" t="s">
        <v>3503</v>
      </c>
    </row>
    <row r="528" spans="1:10" x14ac:dyDescent="0.2">
      <c r="I528" s="1" t="s">
        <v>3504</v>
      </c>
    </row>
    <row r="529" spans="1:9" x14ac:dyDescent="0.2">
      <c r="I529" s="1" t="s">
        <v>3505</v>
      </c>
    </row>
    <row r="530" spans="1:9" x14ac:dyDescent="0.2">
      <c r="G530" s="1" t="s">
        <v>955</v>
      </c>
    </row>
    <row r="531" spans="1:9" x14ac:dyDescent="0.2">
      <c r="F531" s="20">
        <v>10</v>
      </c>
      <c r="G531" s="1" t="s">
        <v>63</v>
      </c>
      <c r="H531" s="1" t="s">
        <v>3506</v>
      </c>
    </row>
    <row r="532" spans="1:9" x14ac:dyDescent="0.2">
      <c r="D532" s="20" t="s">
        <v>87</v>
      </c>
      <c r="G532" s="1" t="s">
        <v>957</v>
      </c>
    </row>
    <row r="533" spans="1:9" x14ac:dyDescent="0.2">
      <c r="A533" s="1" t="s">
        <v>2224</v>
      </c>
      <c r="D533" s="101">
        <v>0</v>
      </c>
      <c r="E533" s="20">
        <v>1</v>
      </c>
      <c r="F533" s="1" t="s">
        <v>3508</v>
      </c>
    </row>
    <row r="534" spans="1:9" x14ac:dyDescent="0.2">
      <c r="A534" s="1" t="s">
        <v>2225</v>
      </c>
      <c r="D534" s="101">
        <v>40440</v>
      </c>
      <c r="E534" s="20">
        <v>2</v>
      </c>
      <c r="F534" s="1" t="s">
        <v>3507</v>
      </c>
    </row>
    <row r="535" spans="1:9" x14ac:dyDescent="0.2">
      <c r="A535" s="1" t="s">
        <v>2226</v>
      </c>
      <c r="D535" s="101">
        <v>40056</v>
      </c>
      <c r="E535" s="20">
        <v>3</v>
      </c>
      <c r="F535" s="1" t="s">
        <v>3509</v>
      </c>
    </row>
    <row r="536" spans="1:9" x14ac:dyDescent="0.2">
      <c r="F536" s="20" t="s">
        <v>88</v>
      </c>
      <c r="G536" s="20" t="s">
        <v>89</v>
      </c>
    </row>
    <row r="537" spans="1:9" x14ac:dyDescent="0.2">
      <c r="A537" s="18" t="s">
        <v>966</v>
      </c>
      <c r="F537" s="50">
        <f>NPV(F531/100,D534:D535)+D533</f>
        <v>69867.7685950413</v>
      </c>
      <c r="G537" s="1" t="s">
        <v>958</v>
      </c>
    </row>
    <row r="539" spans="1:9" x14ac:dyDescent="0.2">
      <c r="A539" s="1" t="s">
        <v>961</v>
      </c>
    </row>
    <row r="540" spans="1:9" x14ac:dyDescent="0.2">
      <c r="A540" s="1" t="s">
        <v>962</v>
      </c>
    </row>
    <row r="541" spans="1:9" x14ac:dyDescent="0.2">
      <c r="A541" s="1" t="s">
        <v>963</v>
      </c>
    </row>
    <row r="542" spans="1:9" x14ac:dyDescent="0.2">
      <c r="G542" s="1" t="s">
        <v>3510</v>
      </c>
    </row>
    <row r="543" spans="1:9" x14ac:dyDescent="0.2">
      <c r="G543" s="1" t="s">
        <v>3511</v>
      </c>
    </row>
    <row r="545" spans="1:6" x14ac:dyDescent="0.2">
      <c r="A545" s="442" t="s">
        <v>964</v>
      </c>
    </row>
    <row r="546" spans="1:6" x14ac:dyDescent="0.2">
      <c r="A546" s="442" t="s">
        <v>965</v>
      </c>
    </row>
    <row r="548" spans="1:6" x14ac:dyDescent="0.2">
      <c r="A548" s="18" t="s">
        <v>3513</v>
      </c>
    </row>
    <row r="550" spans="1:6" x14ac:dyDescent="0.2">
      <c r="D550" s="20" t="s">
        <v>87</v>
      </c>
      <c r="E550" s="20"/>
      <c r="F550" s="1" t="s">
        <v>3516</v>
      </c>
    </row>
    <row r="551" spans="1:6" x14ac:dyDescent="0.2">
      <c r="C551" s="1" t="s">
        <v>1260</v>
      </c>
      <c r="D551" s="150">
        <f>F523</f>
        <v>-100000</v>
      </c>
      <c r="E551" s="20">
        <v>1</v>
      </c>
    </row>
    <row r="552" spans="1:6" x14ac:dyDescent="0.2">
      <c r="C552" s="1" t="s">
        <v>1261</v>
      </c>
      <c r="D552" s="150">
        <f>G523</f>
        <v>53850</v>
      </c>
      <c r="E552" s="20">
        <v>2</v>
      </c>
    </row>
    <row r="553" spans="1:6" x14ac:dyDescent="0.2">
      <c r="A553" s="1" t="s">
        <v>3514</v>
      </c>
      <c r="C553" s="1" t="s">
        <v>3515</v>
      </c>
      <c r="D553" s="150">
        <f>H523+H524</f>
        <v>122177.7685950413</v>
      </c>
      <c r="E553" s="20">
        <v>3</v>
      </c>
    </row>
    <row r="554" spans="1:6" x14ac:dyDescent="0.2">
      <c r="D554" s="20"/>
      <c r="E554" s="20"/>
    </row>
    <row r="555" spans="1:6" x14ac:dyDescent="0.2">
      <c r="D555" s="20"/>
      <c r="E555" s="57">
        <f>NPV(10%,D552:D553)+D551</f>
        <v>49927.907929786161</v>
      </c>
      <c r="F555" s="1" t="s">
        <v>3517</v>
      </c>
    </row>
    <row r="557" spans="1:6" x14ac:dyDescent="0.2">
      <c r="A557" s="1" t="s">
        <v>3518</v>
      </c>
    </row>
    <row r="564" spans="1:8" x14ac:dyDescent="0.2">
      <c r="A564" s="2" t="s">
        <v>919</v>
      </c>
      <c r="B564" s="2"/>
      <c r="C564" s="2"/>
      <c r="D564" s="2"/>
      <c r="E564" s="2"/>
      <c r="F564" s="2"/>
      <c r="G564" s="2"/>
      <c r="H564" s="2">
        <v>6.2</v>
      </c>
    </row>
    <row r="566" spans="1:8" x14ac:dyDescent="0.2">
      <c r="A566" s="1" t="s">
        <v>920</v>
      </c>
      <c r="H566" s="1" t="s">
        <v>3519</v>
      </c>
    </row>
    <row r="567" spans="1:8" x14ac:dyDescent="0.2">
      <c r="A567" s="1" t="s">
        <v>921</v>
      </c>
      <c r="H567" s="1" t="s">
        <v>3520</v>
      </c>
    </row>
    <row r="568" spans="1:8" x14ac:dyDescent="0.2">
      <c r="A568" s="1" t="s">
        <v>2227</v>
      </c>
      <c r="H568" s="1" t="s">
        <v>3521</v>
      </c>
    </row>
    <row r="569" spans="1:8" x14ac:dyDescent="0.2">
      <c r="A569" s="1" t="s">
        <v>922</v>
      </c>
      <c r="H569" s="1" t="s">
        <v>3522</v>
      </c>
    </row>
    <row r="570" spans="1:8" x14ac:dyDescent="0.2">
      <c r="A570" s="1" t="s">
        <v>923</v>
      </c>
      <c r="H570" s="1" t="s">
        <v>3523</v>
      </c>
    </row>
    <row r="571" spans="1:8" x14ac:dyDescent="0.2">
      <c r="A571" s="1" t="s">
        <v>924</v>
      </c>
      <c r="H571" s="1" t="s">
        <v>3524</v>
      </c>
    </row>
    <row r="572" spans="1:8" x14ac:dyDescent="0.2">
      <c r="A572" s="1" t="s">
        <v>925</v>
      </c>
      <c r="H572" s="1" t="s">
        <v>3525</v>
      </c>
    </row>
    <row r="574" spans="1:8" x14ac:dyDescent="0.2">
      <c r="A574" s="1" t="s">
        <v>926</v>
      </c>
      <c r="H574" s="1" t="s">
        <v>3530</v>
      </c>
    </row>
    <row r="575" spans="1:8" x14ac:dyDescent="0.2">
      <c r="H575" s="1" t="s">
        <v>3531</v>
      </c>
    </row>
    <row r="576" spans="1:8" x14ac:dyDescent="0.2">
      <c r="A576" s="1" t="s">
        <v>3526</v>
      </c>
      <c r="H576" s="1" t="s">
        <v>3532</v>
      </c>
    </row>
    <row r="577" spans="1:12" x14ac:dyDescent="0.2">
      <c r="A577" s="1" t="s">
        <v>3527</v>
      </c>
      <c r="H577" s="1" t="s">
        <v>3533</v>
      </c>
    </row>
    <row r="578" spans="1:12" x14ac:dyDescent="0.2">
      <c r="A578" s="1" t="s">
        <v>3528</v>
      </c>
    </row>
    <row r="580" spans="1:12" x14ac:dyDescent="0.2">
      <c r="C580" s="20" t="s">
        <v>739</v>
      </c>
      <c r="D580" s="20"/>
    </row>
    <row r="581" spans="1:12" x14ac:dyDescent="0.2">
      <c r="A581" s="10" t="s">
        <v>895</v>
      </c>
      <c r="B581" s="10"/>
      <c r="C581" s="27">
        <v>0</v>
      </c>
      <c r="D581" s="27">
        <v>1</v>
      </c>
      <c r="E581" s="27">
        <v>2</v>
      </c>
      <c r="F581" s="27">
        <v>3</v>
      </c>
      <c r="G581" s="27">
        <v>4</v>
      </c>
      <c r="H581" s="27">
        <v>5</v>
      </c>
      <c r="I581" s="27">
        <v>6</v>
      </c>
    </row>
    <row r="582" spans="1:12" s="116" customFormat="1" x14ac:dyDescent="0.2">
      <c r="A582" s="116" t="s">
        <v>896</v>
      </c>
      <c r="C582" s="539" t="s">
        <v>3529</v>
      </c>
      <c r="D582" s="503">
        <v>90000</v>
      </c>
      <c r="E582" s="503">
        <v>90000</v>
      </c>
      <c r="F582" s="503">
        <v>90000</v>
      </c>
      <c r="G582" s="503">
        <v>90000</v>
      </c>
      <c r="H582" s="503">
        <v>90000</v>
      </c>
      <c r="I582" s="503">
        <v>90000</v>
      </c>
    </row>
    <row r="583" spans="1:12" s="116" customFormat="1" x14ac:dyDescent="0.2">
      <c r="A583" s="116" t="s">
        <v>967</v>
      </c>
      <c r="C583" s="540"/>
      <c r="D583" s="504"/>
      <c r="E583" s="504"/>
      <c r="F583" s="504"/>
      <c r="G583" s="504"/>
      <c r="H583" s="504"/>
      <c r="I583" s="504"/>
    </row>
    <row r="584" spans="1:12" s="116" customFormat="1" x14ac:dyDescent="0.2">
      <c r="A584" s="116" t="s">
        <v>2230</v>
      </c>
      <c r="C584" s="48"/>
      <c r="D584" s="295">
        <f>C588/5</f>
        <v>-60000</v>
      </c>
      <c r="E584" s="295">
        <f>D584</f>
        <v>-60000</v>
      </c>
      <c r="F584" s="295">
        <f t="shared" ref="F584:H584" si="7">E584</f>
        <v>-60000</v>
      </c>
      <c r="G584" s="295">
        <f t="shared" si="7"/>
        <v>-60000</v>
      </c>
      <c r="H584" s="295">
        <f t="shared" si="7"/>
        <v>-60000</v>
      </c>
      <c r="I584" s="301"/>
    </row>
    <row r="585" spans="1:12" s="116" customFormat="1" x14ac:dyDescent="0.2">
      <c r="A585" s="116" t="s">
        <v>899</v>
      </c>
      <c r="C585" s="48"/>
      <c r="D585" s="296">
        <f t="shared" ref="D585:I585" si="8">D582+D584</f>
        <v>30000</v>
      </c>
      <c r="E585" s="296">
        <f t="shared" si="8"/>
        <v>30000</v>
      </c>
      <c r="F585" s="296">
        <f t="shared" si="8"/>
        <v>30000</v>
      </c>
      <c r="G585" s="296">
        <f t="shared" si="8"/>
        <v>30000</v>
      </c>
      <c r="H585" s="296">
        <f t="shared" si="8"/>
        <v>30000</v>
      </c>
      <c r="I585" s="296">
        <f t="shared" si="8"/>
        <v>90000</v>
      </c>
    </row>
    <row r="586" spans="1:12" s="116" customFormat="1" x14ac:dyDescent="0.2">
      <c r="A586" s="116" t="s">
        <v>970</v>
      </c>
      <c r="C586" s="48"/>
      <c r="D586" s="295">
        <f>-23%*D585</f>
        <v>-6900</v>
      </c>
      <c r="E586" s="295">
        <f>-23%*E585</f>
        <v>-6900</v>
      </c>
      <c r="F586" s="295">
        <f>-23%*F585</f>
        <v>-6900</v>
      </c>
      <c r="G586" s="295">
        <f>-23%*G585</f>
        <v>-6900</v>
      </c>
      <c r="H586" s="295">
        <f>-23%*H585</f>
        <v>-6900</v>
      </c>
      <c r="I586" s="295">
        <f>-23%*I585</f>
        <v>-20700</v>
      </c>
    </row>
    <row r="587" spans="1:12" s="116" customFormat="1" x14ac:dyDescent="0.2">
      <c r="A587" s="116" t="s">
        <v>3534</v>
      </c>
      <c r="C587" s="48"/>
      <c r="D587" s="296">
        <f>D585+D586</f>
        <v>23100</v>
      </c>
      <c r="E587" s="296">
        <f t="shared" ref="E587:I587" si="9">E585+E586</f>
        <v>23100</v>
      </c>
      <c r="F587" s="296">
        <f t="shared" si="9"/>
        <v>23100</v>
      </c>
      <c r="G587" s="296">
        <f t="shared" si="9"/>
        <v>23100</v>
      </c>
      <c r="H587" s="296">
        <f t="shared" si="9"/>
        <v>23100</v>
      </c>
      <c r="I587" s="296">
        <f t="shared" si="9"/>
        <v>69300</v>
      </c>
      <c r="K587" s="541"/>
      <c r="L587" s="541"/>
    </row>
    <row r="588" spans="1:12" s="116" customFormat="1" x14ac:dyDescent="0.2">
      <c r="A588" s="116" t="s">
        <v>2228</v>
      </c>
      <c r="C588" s="171">
        <v>-300000</v>
      </c>
      <c r="D588" s="48"/>
      <c r="E588" s="48"/>
      <c r="F588" s="48"/>
      <c r="G588" s="48"/>
      <c r="H588" s="48"/>
      <c r="I588" s="48"/>
      <c r="K588" s="541"/>
      <c r="L588" s="541"/>
    </row>
    <row r="589" spans="1:12" s="116" customFormat="1" x14ac:dyDescent="0.2">
      <c r="A589" s="116" t="s">
        <v>968</v>
      </c>
      <c r="C589" s="171">
        <v>-500000</v>
      </c>
      <c r="D589" s="48"/>
      <c r="E589" s="48"/>
      <c r="F589" s="48"/>
      <c r="G589" s="48"/>
      <c r="H589" s="48"/>
      <c r="I589" s="302">
        <f>-C589</f>
        <v>500000</v>
      </c>
      <c r="K589" s="541"/>
      <c r="L589" s="541"/>
    </row>
    <row r="590" spans="1:12" s="116" customFormat="1" x14ac:dyDescent="0.2">
      <c r="A590" s="116" t="s">
        <v>3535</v>
      </c>
      <c r="C590" s="48"/>
      <c r="D590" s="48"/>
      <c r="E590" s="48"/>
      <c r="F590" s="48"/>
      <c r="G590" s="48"/>
      <c r="H590" s="48"/>
      <c r="I590" s="48">
        <v>0</v>
      </c>
      <c r="K590" s="541"/>
      <c r="L590" s="541"/>
    </row>
    <row r="591" spans="1:12" s="116" customFormat="1" x14ac:dyDescent="0.2">
      <c r="A591" s="116" t="s">
        <v>2229</v>
      </c>
      <c r="C591" s="48"/>
      <c r="D591" s="171">
        <f t="shared" ref="D591:I591" si="10">-D584</f>
        <v>60000</v>
      </c>
      <c r="E591" s="171">
        <f t="shared" si="10"/>
        <v>60000</v>
      </c>
      <c r="F591" s="171">
        <f t="shared" si="10"/>
        <v>60000</v>
      </c>
      <c r="G591" s="171">
        <f t="shared" si="10"/>
        <v>60000</v>
      </c>
      <c r="H591" s="171">
        <f t="shared" si="10"/>
        <v>60000</v>
      </c>
      <c r="I591" s="171">
        <f t="shared" si="10"/>
        <v>0</v>
      </c>
      <c r="K591" s="541"/>
      <c r="L591" s="541"/>
    </row>
    <row r="592" spans="1:12" s="134" customFormat="1" x14ac:dyDescent="0.2">
      <c r="A592" s="134" t="s">
        <v>903</v>
      </c>
      <c r="C592" s="303">
        <f>SUM(C587:C591)</f>
        <v>-800000</v>
      </c>
      <c r="D592" s="303">
        <f t="shared" ref="D592:I592" si="11">SUM(D587:D591)</f>
        <v>83100</v>
      </c>
      <c r="E592" s="303">
        <f t="shared" si="11"/>
        <v>83100</v>
      </c>
      <c r="F592" s="303">
        <f t="shared" si="11"/>
        <v>83100</v>
      </c>
      <c r="G592" s="303">
        <f t="shared" si="11"/>
        <v>83100</v>
      </c>
      <c r="H592" s="303">
        <f t="shared" si="11"/>
        <v>83100</v>
      </c>
      <c r="I592" s="303">
        <f t="shared" si="11"/>
        <v>569300</v>
      </c>
      <c r="K592" s="541"/>
      <c r="L592" s="542"/>
    </row>
    <row r="593" spans="1:12" x14ac:dyDescent="0.2">
      <c r="K593" s="543"/>
      <c r="L593" s="543"/>
    </row>
    <row r="594" spans="1:12" x14ac:dyDescent="0.2">
      <c r="A594" s="1" t="s">
        <v>972</v>
      </c>
      <c r="K594" s="543"/>
      <c r="L594" s="543"/>
    </row>
    <row r="595" spans="1:12" x14ac:dyDescent="0.2">
      <c r="K595" s="544"/>
      <c r="L595" s="544"/>
    </row>
    <row r="596" spans="1:12" x14ac:dyDescent="0.2">
      <c r="G596" s="1" t="s">
        <v>84</v>
      </c>
    </row>
    <row r="597" spans="1:12" x14ac:dyDescent="0.2">
      <c r="F597" s="20">
        <v>12</v>
      </c>
      <c r="G597" s="1" t="s">
        <v>63</v>
      </c>
      <c r="H597" s="1" t="s">
        <v>3536</v>
      </c>
    </row>
    <row r="598" spans="1:12" x14ac:dyDescent="0.2">
      <c r="D598" s="27" t="s">
        <v>87</v>
      </c>
      <c r="F598" s="20"/>
      <c r="G598" s="1" t="s">
        <v>973</v>
      </c>
    </row>
    <row r="599" spans="1:12" x14ac:dyDescent="0.2">
      <c r="D599" s="150">
        <f>C592</f>
        <v>-800000</v>
      </c>
      <c r="E599" s="20">
        <v>1</v>
      </c>
      <c r="F599" s="20"/>
    </row>
    <row r="600" spans="1:12" x14ac:dyDescent="0.2">
      <c r="D600" s="101">
        <f>D592</f>
        <v>83100</v>
      </c>
      <c r="E600" s="20">
        <v>2</v>
      </c>
      <c r="F600" s="20"/>
    </row>
    <row r="601" spans="1:12" x14ac:dyDescent="0.2">
      <c r="D601" s="101">
        <f>D600</f>
        <v>83100</v>
      </c>
      <c r="E601" s="20">
        <v>3</v>
      </c>
      <c r="F601" s="20"/>
    </row>
    <row r="602" spans="1:12" x14ac:dyDescent="0.2">
      <c r="D602" s="101">
        <f>D601</f>
        <v>83100</v>
      </c>
      <c r="E602" s="20">
        <v>4</v>
      </c>
      <c r="F602" s="20"/>
    </row>
    <row r="603" spans="1:12" x14ac:dyDescent="0.2">
      <c r="D603" s="101">
        <f>D602</f>
        <v>83100</v>
      </c>
      <c r="E603" s="20">
        <v>5</v>
      </c>
      <c r="F603" s="20"/>
    </row>
    <row r="604" spans="1:12" x14ac:dyDescent="0.2">
      <c r="D604" s="101">
        <f>D603</f>
        <v>83100</v>
      </c>
      <c r="E604" s="20">
        <v>6</v>
      </c>
      <c r="F604" s="20"/>
    </row>
    <row r="605" spans="1:12" x14ac:dyDescent="0.2">
      <c r="D605" s="101">
        <f>I592</f>
        <v>569300</v>
      </c>
      <c r="E605" s="20">
        <v>7</v>
      </c>
      <c r="F605" s="20" t="s">
        <v>974</v>
      </c>
    </row>
    <row r="606" spans="1:12" x14ac:dyDescent="0.2">
      <c r="F606" s="20"/>
    </row>
    <row r="607" spans="1:12" x14ac:dyDescent="0.2">
      <c r="A607" s="1" t="s">
        <v>2231</v>
      </c>
      <c r="F607" s="50">
        <f>NPV(F597/100,D600:D605)+D599</f>
        <v>-212018.00029888155</v>
      </c>
      <c r="G607" s="1" t="s">
        <v>958</v>
      </c>
    </row>
    <row r="611" spans="1:18" x14ac:dyDescent="0.2">
      <c r="A611" s="2" t="s">
        <v>927</v>
      </c>
      <c r="B611" s="2"/>
      <c r="C611" s="2"/>
      <c r="D611" s="2"/>
      <c r="E611" s="2"/>
      <c r="F611" s="2"/>
      <c r="G611" s="2"/>
      <c r="H611" s="2">
        <v>6.3</v>
      </c>
    </row>
    <row r="613" spans="1:18" x14ac:dyDescent="0.2">
      <c r="A613" s="1" t="s">
        <v>928</v>
      </c>
    </row>
    <row r="614" spans="1:18" x14ac:dyDescent="0.2">
      <c r="A614" s="1" t="s">
        <v>929</v>
      </c>
    </row>
    <row r="615" spans="1:18" x14ac:dyDescent="0.2">
      <c r="A615" s="1" t="s">
        <v>933</v>
      </c>
    </row>
    <row r="616" spans="1:18" x14ac:dyDescent="0.2">
      <c r="A616" s="1" t="s">
        <v>930</v>
      </c>
      <c r="F616" s="52" t="s">
        <v>3537</v>
      </c>
    </row>
    <row r="617" spans="1:18" x14ac:dyDescent="0.2">
      <c r="A617" s="1" t="s">
        <v>931</v>
      </c>
    </row>
    <row r="618" spans="1:18" x14ac:dyDescent="0.2">
      <c r="A618" s="1" t="s">
        <v>932</v>
      </c>
      <c r="F618" s="1" t="s">
        <v>3538</v>
      </c>
    </row>
    <row r="619" spans="1:18" x14ac:dyDescent="0.2">
      <c r="A619" s="1" t="s">
        <v>2232</v>
      </c>
      <c r="F619" s="1" t="s">
        <v>3539</v>
      </c>
    </row>
    <row r="620" spans="1:18" x14ac:dyDescent="0.2">
      <c r="F620" s="1" t="s">
        <v>3540</v>
      </c>
    </row>
    <row r="621" spans="1:18" x14ac:dyDescent="0.2">
      <c r="A621" s="1" t="s">
        <v>935</v>
      </c>
      <c r="K621" s="27" t="s">
        <v>2661</v>
      </c>
    </row>
    <row r="622" spans="1:18" x14ac:dyDescent="0.2">
      <c r="I622" s="1" t="s">
        <v>3541</v>
      </c>
      <c r="K622" s="20" t="s">
        <v>906</v>
      </c>
    </row>
    <row r="623" spans="1:18" x14ac:dyDescent="0.2">
      <c r="A623" s="115"/>
      <c r="B623" s="115"/>
      <c r="C623" s="218" t="s">
        <v>739</v>
      </c>
      <c r="D623" s="218"/>
      <c r="E623" s="115"/>
      <c r="F623" s="115"/>
      <c r="G623" s="115"/>
      <c r="I623" s="1" t="s">
        <v>3542</v>
      </c>
      <c r="K623" s="20" t="s">
        <v>3543</v>
      </c>
      <c r="M623" s="1" t="s">
        <v>1983</v>
      </c>
      <c r="R623" s="20" t="s">
        <v>906</v>
      </c>
    </row>
    <row r="624" spans="1:18" x14ac:dyDescent="0.2">
      <c r="A624" s="304" t="s">
        <v>895</v>
      </c>
      <c r="B624" s="304"/>
      <c r="C624" s="117">
        <v>0</v>
      </c>
      <c r="D624" s="117">
        <v>1</v>
      </c>
      <c r="E624" s="117">
        <v>2</v>
      </c>
      <c r="F624" s="117">
        <v>3</v>
      </c>
      <c r="G624" s="117">
        <v>4</v>
      </c>
      <c r="I624" s="1" t="s">
        <v>3544</v>
      </c>
      <c r="K624" s="20" t="s">
        <v>908</v>
      </c>
      <c r="M624" s="1" t="s">
        <v>3549</v>
      </c>
      <c r="R624" s="20" t="s">
        <v>907</v>
      </c>
    </row>
    <row r="625" spans="1:20" x14ac:dyDescent="0.2">
      <c r="A625" s="116" t="s">
        <v>896</v>
      </c>
      <c r="B625" s="116"/>
      <c r="C625" s="48"/>
      <c r="D625" s="171">
        <v>60000</v>
      </c>
      <c r="E625" s="171">
        <v>60000</v>
      </c>
      <c r="F625" s="171">
        <v>60000</v>
      </c>
      <c r="G625" s="171">
        <v>60000</v>
      </c>
      <c r="M625" s="1" t="s">
        <v>3550</v>
      </c>
      <c r="R625" s="20" t="s">
        <v>908</v>
      </c>
    </row>
    <row r="626" spans="1:20" x14ac:dyDescent="0.2">
      <c r="A626" s="116" t="s">
        <v>967</v>
      </c>
      <c r="B626" s="116"/>
      <c r="C626" s="48"/>
      <c r="D626" s="48">
        <v>0</v>
      </c>
      <c r="E626" s="48">
        <v>0</v>
      </c>
      <c r="F626" s="48">
        <v>0</v>
      </c>
      <c r="G626" s="48">
        <v>0</v>
      </c>
      <c r="I626" s="1" t="s">
        <v>3547</v>
      </c>
      <c r="M626" s="1" t="s">
        <v>3551</v>
      </c>
      <c r="S626" s="1" t="s">
        <v>3552</v>
      </c>
    </row>
    <row r="627" spans="1:20" x14ac:dyDescent="0.2">
      <c r="A627" s="116" t="s">
        <v>898</v>
      </c>
      <c r="B627" s="116"/>
      <c r="C627" s="48"/>
      <c r="D627" s="295">
        <f>C631/4</f>
        <v>-25000</v>
      </c>
      <c r="E627" s="295">
        <f>D627</f>
        <v>-25000</v>
      </c>
      <c r="F627" s="295">
        <f>E627</f>
        <v>-25000</v>
      </c>
      <c r="G627" s="295">
        <f>F627</f>
        <v>-25000</v>
      </c>
      <c r="I627" s="1" t="s">
        <v>3548</v>
      </c>
    </row>
    <row r="628" spans="1:20" x14ac:dyDescent="0.2">
      <c r="A628" s="116" t="s">
        <v>899</v>
      </c>
      <c r="B628" s="116"/>
      <c r="C628" s="48"/>
      <c r="D628" s="296">
        <f>SUM(D625:D627)</f>
        <v>35000</v>
      </c>
      <c r="E628" s="296">
        <f>SUM(E625:E627)</f>
        <v>35000</v>
      </c>
      <c r="F628" s="296">
        <f>SUM(F625:F627)</f>
        <v>35000</v>
      </c>
      <c r="G628" s="296">
        <f>SUM(G625:G627)</f>
        <v>35000</v>
      </c>
      <c r="I628" s="1" t="s">
        <v>3545</v>
      </c>
    </row>
    <row r="629" spans="1:20" s="116" customFormat="1" x14ac:dyDescent="0.2">
      <c r="A629" s="116" t="s">
        <v>970</v>
      </c>
      <c r="C629" s="48"/>
      <c r="D629" s="295">
        <f>-23%*D628</f>
        <v>-8050</v>
      </c>
      <c r="E629" s="295">
        <f>-23%*E628</f>
        <v>-8050</v>
      </c>
      <c r="F629" s="295">
        <f>-23%*F628</f>
        <v>-8050</v>
      </c>
      <c r="G629" s="295">
        <f>-23%*G628</f>
        <v>-8050</v>
      </c>
      <c r="I629" s="116" t="s">
        <v>3546</v>
      </c>
    </row>
    <row r="630" spans="1:20" s="116" customFormat="1" x14ac:dyDescent="0.2">
      <c r="A630" s="116" t="s">
        <v>971</v>
      </c>
      <c r="C630" s="48"/>
      <c r="D630" s="296">
        <f>D628+D629</f>
        <v>26950</v>
      </c>
      <c r="E630" s="296">
        <f>E628+E629</f>
        <v>26950</v>
      </c>
      <c r="F630" s="296">
        <f>F628+F629</f>
        <v>26950</v>
      </c>
      <c r="G630" s="296">
        <f>G628+G629</f>
        <v>26950</v>
      </c>
    </row>
    <row r="631" spans="1:20" x14ac:dyDescent="0.2">
      <c r="A631" s="116" t="s">
        <v>901</v>
      </c>
      <c r="B631" s="116"/>
      <c r="C631" s="171">
        <v>-100000</v>
      </c>
      <c r="D631" s="218"/>
      <c r="E631" s="218"/>
      <c r="F631" s="218"/>
      <c r="G631" s="218"/>
      <c r="K631" s="27" t="s">
        <v>2661</v>
      </c>
    </row>
    <row r="632" spans="1:20" s="116" customFormat="1" x14ac:dyDescent="0.2">
      <c r="A632" s="116" t="s">
        <v>975</v>
      </c>
      <c r="C632" s="48"/>
      <c r="D632" s="48"/>
      <c r="E632" s="48"/>
      <c r="F632" s="48"/>
      <c r="G632" s="546">
        <f>D669</f>
        <v>15400</v>
      </c>
      <c r="I632" s="1" t="s">
        <v>3541</v>
      </c>
      <c r="J632" s="1"/>
      <c r="K632" s="20">
        <v>20000</v>
      </c>
    </row>
    <row r="633" spans="1:20" x14ac:dyDescent="0.2">
      <c r="A633" s="116" t="s">
        <v>902</v>
      </c>
      <c r="B633" s="116"/>
      <c r="C633" s="48"/>
      <c r="D633" s="171">
        <f>-D627</f>
        <v>25000</v>
      </c>
      <c r="E633" s="171">
        <f>-E627</f>
        <v>25000</v>
      </c>
      <c r="F633" s="171">
        <f>-F627</f>
        <v>25000</v>
      </c>
      <c r="G633" s="171">
        <f>-G627</f>
        <v>25000</v>
      </c>
      <c r="I633" s="1" t="s">
        <v>3542</v>
      </c>
      <c r="K633" s="69">
        <f>R636</f>
        <v>-4600</v>
      </c>
      <c r="M633" s="1" t="s">
        <v>1983</v>
      </c>
      <c r="R633" s="20">
        <f>K632</f>
        <v>20000</v>
      </c>
    </row>
    <row r="634" spans="1:20" s="116" customFormat="1" x14ac:dyDescent="0.2">
      <c r="A634" s="134" t="s">
        <v>903</v>
      </c>
      <c r="B634" s="134"/>
      <c r="C634" s="303">
        <f>SUM(C630:C633)</f>
        <v>-100000</v>
      </c>
      <c r="D634" s="303">
        <f>SUM(D630:D633)</f>
        <v>51950</v>
      </c>
      <c r="E634" s="303">
        <f>SUM(E630:E633)</f>
        <v>51950</v>
      </c>
      <c r="F634" s="303">
        <f>SUM(F630:F633)</f>
        <v>51950</v>
      </c>
      <c r="G634" s="303">
        <f>SUM(G630:G633)</f>
        <v>67350</v>
      </c>
      <c r="I634" s="1" t="s">
        <v>3544</v>
      </c>
      <c r="J634" s="1"/>
      <c r="K634" s="545">
        <f>K632+K633</f>
        <v>15400</v>
      </c>
      <c r="M634" s="1" t="s">
        <v>3553</v>
      </c>
      <c r="N634" s="1"/>
      <c r="O634" s="1"/>
      <c r="P634" s="1"/>
      <c r="Q634" s="1"/>
      <c r="R634" s="20">
        <v>0</v>
      </c>
      <c r="S634" s="1"/>
      <c r="T634" s="116" t="s">
        <v>3554</v>
      </c>
    </row>
    <row r="635" spans="1:20" x14ac:dyDescent="0.2">
      <c r="M635" s="1" t="s">
        <v>3555</v>
      </c>
      <c r="R635" s="20">
        <f>R633-R634</f>
        <v>20000</v>
      </c>
    </row>
    <row r="636" spans="1:20" x14ac:dyDescent="0.2">
      <c r="G636" s="1" t="s">
        <v>84</v>
      </c>
      <c r="M636" s="1" t="s">
        <v>3551</v>
      </c>
      <c r="R636" s="69">
        <f>-23%*R635</f>
        <v>-4600</v>
      </c>
      <c r="S636" s="1" t="s">
        <v>3552</v>
      </c>
    </row>
    <row r="637" spans="1:20" x14ac:dyDescent="0.2">
      <c r="F637" s="1">
        <v>11</v>
      </c>
      <c r="G637" s="1" t="s">
        <v>994</v>
      </c>
      <c r="H637" s="1" t="s">
        <v>2233</v>
      </c>
    </row>
    <row r="638" spans="1:20" x14ac:dyDescent="0.2">
      <c r="D638" s="20" t="s">
        <v>87</v>
      </c>
      <c r="E638" s="20"/>
      <c r="G638" s="1" t="s">
        <v>995</v>
      </c>
    </row>
    <row r="639" spans="1:20" x14ac:dyDescent="0.2">
      <c r="D639" s="101">
        <f>C634</f>
        <v>-100000</v>
      </c>
      <c r="E639" s="20">
        <v>1</v>
      </c>
    </row>
    <row r="640" spans="1:20" x14ac:dyDescent="0.2">
      <c r="D640" s="101">
        <f>D634</f>
        <v>51950</v>
      </c>
      <c r="E640" s="20">
        <v>2</v>
      </c>
    </row>
    <row r="641" spans="1:14" x14ac:dyDescent="0.2">
      <c r="D641" s="101">
        <f>E634</f>
        <v>51950</v>
      </c>
      <c r="E641" s="20">
        <v>3</v>
      </c>
    </row>
    <row r="642" spans="1:14" x14ac:dyDescent="0.2">
      <c r="D642" s="101">
        <f>D641</f>
        <v>51950</v>
      </c>
      <c r="E642" s="20">
        <v>4</v>
      </c>
    </row>
    <row r="643" spans="1:14" x14ac:dyDescent="0.2">
      <c r="D643" s="101">
        <f>G634</f>
        <v>67350</v>
      </c>
      <c r="E643" s="20">
        <v>5</v>
      </c>
    </row>
    <row r="645" spans="1:14" x14ac:dyDescent="0.2">
      <c r="A645" s="1" t="s">
        <v>996</v>
      </c>
      <c r="F645" s="108">
        <f>NPV(F637/100,D640:D643)+D639</f>
        <v>71316.510576080589</v>
      </c>
      <c r="G645" s="1" t="s">
        <v>958</v>
      </c>
    </row>
    <row r="647" spans="1:14" x14ac:dyDescent="0.2">
      <c r="A647" s="63" t="s">
        <v>2234</v>
      </c>
      <c r="B647" s="63"/>
      <c r="C647" s="63"/>
      <c r="D647" s="63"/>
      <c r="E647" s="63"/>
      <c r="F647" s="63"/>
      <c r="G647" s="305" t="s">
        <v>834</v>
      </c>
    </row>
    <row r="649" spans="1:14" x14ac:dyDescent="0.2">
      <c r="A649" s="1" t="s">
        <v>976</v>
      </c>
      <c r="M649" s="89"/>
      <c r="N649" s="25"/>
    </row>
    <row r="650" spans="1:14" x14ac:dyDescent="0.2">
      <c r="M650" s="25"/>
    </row>
    <row r="651" spans="1:14" x14ac:dyDescent="0.2">
      <c r="A651" s="1" t="s">
        <v>977</v>
      </c>
    </row>
    <row r="652" spans="1:14" x14ac:dyDescent="0.2">
      <c r="A652" s="1" t="s">
        <v>978</v>
      </c>
      <c r="N652" s="37"/>
    </row>
    <row r="654" spans="1:14" x14ac:dyDescent="0.2">
      <c r="A654" s="1" t="s">
        <v>979</v>
      </c>
    </row>
    <row r="656" spans="1:14" x14ac:dyDescent="0.2">
      <c r="A656" s="1" t="s">
        <v>980</v>
      </c>
      <c r="N656" s="25"/>
    </row>
    <row r="657" spans="1:13" x14ac:dyDescent="0.2">
      <c r="B657" s="1" t="s">
        <v>983</v>
      </c>
      <c r="D657" s="24">
        <v>100000</v>
      </c>
    </row>
    <row r="658" spans="1:13" x14ac:dyDescent="0.2">
      <c r="B658" s="1" t="s">
        <v>981</v>
      </c>
      <c r="D658" s="102">
        <f>-D657</f>
        <v>-100000</v>
      </c>
      <c r="F658" s="1" t="s">
        <v>982</v>
      </c>
    </row>
    <row r="659" spans="1:13" x14ac:dyDescent="0.2">
      <c r="B659" s="1" t="s">
        <v>984</v>
      </c>
      <c r="D659" s="103">
        <f>D657+D658</f>
        <v>0</v>
      </c>
      <c r="M659" s="25"/>
    </row>
    <row r="661" spans="1:13" x14ac:dyDescent="0.2">
      <c r="A661" s="1" t="s">
        <v>985</v>
      </c>
    </row>
    <row r="663" spans="1:13" x14ac:dyDescent="0.2">
      <c r="B663" s="1" t="s">
        <v>986</v>
      </c>
      <c r="D663" s="24">
        <v>20000</v>
      </c>
    </row>
    <row r="664" spans="1:13" x14ac:dyDescent="0.2">
      <c r="B664" s="1" t="s">
        <v>987</v>
      </c>
      <c r="D664" s="24">
        <f>D659</f>
        <v>0</v>
      </c>
    </row>
    <row r="665" spans="1:13" x14ac:dyDescent="0.2">
      <c r="B665" s="1" t="s">
        <v>988</v>
      </c>
      <c r="D665" s="103">
        <f>D663-D664</f>
        <v>20000</v>
      </c>
    </row>
    <row r="666" spans="1:13" x14ac:dyDescent="0.2">
      <c r="B666" s="1" t="s">
        <v>989</v>
      </c>
      <c r="D666" s="51">
        <v>0.23</v>
      </c>
    </row>
    <row r="667" spans="1:13" x14ac:dyDescent="0.2">
      <c r="B667" s="1" t="s">
        <v>990</v>
      </c>
      <c r="D667" s="105">
        <f>-23%*D665</f>
        <v>-4600</v>
      </c>
      <c r="F667" s="1" t="s">
        <v>991</v>
      </c>
    </row>
    <row r="669" spans="1:13" x14ac:dyDescent="0.2">
      <c r="B669" s="1" t="s">
        <v>992</v>
      </c>
      <c r="D669" s="24">
        <f>D665+D667</f>
        <v>15400</v>
      </c>
      <c r="F669" s="1" t="s">
        <v>993</v>
      </c>
    </row>
    <row r="671" spans="1:13" x14ac:dyDescent="0.2">
      <c r="A671" s="152" t="s">
        <v>3556</v>
      </c>
      <c r="B671" s="152"/>
      <c r="C671" s="152"/>
      <c r="D671" s="152"/>
      <c r="E671" s="152"/>
      <c r="F671" s="152"/>
      <c r="G671" s="152"/>
      <c r="H671" s="152"/>
      <c r="I671" s="152"/>
    </row>
    <row r="673" spans="1:5" x14ac:dyDescent="0.2">
      <c r="A673" s="1" t="s">
        <v>3557</v>
      </c>
    </row>
    <row r="674" spans="1:5" x14ac:dyDescent="0.2">
      <c r="A674" s="1" t="s">
        <v>3558</v>
      </c>
    </row>
    <row r="675" spans="1:5" x14ac:dyDescent="0.2">
      <c r="A675" s="1" t="s">
        <v>3559</v>
      </c>
    </row>
    <row r="676" spans="1:5" x14ac:dyDescent="0.2">
      <c r="A676" s="1" t="s">
        <v>3560</v>
      </c>
    </row>
    <row r="678" spans="1:5" x14ac:dyDescent="0.2">
      <c r="A678" s="1" t="s">
        <v>568</v>
      </c>
    </row>
    <row r="679" spans="1:5" x14ac:dyDescent="0.2">
      <c r="A679" s="1" t="s">
        <v>3561</v>
      </c>
    </row>
    <row r="681" spans="1:5" x14ac:dyDescent="0.2">
      <c r="A681" s="1" t="s">
        <v>146</v>
      </c>
    </row>
    <row r="682" spans="1:5" x14ac:dyDescent="0.2">
      <c r="A682" s="1" t="s">
        <v>3562</v>
      </c>
    </row>
    <row r="683" spans="1:5" x14ac:dyDescent="0.2">
      <c r="A683" s="1" t="s">
        <v>3563</v>
      </c>
    </row>
    <row r="685" spans="1:5" ht="17" thickBot="1" x14ac:dyDescent="0.25"/>
    <row r="686" spans="1:5" x14ac:dyDescent="0.2">
      <c r="A686" s="12"/>
      <c r="B686" s="13"/>
      <c r="C686" s="13"/>
      <c r="D686" s="548">
        <v>6</v>
      </c>
      <c r="E686" s="14"/>
    </row>
    <row r="687" spans="1:5" ht="17" thickBot="1" x14ac:dyDescent="0.25">
      <c r="A687" s="15" t="s">
        <v>3564</v>
      </c>
      <c r="B687" s="16"/>
      <c r="C687" s="16"/>
      <c r="D687" s="549">
        <f>C692</f>
        <v>146250</v>
      </c>
      <c r="E687" s="17" t="s">
        <v>245</v>
      </c>
    </row>
    <row r="690" spans="1:12" x14ac:dyDescent="0.2">
      <c r="A690" s="1" t="s">
        <v>3565</v>
      </c>
      <c r="C690" s="3">
        <v>150000</v>
      </c>
      <c r="E690" s="1" t="s">
        <v>3568</v>
      </c>
      <c r="J690" s="3">
        <v>150000</v>
      </c>
    </row>
    <row r="691" spans="1:12" x14ac:dyDescent="0.2">
      <c r="A691" s="1" t="s">
        <v>3566</v>
      </c>
      <c r="C691" s="5">
        <f>J693</f>
        <v>-3750</v>
      </c>
      <c r="E691" s="1" t="s">
        <v>3569</v>
      </c>
      <c r="J691" s="1">
        <f>500000-500000/8*6</f>
        <v>125000</v>
      </c>
      <c r="L691" s="1" t="s">
        <v>3570</v>
      </c>
    </row>
    <row r="692" spans="1:12" x14ac:dyDescent="0.2">
      <c r="A692" s="1" t="s">
        <v>3567</v>
      </c>
      <c r="C692" s="547">
        <f>C690+C691</f>
        <v>146250</v>
      </c>
      <c r="E692" s="1" t="s">
        <v>3572</v>
      </c>
      <c r="J692" s="3">
        <f>J690-J691</f>
        <v>25000</v>
      </c>
      <c r="L692" s="1" t="s">
        <v>3571</v>
      </c>
    </row>
    <row r="693" spans="1:12" x14ac:dyDescent="0.2">
      <c r="E693" s="439" t="s">
        <v>3573</v>
      </c>
      <c r="J693" s="5">
        <f>-15%*J692</f>
        <v>-3750</v>
      </c>
      <c r="L693" s="1" t="s">
        <v>3574</v>
      </c>
    </row>
  </sheetData>
  <mergeCells count="11">
    <mergeCell ref="I582:I583"/>
    <mergeCell ref="A1:H1"/>
    <mergeCell ref="A421:H421"/>
    <mergeCell ref="D582:D583"/>
    <mergeCell ref="E582:E583"/>
    <mergeCell ref="F582:F583"/>
    <mergeCell ref="G582:G583"/>
    <mergeCell ref="H582:H583"/>
    <mergeCell ref="B407:C407"/>
    <mergeCell ref="B228:C228"/>
    <mergeCell ref="C582:C583"/>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11A209-AE64-704B-BF28-B3E6939D6234}">
  <dimension ref="A1:I177"/>
  <sheetViews>
    <sheetView rightToLeft="1" topLeftCell="A196" zoomScale="290" workbookViewId="0">
      <selection activeCell="C178" sqref="C178"/>
    </sheetView>
  </sheetViews>
  <sheetFormatPr baseColWidth="10" defaultRowHeight="16" x14ac:dyDescent="0.2"/>
  <cols>
    <col min="1" max="16384" width="10.83203125" style="1"/>
  </cols>
  <sheetData>
    <row r="1" spans="1:8" x14ac:dyDescent="0.2">
      <c r="A1" s="5" t="s">
        <v>2087</v>
      </c>
      <c r="B1" s="5"/>
      <c r="C1" s="5"/>
      <c r="D1" s="5"/>
      <c r="E1" s="5"/>
      <c r="F1" s="5"/>
      <c r="G1" s="5"/>
      <c r="H1" s="246">
        <v>45644</v>
      </c>
    </row>
    <row r="2" spans="1:8" ht="17" thickBot="1" x14ac:dyDescent="0.25"/>
    <row r="3" spans="1:8" ht="17" thickBot="1" x14ac:dyDescent="0.25">
      <c r="A3" s="60" t="s">
        <v>2088</v>
      </c>
      <c r="B3" s="61"/>
      <c r="C3" s="61"/>
      <c r="D3" s="61"/>
      <c r="E3" s="61"/>
      <c r="F3" s="61"/>
      <c r="G3" s="61"/>
      <c r="H3" s="127"/>
    </row>
    <row r="14" spans="1:8" x14ac:dyDescent="0.2">
      <c r="A14" s="18" t="s">
        <v>146</v>
      </c>
    </row>
    <row r="16" spans="1:8" x14ac:dyDescent="0.2">
      <c r="A16" s="1" t="s">
        <v>2091</v>
      </c>
    </row>
    <row r="18" spans="1:8" x14ac:dyDescent="0.2">
      <c r="A18" s="1" t="s">
        <v>2089</v>
      </c>
      <c r="F18" s="1">
        <v>10</v>
      </c>
      <c r="G18" s="1" t="s">
        <v>62</v>
      </c>
    </row>
    <row r="19" spans="1:8" x14ac:dyDescent="0.2">
      <c r="A19" s="1" t="s">
        <v>2090</v>
      </c>
      <c r="F19" s="1">
        <v>6.5</v>
      </c>
      <c r="G19" s="1" t="s">
        <v>63</v>
      </c>
    </row>
    <row r="20" spans="1:8" x14ac:dyDescent="0.2">
      <c r="A20" s="1" t="s">
        <v>2092</v>
      </c>
      <c r="F20" s="267">
        <f>PV(F19/100,F18,F21,F22)</f>
        <v>-82.027924443097277</v>
      </c>
      <c r="G20" s="1" t="s">
        <v>64</v>
      </c>
      <c r="H20" s="1" t="s">
        <v>227</v>
      </c>
    </row>
    <row r="21" spans="1:8" x14ac:dyDescent="0.2">
      <c r="A21" s="1" t="s">
        <v>2093</v>
      </c>
      <c r="F21" s="1">
        <f>4%*100</f>
        <v>4</v>
      </c>
      <c r="G21" s="1" t="s">
        <v>65</v>
      </c>
    </row>
    <row r="22" spans="1:8" x14ac:dyDescent="0.2">
      <c r="A22" s="1" t="s">
        <v>656</v>
      </c>
      <c r="F22" s="1">
        <v>100</v>
      </c>
      <c r="G22" s="1" t="s">
        <v>66</v>
      </c>
    </row>
    <row r="24" spans="1:8" x14ac:dyDescent="0.2">
      <c r="A24" s="18" t="s">
        <v>2094</v>
      </c>
    </row>
    <row r="36" spans="1:6" x14ac:dyDescent="0.2">
      <c r="A36" s="1" t="s">
        <v>146</v>
      </c>
    </row>
    <row r="38" spans="1:6" x14ac:dyDescent="0.2">
      <c r="A38" s="1" t="s">
        <v>2095</v>
      </c>
    </row>
    <row r="39" spans="1:6" x14ac:dyDescent="0.2">
      <c r="A39" s="1" t="s">
        <v>2096</v>
      </c>
    </row>
    <row r="40" spans="1:6" x14ac:dyDescent="0.2">
      <c r="A40" s="1" t="s">
        <v>2097</v>
      </c>
    </row>
    <row r="41" spans="1:6" x14ac:dyDescent="0.2">
      <c r="A41" s="1" t="s">
        <v>2098</v>
      </c>
    </row>
    <row r="42" spans="1:6" x14ac:dyDescent="0.2">
      <c r="B42" s="1" t="s">
        <v>2099</v>
      </c>
    </row>
    <row r="43" spans="1:6" x14ac:dyDescent="0.2">
      <c r="D43" s="268">
        <f>1.10381^0.25-1</f>
        <v>2.499932894117296E-2</v>
      </c>
      <c r="F43" s="1" t="s">
        <v>2100</v>
      </c>
    </row>
    <row r="44" spans="1:6" x14ac:dyDescent="0.2">
      <c r="A44" s="1" t="s">
        <v>2101</v>
      </c>
    </row>
    <row r="45" spans="1:6" x14ac:dyDescent="0.2">
      <c r="A45" s="1" t="s">
        <v>2102</v>
      </c>
    </row>
    <row r="46" spans="1:6" x14ac:dyDescent="0.2">
      <c r="A46" s="1" t="s">
        <v>2103</v>
      </c>
    </row>
    <row r="47" spans="1:6" x14ac:dyDescent="0.2">
      <c r="D47" s="172">
        <v>2.5000000000000001E-2</v>
      </c>
      <c r="F47" s="1" t="s">
        <v>2104</v>
      </c>
    </row>
    <row r="49" spans="1:8" x14ac:dyDescent="0.2">
      <c r="A49" s="1" t="s">
        <v>2106</v>
      </c>
    </row>
    <row r="50" spans="1:8" x14ac:dyDescent="0.2">
      <c r="A50" s="1" t="s">
        <v>2105</v>
      </c>
    </row>
    <row r="52" spans="1:8" x14ac:dyDescent="0.2">
      <c r="F52" s="262">
        <f>5*4</f>
        <v>20</v>
      </c>
      <c r="G52" s="262" t="s">
        <v>62</v>
      </c>
      <c r="H52" s="262"/>
    </row>
    <row r="53" spans="1:8" x14ac:dyDescent="0.2">
      <c r="F53" s="270">
        <f>(1+10.381%)^0.25-1</f>
        <v>2.499932894117296E-2</v>
      </c>
      <c r="G53" s="262" t="s">
        <v>63</v>
      </c>
      <c r="H53" s="262"/>
    </row>
    <row r="54" spans="1:8" x14ac:dyDescent="0.2">
      <c r="F54" s="269">
        <f>PV(F53,F52,F55,F56)</f>
        <v>-100.00104613112713</v>
      </c>
      <c r="G54" s="262" t="s">
        <v>64</v>
      </c>
      <c r="H54" s="262" t="s">
        <v>227</v>
      </c>
    </row>
    <row r="55" spans="1:8" x14ac:dyDescent="0.2">
      <c r="F55" s="262">
        <f>2.5%*100</f>
        <v>2.5</v>
      </c>
      <c r="G55" s="262" t="s">
        <v>65</v>
      </c>
      <c r="H55" s="262"/>
    </row>
    <row r="56" spans="1:8" x14ac:dyDescent="0.2">
      <c r="F56" s="262">
        <v>100</v>
      </c>
      <c r="G56" s="262" t="s">
        <v>66</v>
      </c>
      <c r="H56" s="262"/>
    </row>
    <row r="65" spans="1:8" x14ac:dyDescent="0.2">
      <c r="A65" s="1" t="s">
        <v>2107</v>
      </c>
      <c r="F65" s="262">
        <f>15*4</f>
        <v>60</v>
      </c>
      <c r="G65" s="262" t="s">
        <v>62</v>
      </c>
      <c r="H65" s="262"/>
    </row>
    <row r="66" spans="1:8" x14ac:dyDescent="0.2">
      <c r="A66" s="1" t="s">
        <v>2108</v>
      </c>
      <c r="F66" s="270">
        <f>(1+15%)^(1/4)-1</f>
        <v>3.5558076341622114E-2</v>
      </c>
      <c r="G66" s="262" t="s">
        <v>63</v>
      </c>
      <c r="H66" s="262"/>
    </row>
    <row r="67" spans="1:8" x14ac:dyDescent="0.2">
      <c r="F67" s="269">
        <f>PV(F66,F65,F68,F69)</f>
        <v>-86.289979907658548</v>
      </c>
      <c r="G67" s="262" t="s">
        <v>64</v>
      </c>
      <c r="H67" s="262" t="s">
        <v>227</v>
      </c>
    </row>
    <row r="68" spans="1:8" x14ac:dyDescent="0.2">
      <c r="A68" s="1" t="s">
        <v>2109</v>
      </c>
      <c r="F68" s="262">
        <f>12%/4*100</f>
        <v>3</v>
      </c>
      <c r="G68" s="262" t="s">
        <v>65</v>
      </c>
      <c r="H68" s="262"/>
    </row>
    <row r="69" spans="1:8" x14ac:dyDescent="0.2">
      <c r="A69" s="1" t="s">
        <v>656</v>
      </c>
      <c r="F69" s="262">
        <v>100</v>
      </c>
      <c r="G69" s="262" t="s">
        <v>66</v>
      </c>
      <c r="H69" s="262"/>
    </row>
    <row r="82" spans="1:8" x14ac:dyDescent="0.2">
      <c r="A82" s="1" t="s">
        <v>146</v>
      </c>
    </row>
    <row r="84" spans="1:8" x14ac:dyDescent="0.2">
      <c r="A84" s="1" t="s">
        <v>2110</v>
      </c>
    </row>
    <row r="85" spans="1:8" x14ac:dyDescent="0.2">
      <c r="B85" s="1" t="s">
        <v>2111</v>
      </c>
      <c r="E85" s="1" t="s">
        <v>2113</v>
      </c>
    </row>
    <row r="86" spans="1:8" x14ac:dyDescent="0.2">
      <c r="B86" s="1" t="s">
        <v>2112</v>
      </c>
      <c r="E86" s="1" t="s">
        <v>2114</v>
      </c>
    </row>
    <row r="87" spans="1:8" x14ac:dyDescent="0.2">
      <c r="B87" s="1" t="s">
        <v>850</v>
      </c>
      <c r="E87" s="1" t="s">
        <v>2115</v>
      </c>
    </row>
    <row r="90" spans="1:8" x14ac:dyDescent="0.2">
      <c r="A90" s="1" t="s">
        <v>2116</v>
      </c>
    </row>
    <row r="91" spans="1:8" x14ac:dyDescent="0.2">
      <c r="A91" s="1" t="s">
        <v>2117</v>
      </c>
    </row>
    <row r="92" spans="1:8" x14ac:dyDescent="0.2">
      <c r="A92" s="1" t="s">
        <v>2118</v>
      </c>
    </row>
    <row r="93" spans="1:8" x14ac:dyDescent="0.2">
      <c r="A93" s="1" t="s">
        <v>2119</v>
      </c>
    </row>
    <row r="94" spans="1:8" x14ac:dyDescent="0.2">
      <c r="H94" s="1" t="s">
        <v>2120</v>
      </c>
    </row>
    <row r="95" spans="1:8" x14ac:dyDescent="0.2">
      <c r="A95" s="1" t="s">
        <v>2128</v>
      </c>
      <c r="C95" s="508">
        <f>(1+20%/4)^4-1</f>
        <v>0.21550625000000001</v>
      </c>
      <c r="H95" s="1" t="s">
        <v>2121</v>
      </c>
    </row>
    <row r="96" spans="1:8" x14ac:dyDescent="0.2">
      <c r="A96" s="1" t="s">
        <v>2129</v>
      </c>
      <c r="C96" s="508"/>
      <c r="H96" s="1" t="s">
        <v>2122</v>
      </c>
    </row>
    <row r="97" spans="1:8" x14ac:dyDescent="0.2">
      <c r="H97" s="1" t="s">
        <v>2123</v>
      </c>
    </row>
    <row r="98" spans="1:8" x14ac:dyDescent="0.2">
      <c r="A98" s="1" t="s">
        <v>2130</v>
      </c>
      <c r="H98" s="1" t="s">
        <v>2124</v>
      </c>
    </row>
    <row r="99" spans="1:8" x14ac:dyDescent="0.2">
      <c r="H99" s="1" t="s">
        <v>2125</v>
      </c>
    </row>
    <row r="100" spans="1:8" x14ac:dyDescent="0.2">
      <c r="A100" s="1" t="s">
        <v>2131</v>
      </c>
      <c r="H100" s="1" t="s">
        <v>2126</v>
      </c>
    </row>
    <row r="101" spans="1:8" x14ac:dyDescent="0.2">
      <c r="H101" s="1" t="s">
        <v>2127</v>
      </c>
    </row>
    <row r="103" spans="1:8" x14ac:dyDescent="0.2">
      <c r="A103" s="1" t="s">
        <v>2132</v>
      </c>
    </row>
    <row r="104" spans="1:8" x14ac:dyDescent="0.2">
      <c r="A104" s="1" t="s">
        <v>2133</v>
      </c>
      <c r="C104" s="234">
        <f>1.215506/1.15-1</f>
        <v>5.6961739130434896E-2</v>
      </c>
    </row>
    <row r="124" spans="1:1" x14ac:dyDescent="0.2">
      <c r="A124" s="1" t="s">
        <v>146</v>
      </c>
    </row>
    <row r="126" spans="1:1" x14ac:dyDescent="0.2">
      <c r="A126" s="1" t="s">
        <v>2134</v>
      </c>
    </row>
    <row r="127" spans="1:1" x14ac:dyDescent="0.2">
      <c r="A127" s="1" t="s">
        <v>2135</v>
      </c>
    </row>
    <row r="129" spans="1:9" x14ac:dyDescent="0.2">
      <c r="A129" s="1" t="s">
        <v>2136</v>
      </c>
      <c r="G129" s="1">
        <f>3*12</f>
        <v>36</v>
      </c>
      <c r="H129" s="1" t="s">
        <v>62</v>
      </c>
    </row>
    <row r="130" spans="1:9" x14ac:dyDescent="0.2">
      <c r="A130" s="1" t="s">
        <v>2137</v>
      </c>
      <c r="G130" s="271">
        <f>(1+8%)^(1/12)-1</f>
        <v>6.4340301100034303E-3</v>
      </c>
      <c r="H130" s="1" t="s">
        <v>63</v>
      </c>
    </row>
    <row r="131" spans="1:9" x14ac:dyDescent="0.2">
      <c r="A131" s="1" t="s">
        <v>2138</v>
      </c>
      <c r="G131" s="1">
        <v>20000</v>
      </c>
      <c r="H131" s="1" t="s">
        <v>64</v>
      </c>
    </row>
    <row r="132" spans="1:9" x14ac:dyDescent="0.2">
      <c r="A132" s="1" t="s">
        <v>2140</v>
      </c>
      <c r="G132" s="90">
        <f>PMT(G130,G129,G131,G133)</f>
        <v>-624.15482826613083</v>
      </c>
      <c r="H132" s="1" t="s">
        <v>65</v>
      </c>
      <c r="I132" s="1" t="s">
        <v>77</v>
      </c>
    </row>
    <row r="133" spans="1:9" x14ac:dyDescent="0.2">
      <c r="A133" s="1" t="s">
        <v>2139</v>
      </c>
      <c r="G133" s="1">
        <v>0</v>
      </c>
      <c r="H133" s="1" t="s">
        <v>66</v>
      </c>
    </row>
    <row r="135" spans="1:9" x14ac:dyDescent="0.2">
      <c r="A135" s="1" t="s">
        <v>2141</v>
      </c>
    </row>
    <row r="136" spans="1:9" x14ac:dyDescent="0.2">
      <c r="A136" s="1" t="s">
        <v>2143</v>
      </c>
      <c r="E136" s="272">
        <f>-G132*118/112</f>
        <v>657.59169406610204</v>
      </c>
      <c r="G136" s="1" t="s">
        <v>2142</v>
      </c>
    </row>
    <row r="152" spans="1:5" x14ac:dyDescent="0.2">
      <c r="A152" s="1" t="s">
        <v>146</v>
      </c>
    </row>
    <row r="154" spans="1:5" x14ac:dyDescent="0.2">
      <c r="A154" s="1" t="s">
        <v>2144</v>
      </c>
    </row>
    <row r="155" spans="1:5" x14ac:dyDescent="0.2">
      <c r="A155" s="1" t="s">
        <v>2145</v>
      </c>
    </row>
    <row r="156" spans="1:5" x14ac:dyDescent="0.2">
      <c r="A156" s="1" t="s">
        <v>2146</v>
      </c>
    </row>
    <row r="158" spans="1:5" x14ac:dyDescent="0.2">
      <c r="B158" s="1" t="s">
        <v>99</v>
      </c>
      <c r="E158" s="509">
        <f>(1+18%/4)^4-1</f>
        <v>0.19251860062499948</v>
      </c>
    </row>
    <row r="159" spans="1:5" x14ac:dyDescent="0.2">
      <c r="E159" s="509"/>
    </row>
    <row r="173" spans="1:1" x14ac:dyDescent="0.2">
      <c r="A173" s="1" t="s">
        <v>146</v>
      </c>
    </row>
    <row r="177" spans="1:3" x14ac:dyDescent="0.2">
      <c r="A177" s="1" t="s">
        <v>2147</v>
      </c>
      <c r="C177" s="1" t="s">
        <v>2148</v>
      </c>
    </row>
  </sheetData>
  <mergeCells count="2">
    <mergeCell ref="C95:C96"/>
    <mergeCell ref="E158:E159"/>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73E7F-020F-B042-BC3F-9D150F37B6A9}">
  <dimension ref="A1:W989"/>
  <sheetViews>
    <sheetView rightToLeft="1" topLeftCell="A87" zoomScale="229" zoomScaleNormal="320" workbookViewId="0">
      <selection activeCell="C514" sqref="C514"/>
    </sheetView>
  </sheetViews>
  <sheetFormatPr baseColWidth="10" defaultRowHeight="16" x14ac:dyDescent="0.2"/>
  <cols>
    <col min="1" max="2" width="10.83203125" style="1"/>
    <col min="3" max="3" width="11.33203125" style="1" customWidth="1"/>
    <col min="4" max="5" width="10.83203125" style="1"/>
    <col min="6" max="6" width="11.6640625" style="1" bestFit="1" customWidth="1"/>
    <col min="7" max="10" width="10.83203125" style="1"/>
    <col min="11" max="11" width="11" style="1" customWidth="1"/>
    <col min="12" max="15" width="10.83203125" style="1"/>
    <col min="16" max="16" width="4" style="1" customWidth="1"/>
    <col min="17" max="17" width="12.1640625" style="1" customWidth="1"/>
    <col min="18" max="16384" width="10.83203125" style="1"/>
  </cols>
  <sheetData>
    <row r="1" spans="1:9" x14ac:dyDescent="0.2">
      <c r="A1" s="505" t="s">
        <v>1237</v>
      </c>
      <c r="B1" s="505"/>
      <c r="C1" s="505"/>
      <c r="D1" s="505"/>
      <c r="E1" s="505"/>
      <c r="F1" s="505"/>
      <c r="G1" s="505"/>
      <c r="H1" s="505"/>
      <c r="I1" s="18" t="s">
        <v>2551</v>
      </c>
    </row>
    <row r="2" spans="1:9" x14ac:dyDescent="0.2">
      <c r="A2" s="26"/>
      <c r="B2" s="26"/>
      <c r="C2" s="26"/>
      <c r="D2" s="26"/>
      <c r="E2" s="26"/>
      <c r="F2" s="26"/>
      <c r="G2" s="26"/>
      <c r="H2" s="26"/>
    </row>
    <row r="3" spans="1:9" x14ac:dyDescent="0.2">
      <c r="A3" s="20" t="s">
        <v>2237</v>
      </c>
      <c r="B3" s="20" t="s">
        <v>1594</v>
      </c>
      <c r="C3" s="26"/>
      <c r="D3" s="26"/>
      <c r="E3" s="26"/>
      <c r="F3" s="26"/>
      <c r="G3" s="26"/>
      <c r="H3" s="26"/>
    </row>
    <row r="4" spans="1:9" x14ac:dyDescent="0.2">
      <c r="A4" s="20">
        <v>1</v>
      </c>
      <c r="B4" s="29" t="s">
        <v>2238</v>
      </c>
      <c r="C4" s="26"/>
      <c r="D4" s="26"/>
      <c r="E4" s="26"/>
      <c r="F4" s="26"/>
      <c r="G4" s="26"/>
      <c r="H4" s="26"/>
    </row>
    <row r="5" spans="1:9" x14ac:dyDescent="0.2">
      <c r="A5" s="20">
        <f>A4+1</f>
        <v>2</v>
      </c>
      <c r="B5" s="29" t="s">
        <v>2239</v>
      </c>
      <c r="C5" s="26"/>
      <c r="D5" s="26"/>
      <c r="E5" s="26"/>
      <c r="F5" s="26"/>
      <c r="G5" s="26"/>
      <c r="H5" s="26"/>
    </row>
    <row r="6" spans="1:9" x14ac:dyDescent="0.2">
      <c r="A6" s="20">
        <f t="shared" ref="A6:A18" si="0">A5+1</f>
        <v>3</v>
      </c>
      <c r="B6" s="29" t="s">
        <v>2240</v>
      </c>
      <c r="C6" s="26"/>
      <c r="D6" s="26"/>
      <c r="E6" s="26"/>
      <c r="F6" s="26"/>
      <c r="G6" s="26"/>
      <c r="H6" s="26"/>
    </row>
    <row r="7" spans="1:9" x14ac:dyDescent="0.2">
      <c r="A7" s="20">
        <f t="shared" si="0"/>
        <v>4</v>
      </c>
      <c r="B7" s="29" t="s">
        <v>2241</v>
      </c>
      <c r="C7" s="26"/>
      <c r="D7" s="26"/>
      <c r="E7" s="26"/>
      <c r="F7" s="26"/>
      <c r="G7" s="26"/>
      <c r="H7" s="26"/>
    </row>
    <row r="8" spans="1:9" x14ac:dyDescent="0.2">
      <c r="A8" s="20">
        <f t="shared" si="0"/>
        <v>5</v>
      </c>
      <c r="B8" s="29" t="s">
        <v>2242</v>
      </c>
      <c r="C8" s="26"/>
      <c r="D8" s="26"/>
      <c r="E8" s="26"/>
      <c r="F8" s="26"/>
      <c r="G8" s="26"/>
      <c r="H8" s="26"/>
    </row>
    <row r="9" spans="1:9" x14ac:dyDescent="0.2">
      <c r="A9" s="20">
        <f t="shared" si="0"/>
        <v>6</v>
      </c>
      <c r="B9" s="29" t="s">
        <v>2243</v>
      </c>
      <c r="C9" s="26"/>
      <c r="D9" s="26"/>
      <c r="E9" s="26"/>
      <c r="F9" s="26"/>
      <c r="G9" s="26"/>
      <c r="H9" s="26"/>
    </row>
    <row r="10" spans="1:9" x14ac:dyDescent="0.2">
      <c r="A10" s="20">
        <f t="shared" si="0"/>
        <v>7</v>
      </c>
      <c r="B10" s="29" t="s">
        <v>2244</v>
      </c>
      <c r="C10" s="26"/>
      <c r="D10" s="26"/>
      <c r="E10" s="26"/>
      <c r="F10" s="26"/>
      <c r="G10" s="26"/>
      <c r="H10" s="26"/>
    </row>
    <row r="11" spans="1:9" x14ac:dyDescent="0.2">
      <c r="A11" s="20">
        <f t="shared" si="0"/>
        <v>8</v>
      </c>
      <c r="B11" s="29" t="s">
        <v>2245</v>
      </c>
      <c r="C11" s="26"/>
      <c r="D11" s="26"/>
      <c r="E11" s="26"/>
      <c r="F11" s="26"/>
      <c r="G11" s="26"/>
      <c r="H11" s="26"/>
    </row>
    <row r="12" spans="1:9" x14ac:dyDescent="0.2">
      <c r="A12" s="20">
        <f t="shared" si="0"/>
        <v>9</v>
      </c>
      <c r="B12" s="29" t="s">
        <v>2246</v>
      </c>
      <c r="C12" s="26"/>
      <c r="D12" s="26"/>
      <c r="E12" s="26"/>
      <c r="F12" s="26"/>
      <c r="G12" s="26"/>
      <c r="H12" s="26"/>
    </row>
    <row r="13" spans="1:9" x14ac:dyDescent="0.2">
      <c r="A13" s="20">
        <f t="shared" si="0"/>
        <v>10</v>
      </c>
      <c r="B13" s="29" t="s">
        <v>2247</v>
      </c>
      <c r="C13" s="26"/>
      <c r="D13" s="26"/>
      <c r="E13" s="26"/>
      <c r="F13" s="26"/>
      <c r="G13" s="26"/>
      <c r="H13" s="26"/>
    </row>
    <row r="14" spans="1:9" x14ac:dyDescent="0.2">
      <c r="A14" s="20">
        <f t="shared" si="0"/>
        <v>11</v>
      </c>
      <c r="B14" s="29" t="s">
        <v>2248</v>
      </c>
      <c r="C14" s="26"/>
      <c r="D14" s="26"/>
      <c r="E14" s="26"/>
      <c r="F14" s="26"/>
      <c r="G14" s="26"/>
      <c r="H14" s="26"/>
    </row>
    <row r="15" spans="1:9" x14ac:dyDescent="0.2">
      <c r="A15" s="20">
        <f t="shared" si="0"/>
        <v>12</v>
      </c>
      <c r="B15" s="29" t="s">
        <v>2249</v>
      </c>
      <c r="C15" s="26"/>
      <c r="D15" s="26"/>
      <c r="E15" s="26"/>
      <c r="F15" s="26"/>
      <c r="G15" s="26"/>
      <c r="H15" s="26"/>
    </row>
    <row r="16" spans="1:9" x14ac:dyDescent="0.2">
      <c r="A16" s="20">
        <f>A15+1</f>
        <v>13</v>
      </c>
      <c r="B16" s="29" t="s">
        <v>2250</v>
      </c>
      <c r="C16" s="26"/>
      <c r="D16" s="26"/>
      <c r="E16" s="26"/>
      <c r="F16" s="26"/>
      <c r="G16" s="26"/>
      <c r="H16" s="26"/>
    </row>
    <row r="17" spans="1:8" x14ac:dyDescent="0.2">
      <c r="A17" s="20">
        <f t="shared" si="0"/>
        <v>14</v>
      </c>
      <c r="B17" s="20" t="s">
        <v>2251</v>
      </c>
      <c r="C17" s="26"/>
      <c r="D17" s="26"/>
      <c r="E17" s="26"/>
      <c r="F17" s="26"/>
      <c r="G17" s="26"/>
      <c r="H17" s="26"/>
    </row>
    <row r="18" spans="1:8" x14ac:dyDescent="0.2">
      <c r="A18" s="20">
        <f t="shared" si="0"/>
        <v>15</v>
      </c>
      <c r="B18" s="29" t="s">
        <v>2252</v>
      </c>
      <c r="C18" s="26"/>
      <c r="D18" s="26"/>
      <c r="E18" s="26"/>
      <c r="F18" s="26"/>
      <c r="G18" s="26"/>
      <c r="H18" s="26"/>
    </row>
    <row r="19" spans="1:8" x14ac:dyDescent="0.2">
      <c r="A19" s="26"/>
      <c r="B19" s="26"/>
      <c r="C19" s="26"/>
      <c r="D19" s="26"/>
      <c r="E19" s="26"/>
      <c r="F19" s="26"/>
      <c r="G19" s="26"/>
      <c r="H19" s="26"/>
    </row>
    <row r="22" spans="1:8" x14ac:dyDescent="0.2">
      <c r="E22" s="1" t="s">
        <v>2235</v>
      </c>
    </row>
    <row r="23" spans="1:8" x14ac:dyDescent="0.2">
      <c r="E23" s="1" t="s">
        <v>2236</v>
      </c>
    </row>
    <row r="37" spans="1:23" x14ac:dyDescent="0.2">
      <c r="A37" s="151" t="s">
        <v>909</v>
      </c>
      <c r="B37" s="152"/>
      <c r="C37" s="152"/>
      <c r="D37" s="152"/>
      <c r="E37" s="152"/>
      <c r="F37" s="152"/>
      <c r="G37" s="152"/>
      <c r="H37" s="152"/>
    </row>
    <row r="38" spans="1:23" ht="17" thickBot="1" x14ac:dyDescent="0.25">
      <c r="A38" s="18"/>
    </row>
    <row r="39" spans="1:23" x14ac:dyDescent="0.2">
      <c r="A39" s="18"/>
      <c r="J39" s="132" t="s">
        <v>2548</v>
      </c>
      <c r="K39" s="334"/>
      <c r="L39" s="334"/>
      <c r="M39" s="334"/>
      <c r="N39" s="334"/>
      <c r="O39" s="334"/>
      <c r="P39" s="334"/>
      <c r="Q39" s="334"/>
      <c r="R39" s="334"/>
      <c r="S39" s="334"/>
      <c r="T39" s="334"/>
      <c r="U39" s="334"/>
      <c r="V39" s="334"/>
      <c r="W39" s="14"/>
    </row>
    <row r="40" spans="1:23" x14ac:dyDescent="0.2">
      <c r="A40" s="18"/>
      <c r="J40" s="72"/>
      <c r="W40" s="73"/>
    </row>
    <row r="41" spans="1:23" x14ac:dyDescent="0.2">
      <c r="A41" s="18"/>
      <c r="J41" s="72"/>
      <c r="W41" s="73"/>
    </row>
    <row r="42" spans="1:23" x14ac:dyDescent="0.2">
      <c r="A42" s="18"/>
      <c r="J42" s="72"/>
      <c r="Q42" s="1" t="s">
        <v>2538</v>
      </c>
      <c r="W42" s="73"/>
    </row>
    <row r="43" spans="1:23" x14ac:dyDescent="0.2">
      <c r="A43" s="18"/>
      <c r="J43" s="72"/>
      <c r="W43" s="73"/>
    </row>
    <row r="44" spans="1:23" x14ac:dyDescent="0.2">
      <c r="A44" s="18"/>
      <c r="J44" s="72"/>
      <c r="W44" s="73"/>
    </row>
    <row r="45" spans="1:23" x14ac:dyDescent="0.2">
      <c r="A45" s="18"/>
      <c r="J45" s="72"/>
      <c r="Q45" s="1" t="s">
        <v>2541</v>
      </c>
      <c r="W45" s="73"/>
    </row>
    <row r="46" spans="1:23" x14ac:dyDescent="0.2">
      <c r="A46" s="18"/>
      <c r="J46" s="72" t="s">
        <v>2535</v>
      </c>
      <c r="Q46" s="1" t="s">
        <v>2539</v>
      </c>
      <c r="S46" s="1">
        <f>400*25%</f>
        <v>100</v>
      </c>
      <c r="U46" s="1" t="s">
        <v>2540</v>
      </c>
      <c r="W46" s="73"/>
    </row>
    <row r="47" spans="1:23" x14ac:dyDescent="0.2">
      <c r="A47" s="18"/>
      <c r="J47" s="72" t="s">
        <v>2536</v>
      </c>
      <c r="W47" s="73"/>
    </row>
    <row r="48" spans="1:23" x14ac:dyDescent="0.2">
      <c r="A48" s="18"/>
      <c r="J48" s="72"/>
      <c r="Q48" s="1" t="s">
        <v>2542</v>
      </c>
      <c r="W48" s="73"/>
    </row>
    <row r="49" spans="1:23" x14ac:dyDescent="0.2">
      <c r="A49" s="18"/>
      <c r="J49" s="72"/>
      <c r="M49" s="1" t="s">
        <v>84</v>
      </c>
      <c r="Q49" s="1" t="s">
        <v>2539</v>
      </c>
      <c r="S49" s="1">
        <f>40</f>
        <v>40</v>
      </c>
      <c r="U49" s="1" t="s">
        <v>2543</v>
      </c>
      <c r="W49" s="73"/>
    </row>
    <row r="50" spans="1:23" x14ac:dyDescent="0.2">
      <c r="A50" s="18"/>
      <c r="J50" s="72"/>
      <c r="L50" s="20">
        <v>6</v>
      </c>
      <c r="M50" s="1" t="s">
        <v>1258</v>
      </c>
      <c r="W50" s="73"/>
    </row>
    <row r="51" spans="1:23" x14ac:dyDescent="0.2">
      <c r="A51" s="18"/>
      <c r="J51" s="72"/>
      <c r="K51" s="20" t="s">
        <v>87</v>
      </c>
      <c r="L51" s="20"/>
      <c r="R51" s="20">
        <v>6</v>
      </c>
      <c r="S51" s="1" t="s">
        <v>1258</v>
      </c>
      <c r="W51" s="73"/>
    </row>
    <row r="52" spans="1:23" x14ac:dyDescent="0.2">
      <c r="A52" s="18"/>
      <c r="J52" s="72"/>
      <c r="K52" s="20">
        <v>-300</v>
      </c>
      <c r="L52" s="20">
        <v>1</v>
      </c>
      <c r="Q52" s="20" t="s">
        <v>87</v>
      </c>
      <c r="R52" s="20"/>
      <c r="W52" s="73"/>
    </row>
    <row r="53" spans="1:23" x14ac:dyDescent="0.2">
      <c r="A53" s="18"/>
      <c r="J53" s="72"/>
      <c r="K53" s="20">
        <v>0</v>
      </c>
      <c r="L53" s="20">
        <v>2</v>
      </c>
      <c r="Q53" s="20">
        <v>0</v>
      </c>
      <c r="R53" s="20">
        <v>1</v>
      </c>
      <c r="W53" s="73"/>
    </row>
    <row r="54" spans="1:23" x14ac:dyDescent="0.2">
      <c r="A54" s="18"/>
      <c r="J54" s="72"/>
      <c r="K54" s="20">
        <v>0</v>
      </c>
      <c r="L54" s="20">
        <v>3</v>
      </c>
      <c r="Q54" s="20">
        <f>100-40</f>
        <v>60</v>
      </c>
      <c r="R54" s="20">
        <v>2</v>
      </c>
      <c r="W54" s="73"/>
    </row>
    <row r="55" spans="1:23" x14ac:dyDescent="0.2">
      <c r="A55" s="18"/>
      <c r="J55" s="72"/>
      <c r="K55" s="20">
        <v>0</v>
      </c>
      <c r="L55" s="20">
        <v>4</v>
      </c>
      <c r="Q55" s="20">
        <f>100-40</f>
        <v>60</v>
      </c>
      <c r="R55" s="20">
        <v>3</v>
      </c>
      <c r="W55" s="73"/>
    </row>
    <row r="56" spans="1:23" x14ac:dyDescent="0.2">
      <c r="A56" s="18"/>
      <c r="J56" s="72"/>
      <c r="K56" s="20">
        <v>0</v>
      </c>
      <c r="L56" s="20">
        <v>5</v>
      </c>
      <c r="Q56" s="20">
        <f>100-40</f>
        <v>60</v>
      </c>
      <c r="R56" s="20">
        <v>4</v>
      </c>
      <c r="W56" s="73"/>
    </row>
    <row r="57" spans="1:23" x14ac:dyDescent="0.2">
      <c r="A57" s="18"/>
      <c r="J57" s="72"/>
      <c r="K57" s="20">
        <v>0</v>
      </c>
      <c r="L57" s="20">
        <v>6</v>
      </c>
      <c r="Q57" s="20">
        <f>100-40</f>
        <v>60</v>
      </c>
      <c r="R57" s="20">
        <v>5</v>
      </c>
      <c r="W57" s="73"/>
    </row>
    <row r="58" spans="1:23" x14ac:dyDescent="0.2">
      <c r="A58" s="18"/>
      <c r="J58" s="72"/>
      <c r="K58" s="20">
        <v>0</v>
      </c>
      <c r="L58" s="20">
        <v>7</v>
      </c>
      <c r="Q58" s="20">
        <f>0-40</f>
        <v>-40</v>
      </c>
      <c r="R58" s="20">
        <v>6</v>
      </c>
      <c r="W58" s="73"/>
    </row>
    <row r="59" spans="1:23" x14ac:dyDescent="0.2">
      <c r="A59" s="18"/>
      <c r="J59" s="72"/>
      <c r="K59" s="20">
        <v>0</v>
      </c>
      <c r="L59" s="20">
        <v>8</v>
      </c>
      <c r="Q59" s="20">
        <f>0-40</f>
        <v>-40</v>
      </c>
      <c r="R59" s="20">
        <v>7</v>
      </c>
      <c r="W59" s="73"/>
    </row>
    <row r="60" spans="1:23" x14ac:dyDescent="0.2">
      <c r="J60" s="72"/>
      <c r="K60" s="20">
        <v>0</v>
      </c>
      <c r="L60" s="20">
        <v>9</v>
      </c>
      <c r="Q60" s="20">
        <f t="shared" ref="Q60:Q63" si="1">0-40</f>
        <v>-40</v>
      </c>
      <c r="R60" s="20">
        <v>8</v>
      </c>
      <c r="W60" s="73"/>
    </row>
    <row r="61" spans="1:23" x14ac:dyDescent="0.2">
      <c r="J61" s="72"/>
      <c r="K61" s="20">
        <v>0</v>
      </c>
      <c r="L61" s="20">
        <v>10</v>
      </c>
      <c r="Q61" s="20">
        <f t="shared" si="1"/>
        <v>-40</v>
      </c>
      <c r="R61" s="20">
        <v>9</v>
      </c>
      <c r="W61" s="73"/>
    </row>
    <row r="62" spans="1:23" x14ac:dyDescent="0.2">
      <c r="J62" s="72"/>
      <c r="K62" s="20">
        <v>300</v>
      </c>
      <c r="L62" s="20">
        <v>11</v>
      </c>
      <c r="Q62" s="20">
        <f t="shared" si="1"/>
        <v>-40</v>
      </c>
      <c r="R62" s="20">
        <v>10</v>
      </c>
      <c r="W62" s="73"/>
    </row>
    <row r="63" spans="1:23" x14ac:dyDescent="0.2">
      <c r="J63" s="72"/>
      <c r="K63" s="50">
        <f>NPV(6%,K53:K62)+K52</f>
        <v>-132.48156692546465</v>
      </c>
      <c r="M63" s="1" t="s">
        <v>2537</v>
      </c>
      <c r="Q63" s="20">
        <f t="shared" si="1"/>
        <v>-40</v>
      </c>
      <c r="R63" s="20">
        <v>11</v>
      </c>
      <c r="W63" s="73"/>
    </row>
    <row r="64" spans="1:23" x14ac:dyDescent="0.2">
      <c r="J64" s="72"/>
      <c r="W64" s="73"/>
    </row>
    <row r="65" spans="1:23" x14ac:dyDescent="0.2">
      <c r="J65" s="72"/>
      <c r="Q65" s="50">
        <f>NPV(6%,Q54:Q63)+Q53</f>
        <v>52.107079213377816</v>
      </c>
      <c r="S65" s="1" t="s">
        <v>1266</v>
      </c>
      <c r="T65" s="1" t="s">
        <v>2544</v>
      </c>
      <c r="W65" s="73"/>
    </row>
    <row r="66" spans="1:23" x14ac:dyDescent="0.2">
      <c r="J66" s="72"/>
      <c r="W66" s="73"/>
    </row>
    <row r="67" spans="1:23" ht="21" x14ac:dyDescent="0.25">
      <c r="A67" s="335" t="s">
        <v>2549</v>
      </c>
      <c r="J67" s="72"/>
      <c r="W67" s="73"/>
    </row>
    <row r="68" spans="1:23" x14ac:dyDescent="0.2">
      <c r="A68" s="1" t="s">
        <v>2253</v>
      </c>
      <c r="J68" s="72"/>
      <c r="W68" s="73"/>
    </row>
    <row r="69" spans="1:23" x14ac:dyDescent="0.2">
      <c r="A69" s="1" t="s">
        <v>2254</v>
      </c>
      <c r="J69" s="72"/>
      <c r="W69" s="73"/>
    </row>
    <row r="70" spans="1:23" x14ac:dyDescent="0.2">
      <c r="A70" s="1" t="s">
        <v>2255</v>
      </c>
      <c r="J70" s="72"/>
      <c r="M70" s="1" t="s">
        <v>2545</v>
      </c>
      <c r="O70" s="32">
        <f>Q65+K63</f>
        <v>-80.374487712086832</v>
      </c>
      <c r="W70" s="73"/>
    </row>
    <row r="71" spans="1:23" x14ac:dyDescent="0.2">
      <c r="A71" s="1" t="s">
        <v>2256</v>
      </c>
      <c r="J71" s="72"/>
      <c r="M71" s="1" t="s">
        <v>2546</v>
      </c>
      <c r="O71" s="1">
        <v>1100</v>
      </c>
      <c r="W71" s="73"/>
    </row>
    <row r="72" spans="1:23" ht="17" thickBot="1" x14ac:dyDescent="0.25">
      <c r="J72" s="15"/>
      <c r="K72" s="16"/>
      <c r="L72" s="16"/>
      <c r="M72" s="16" t="s">
        <v>2547</v>
      </c>
      <c r="N72" s="16"/>
      <c r="O72" s="333">
        <f>O70+O71</f>
        <v>1019.6255122879131</v>
      </c>
      <c r="P72" s="16"/>
      <c r="Q72" s="16"/>
      <c r="R72" s="16"/>
      <c r="S72" s="16"/>
      <c r="T72" s="16"/>
      <c r="U72" s="16"/>
      <c r="V72" s="16"/>
      <c r="W72" s="17"/>
    </row>
    <row r="73" spans="1:23" x14ac:dyDescent="0.2">
      <c r="A73" s="1" t="s">
        <v>2257</v>
      </c>
    </row>
    <row r="75" spans="1:23" x14ac:dyDescent="0.2">
      <c r="A75" s="1" t="s">
        <v>2260</v>
      </c>
      <c r="D75" s="27">
        <v>0</v>
      </c>
      <c r="E75" s="27">
        <v>1</v>
      </c>
      <c r="F75" s="27">
        <f>E75+1</f>
        <v>2</v>
      </c>
      <c r="G75" s="27">
        <f t="shared" ref="G75:N75" si="2">F75+1</f>
        <v>3</v>
      </c>
      <c r="H75" s="27">
        <f t="shared" si="2"/>
        <v>4</v>
      </c>
      <c r="I75" s="27">
        <f t="shared" si="2"/>
        <v>5</v>
      </c>
      <c r="J75" s="27">
        <f t="shared" si="2"/>
        <v>6</v>
      </c>
      <c r="K75" s="27">
        <f t="shared" si="2"/>
        <v>7</v>
      </c>
      <c r="L75" s="27">
        <f t="shared" si="2"/>
        <v>8</v>
      </c>
      <c r="M75" s="27">
        <f>L75+1</f>
        <v>9</v>
      </c>
      <c r="N75" s="27">
        <f t="shared" si="2"/>
        <v>10</v>
      </c>
    </row>
    <row r="76" spans="1:23" x14ac:dyDescent="0.2">
      <c r="A76" s="1" t="s">
        <v>2258</v>
      </c>
      <c r="E76" s="20">
        <f>1600/10</f>
        <v>160</v>
      </c>
      <c r="F76" s="20">
        <f>E76</f>
        <v>160</v>
      </c>
      <c r="G76" s="20">
        <f t="shared" ref="G76:N76" si="3">F76</f>
        <v>160</v>
      </c>
      <c r="H76" s="20">
        <f t="shared" si="3"/>
        <v>160</v>
      </c>
      <c r="I76" s="20">
        <f t="shared" si="3"/>
        <v>160</v>
      </c>
      <c r="J76" s="20">
        <f t="shared" si="3"/>
        <v>160</v>
      </c>
      <c r="K76" s="20">
        <f t="shared" si="3"/>
        <v>160</v>
      </c>
      <c r="L76" s="20">
        <f t="shared" si="3"/>
        <v>160</v>
      </c>
      <c r="M76" s="20">
        <f t="shared" si="3"/>
        <v>160</v>
      </c>
      <c r="N76" s="20">
        <f t="shared" si="3"/>
        <v>160</v>
      </c>
    </row>
    <row r="77" spans="1:23" x14ac:dyDescent="0.2">
      <c r="A77" s="1" t="s">
        <v>2259</v>
      </c>
      <c r="E77" s="20">
        <f>1600/4</f>
        <v>400</v>
      </c>
      <c r="F77" s="20">
        <f>1600/4</f>
        <v>400</v>
      </c>
      <c r="G77" s="20">
        <f>1600/4</f>
        <v>400</v>
      </c>
      <c r="H77" s="20">
        <f>1600/4</f>
        <v>400</v>
      </c>
      <c r="I77" s="20"/>
      <c r="J77" s="20"/>
      <c r="K77" s="20"/>
      <c r="L77" s="20"/>
      <c r="M77" s="20"/>
      <c r="N77" s="20"/>
    </row>
    <row r="78" spans="1:23" x14ac:dyDescent="0.2">
      <c r="A78" s="1" t="s">
        <v>2263</v>
      </c>
      <c r="E78" s="98">
        <f>E77-E76</f>
        <v>240</v>
      </c>
      <c r="F78" s="98">
        <f>F77-F76</f>
        <v>240</v>
      </c>
      <c r="G78" s="98">
        <f>G77-G76</f>
        <v>240</v>
      </c>
      <c r="H78" s="98">
        <f>H77-H76</f>
        <v>240</v>
      </c>
      <c r="I78" s="98">
        <v>-160</v>
      </c>
      <c r="J78" s="98">
        <v>-160</v>
      </c>
      <c r="K78" s="98">
        <v>-160</v>
      </c>
      <c r="L78" s="98">
        <v>-160</v>
      </c>
      <c r="M78" s="98">
        <v>-160</v>
      </c>
      <c r="N78" s="98">
        <v>-160</v>
      </c>
    </row>
    <row r="79" spans="1:23" x14ac:dyDescent="0.2">
      <c r="A79" s="1" t="s">
        <v>2261</v>
      </c>
      <c r="E79" s="51">
        <v>0.25</v>
      </c>
      <c r="F79" s="51">
        <v>0.25</v>
      </c>
      <c r="G79" s="51">
        <v>0.25</v>
      </c>
      <c r="H79" s="51">
        <v>0.25</v>
      </c>
      <c r="I79" s="51">
        <v>0.25</v>
      </c>
      <c r="J79" s="51">
        <v>0.25</v>
      </c>
      <c r="K79" s="51">
        <v>0.25</v>
      </c>
      <c r="L79" s="51">
        <v>0.25</v>
      </c>
      <c r="M79" s="51">
        <v>0.25</v>
      </c>
      <c r="N79" s="51">
        <v>0.25</v>
      </c>
    </row>
    <row r="80" spans="1:23" x14ac:dyDescent="0.2">
      <c r="A80" s="1" t="s">
        <v>2262</v>
      </c>
      <c r="E80" s="306">
        <f>E78*E79</f>
        <v>60</v>
      </c>
      <c r="F80" s="306">
        <f>F78*F79</f>
        <v>60</v>
      </c>
      <c r="G80" s="306">
        <f>G78*G79</f>
        <v>60</v>
      </c>
      <c r="H80" s="306">
        <f>H78*H79</f>
        <v>60</v>
      </c>
      <c r="I80" s="306">
        <f>I78*I79</f>
        <v>-40</v>
      </c>
      <c r="J80" s="306">
        <f t="shared" ref="J80:N80" si="4">J78*J79</f>
        <v>-40</v>
      </c>
      <c r="K80" s="306">
        <f t="shared" si="4"/>
        <v>-40</v>
      </c>
      <c r="L80" s="306">
        <f t="shared" si="4"/>
        <v>-40</v>
      </c>
      <c r="M80" s="306">
        <f t="shared" si="4"/>
        <v>-40</v>
      </c>
      <c r="N80" s="306">
        <f t="shared" si="4"/>
        <v>-40</v>
      </c>
    </row>
    <row r="82" spans="1:14" x14ac:dyDescent="0.2">
      <c r="A82" s="1" t="s">
        <v>2264</v>
      </c>
      <c r="D82" s="69">
        <v>-300</v>
      </c>
      <c r="F82" s="20"/>
      <c r="G82" s="20"/>
      <c r="H82" s="20"/>
      <c r="I82" s="20"/>
      <c r="J82" s="20"/>
      <c r="K82" s="20"/>
      <c r="L82" s="20"/>
      <c r="M82" s="20"/>
      <c r="N82" s="69">
        <f>-D82</f>
        <v>300</v>
      </c>
    </row>
    <row r="84" spans="1:14" x14ac:dyDescent="0.2">
      <c r="A84" s="1" t="s">
        <v>2271</v>
      </c>
      <c r="D84" s="307">
        <f>D82</f>
        <v>-300</v>
      </c>
      <c r="E84" s="307">
        <f>E80</f>
        <v>60</v>
      </c>
      <c r="F84" s="307">
        <f t="shared" ref="F84:N84" si="5">F80+F82</f>
        <v>60</v>
      </c>
      <c r="G84" s="307">
        <f t="shared" si="5"/>
        <v>60</v>
      </c>
      <c r="H84" s="307">
        <f t="shared" si="5"/>
        <v>60</v>
      </c>
      <c r="I84" s="307">
        <f t="shared" si="5"/>
        <v>-40</v>
      </c>
      <c r="J84" s="307">
        <f t="shared" si="5"/>
        <v>-40</v>
      </c>
      <c r="K84" s="307">
        <f t="shared" si="5"/>
        <v>-40</v>
      </c>
      <c r="L84" s="307">
        <f t="shared" si="5"/>
        <v>-40</v>
      </c>
      <c r="M84" s="307">
        <f t="shared" si="5"/>
        <v>-40</v>
      </c>
      <c r="N84" s="307">
        <f t="shared" si="5"/>
        <v>260</v>
      </c>
    </row>
    <row r="88" spans="1:14" x14ac:dyDescent="0.2">
      <c r="A88" s="1" t="s">
        <v>834</v>
      </c>
      <c r="B88" s="1" t="s">
        <v>2265</v>
      </c>
    </row>
    <row r="89" spans="1:14" x14ac:dyDescent="0.2">
      <c r="B89" s="1" t="s">
        <v>2266</v>
      </c>
    </row>
    <row r="90" spans="1:14" x14ac:dyDescent="0.2">
      <c r="B90" s="1" t="s">
        <v>2267</v>
      </c>
    </row>
    <row r="91" spans="1:14" x14ac:dyDescent="0.2">
      <c r="B91" s="18" t="s">
        <v>2268</v>
      </c>
      <c r="C91" s="18"/>
      <c r="D91" s="18"/>
      <c r="E91" s="18"/>
      <c r="F91" s="18"/>
      <c r="G91" s="18"/>
    </row>
    <row r="92" spans="1:14" x14ac:dyDescent="0.2">
      <c r="B92" s="1" t="s">
        <v>2269</v>
      </c>
    </row>
    <row r="93" spans="1:14" x14ac:dyDescent="0.2">
      <c r="B93" s="1" t="s">
        <v>2270</v>
      </c>
    </row>
    <row r="96" spans="1:14" x14ac:dyDescent="0.2">
      <c r="A96" s="1" t="s">
        <v>2272</v>
      </c>
    </row>
    <row r="97" spans="1:10" x14ac:dyDescent="0.2">
      <c r="A97" s="1" t="s">
        <v>2273</v>
      </c>
    </row>
    <row r="99" spans="1:10" x14ac:dyDescent="0.2">
      <c r="I99" s="1" t="s">
        <v>955</v>
      </c>
    </row>
    <row r="100" spans="1:10" x14ac:dyDescent="0.2">
      <c r="H100" s="1">
        <v>6</v>
      </c>
      <c r="I100" s="1" t="s">
        <v>1258</v>
      </c>
      <c r="J100" s="1" t="s">
        <v>2274</v>
      </c>
    </row>
    <row r="101" spans="1:10" x14ac:dyDescent="0.2">
      <c r="F101" s="20" t="s">
        <v>87</v>
      </c>
      <c r="I101" s="1" t="s">
        <v>2275</v>
      </c>
    </row>
    <row r="102" spans="1:10" x14ac:dyDescent="0.2">
      <c r="B102" s="519" t="s">
        <v>2281</v>
      </c>
      <c r="C102" s="520"/>
      <c r="D102" s="520"/>
      <c r="E102" s="521"/>
      <c r="F102" s="20">
        <v>-300</v>
      </c>
      <c r="G102" s="1">
        <v>1</v>
      </c>
    </row>
    <row r="103" spans="1:10" x14ac:dyDescent="0.2">
      <c r="B103" s="511" t="s">
        <v>2282</v>
      </c>
      <c r="C103" s="512"/>
      <c r="D103" s="512"/>
      <c r="E103" s="513"/>
      <c r="F103" s="20">
        <v>60</v>
      </c>
      <c r="G103" s="1">
        <v>2</v>
      </c>
    </row>
    <row r="104" spans="1:10" x14ac:dyDescent="0.2">
      <c r="B104" s="514"/>
      <c r="C104" s="491"/>
      <c r="D104" s="491"/>
      <c r="E104" s="515"/>
      <c r="F104" s="20">
        <v>60</v>
      </c>
      <c r="G104" s="1">
        <v>3</v>
      </c>
    </row>
    <row r="105" spans="1:10" x14ac:dyDescent="0.2">
      <c r="B105" s="514"/>
      <c r="C105" s="491"/>
      <c r="D105" s="491"/>
      <c r="E105" s="515"/>
      <c r="F105" s="20">
        <v>60</v>
      </c>
      <c r="G105" s="1">
        <v>4</v>
      </c>
    </row>
    <row r="106" spans="1:10" x14ac:dyDescent="0.2">
      <c r="B106" s="516"/>
      <c r="C106" s="517"/>
      <c r="D106" s="517"/>
      <c r="E106" s="518"/>
      <c r="F106" s="20">
        <v>60</v>
      </c>
      <c r="G106" s="1">
        <v>5</v>
      </c>
    </row>
    <row r="107" spans="1:10" x14ac:dyDescent="0.2">
      <c r="B107" s="511" t="s">
        <v>2283</v>
      </c>
      <c r="C107" s="512"/>
      <c r="D107" s="512"/>
      <c r="E107" s="513"/>
      <c r="F107" s="20">
        <v>-40</v>
      </c>
      <c r="G107" s="1">
        <v>6</v>
      </c>
    </row>
    <row r="108" spans="1:10" x14ac:dyDescent="0.2">
      <c r="B108" s="514"/>
      <c r="C108" s="491"/>
      <c r="D108" s="491"/>
      <c r="E108" s="515"/>
      <c r="F108" s="20">
        <v>-40</v>
      </c>
      <c r="G108" s="1">
        <v>7</v>
      </c>
    </row>
    <row r="109" spans="1:10" x14ac:dyDescent="0.2">
      <c r="B109" s="514"/>
      <c r="C109" s="491"/>
      <c r="D109" s="491"/>
      <c r="E109" s="515"/>
      <c r="F109" s="20">
        <v>-40</v>
      </c>
      <c r="G109" s="1">
        <v>8</v>
      </c>
    </row>
    <row r="110" spans="1:10" x14ac:dyDescent="0.2">
      <c r="B110" s="514"/>
      <c r="C110" s="491"/>
      <c r="D110" s="491"/>
      <c r="E110" s="515"/>
      <c r="F110" s="20">
        <v>-40</v>
      </c>
      <c r="G110" s="1">
        <v>9</v>
      </c>
    </row>
    <row r="111" spans="1:10" x14ac:dyDescent="0.2">
      <c r="B111" s="516"/>
      <c r="C111" s="517"/>
      <c r="D111" s="517"/>
      <c r="E111" s="518"/>
      <c r="F111" s="20">
        <v>-40</v>
      </c>
      <c r="G111" s="1">
        <v>10</v>
      </c>
    </row>
    <row r="112" spans="1:10" x14ac:dyDescent="0.2">
      <c r="A112" s="1" t="s">
        <v>2278</v>
      </c>
      <c r="C112" s="30">
        <f>NPV(6%,F103:F112)+F102</f>
        <v>-80.37448771208679</v>
      </c>
      <c r="E112" s="1" t="s">
        <v>2276</v>
      </c>
      <c r="F112" s="20">
        <v>260</v>
      </c>
      <c r="G112" s="1">
        <v>11</v>
      </c>
      <c r="H112" s="1" t="s">
        <v>2284</v>
      </c>
    </row>
    <row r="113" spans="1:8" x14ac:dyDescent="0.2">
      <c r="C113" s="20"/>
    </row>
    <row r="114" spans="1:8" x14ac:dyDescent="0.2">
      <c r="A114" s="1" t="s">
        <v>2277</v>
      </c>
      <c r="C114" s="24">
        <v>1100</v>
      </c>
    </row>
    <row r="115" spans="1:8" x14ac:dyDescent="0.2">
      <c r="C115" s="20"/>
    </row>
    <row r="116" spans="1:8" ht="21" x14ac:dyDescent="0.25">
      <c r="A116" s="1" t="s">
        <v>2279</v>
      </c>
      <c r="C116" s="308">
        <f>C112+C114</f>
        <v>1019.6255122879132</v>
      </c>
      <c r="E116" s="1" t="s">
        <v>2280</v>
      </c>
    </row>
    <row r="117" spans="1:8" ht="21" x14ac:dyDescent="0.25">
      <c r="C117" s="309" t="s">
        <v>245</v>
      </c>
    </row>
    <row r="119" spans="1:8" x14ac:dyDescent="0.2">
      <c r="A119" s="151" t="s">
        <v>919</v>
      </c>
      <c r="B119" s="152"/>
      <c r="C119" s="152"/>
      <c r="D119" s="152"/>
      <c r="E119" s="152"/>
      <c r="F119" s="152"/>
      <c r="G119" s="152"/>
      <c r="H119" s="152"/>
    </row>
    <row r="132" spans="1:9" x14ac:dyDescent="0.2">
      <c r="A132" s="1" t="s">
        <v>146</v>
      </c>
    </row>
    <row r="134" spans="1:9" x14ac:dyDescent="0.2">
      <c r="A134" s="1" t="s">
        <v>2285</v>
      </c>
    </row>
    <row r="135" spans="1:9" x14ac:dyDescent="0.2">
      <c r="A135" s="1" t="s">
        <v>2286</v>
      </c>
    </row>
    <row r="136" spans="1:9" x14ac:dyDescent="0.2">
      <c r="A136" s="1" t="s">
        <v>2287</v>
      </c>
    </row>
    <row r="138" spans="1:9" x14ac:dyDescent="0.2">
      <c r="A138" s="1" t="s">
        <v>2288</v>
      </c>
      <c r="I138" s="311">
        <v>3600</v>
      </c>
    </row>
    <row r="140" spans="1:9" x14ac:dyDescent="0.2">
      <c r="A140" s="1" t="s">
        <v>2289</v>
      </c>
    </row>
    <row r="141" spans="1:9" x14ac:dyDescent="0.2">
      <c r="A141" s="1" t="s">
        <v>2290</v>
      </c>
    </row>
    <row r="142" spans="1:9" x14ac:dyDescent="0.2">
      <c r="A142" s="1" t="s">
        <v>2291</v>
      </c>
    </row>
    <row r="143" spans="1:9" x14ac:dyDescent="0.2">
      <c r="I143" s="1" t="s">
        <v>60</v>
      </c>
    </row>
    <row r="144" spans="1:9" x14ac:dyDescent="0.2">
      <c r="H144" s="20" t="s">
        <v>75</v>
      </c>
      <c r="I144" s="1" t="s">
        <v>111</v>
      </c>
    </row>
    <row r="145" spans="1:10" x14ac:dyDescent="0.2">
      <c r="H145" s="20">
        <v>12</v>
      </c>
      <c r="I145" s="1" t="s">
        <v>62</v>
      </c>
    </row>
    <row r="146" spans="1:10" ht="17" thickBot="1" x14ac:dyDescent="0.25">
      <c r="E146" s="1" t="s">
        <v>2293</v>
      </c>
      <c r="H146" s="20">
        <v>2</v>
      </c>
      <c r="I146" s="1" t="s">
        <v>63</v>
      </c>
    </row>
    <row r="147" spans="1:10" ht="17" thickBot="1" x14ac:dyDescent="0.25">
      <c r="F147" s="312">
        <f>3600</f>
        <v>3600</v>
      </c>
      <c r="G147" s="310" t="s">
        <v>2292</v>
      </c>
      <c r="H147" s="57">
        <f>PV(H146/100,H145,H148,H149)</f>
        <v>3000.0127975497858</v>
      </c>
      <c r="I147" s="1" t="s">
        <v>64</v>
      </c>
      <c r="J147" s="1" t="s">
        <v>227</v>
      </c>
    </row>
    <row r="148" spans="1:10" x14ac:dyDescent="0.2">
      <c r="H148" s="20">
        <v>-283.68</v>
      </c>
      <c r="I148" s="1" t="s">
        <v>65</v>
      </c>
    </row>
    <row r="149" spans="1:10" x14ac:dyDescent="0.2">
      <c r="H149" s="20">
        <v>0</v>
      </c>
      <c r="I149" s="1" t="s">
        <v>66</v>
      </c>
    </row>
    <row r="151" spans="1:10" x14ac:dyDescent="0.2">
      <c r="A151" s="1" t="s">
        <v>2294</v>
      </c>
    </row>
    <row r="152" spans="1:10" x14ac:dyDescent="0.2">
      <c r="I152" s="1" t="s">
        <v>60</v>
      </c>
    </row>
    <row r="153" spans="1:10" x14ac:dyDescent="0.2">
      <c r="H153" s="20" t="s">
        <v>75</v>
      </c>
      <c r="I153" s="1" t="s">
        <v>111</v>
      </c>
    </row>
    <row r="154" spans="1:10" x14ac:dyDescent="0.2">
      <c r="H154" s="20">
        <v>12</v>
      </c>
      <c r="I154" s="1" t="s">
        <v>62</v>
      </c>
    </row>
    <row r="155" spans="1:10" ht="17" thickBot="1" x14ac:dyDescent="0.25">
      <c r="E155" s="1" t="s">
        <v>2296</v>
      </c>
      <c r="H155" s="20">
        <v>2</v>
      </c>
      <c r="I155" s="1" t="s">
        <v>63</v>
      </c>
    </row>
    <row r="156" spans="1:10" ht="17" thickBot="1" x14ac:dyDescent="0.25">
      <c r="F156" s="312">
        <f>3600</f>
        <v>3600</v>
      </c>
      <c r="G156" s="310" t="s">
        <v>2295</v>
      </c>
      <c r="H156" s="57">
        <f>PV(H155/100,H154,H157,H158)</f>
        <v>2599.9476391624889</v>
      </c>
      <c r="I156" s="1" t="s">
        <v>64</v>
      </c>
      <c r="J156" s="1" t="s">
        <v>227</v>
      </c>
    </row>
    <row r="157" spans="1:10" x14ac:dyDescent="0.2">
      <c r="H157" s="20">
        <v>-245.85</v>
      </c>
      <c r="I157" s="1" t="s">
        <v>65</v>
      </c>
    </row>
    <row r="158" spans="1:10" x14ac:dyDescent="0.2">
      <c r="H158" s="20">
        <v>0</v>
      </c>
      <c r="I158" s="1" t="s">
        <v>66</v>
      </c>
    </row>
    <row r="160" spans="1:10" x14ac:dyDescent="0.2">
      <c r="A160" s="1" t="s">
        <v>2297</v>
      </c>
    </row>
    <row r="162" spans="1:8" x14ac:dyDescent="0.2">
      <c r="A162" s="151" t="s">
        <v>927</v>
      </c>
      <c r="B162" s="152"/>
      <c r="C162" s="152"/>
      <c r="D162" s="152"/>
      <c r="E162" s="152"/>
      <c r="F162" s="152"/>
      <c r="G162" s="152"/>
      <c r="H162" s="152"/>
    </row>
    <row r="175" spans="1:8" x14ac:dyDescent="0.2">
      <c r="A175" s="1" t="s">
        <v>146</v>
      </c>
    </row>
    <row r="177" spans="1:6" x14ac:dyDescent="0.2">
      <c r="A177" s="1" t="s">
        <v>2298</v>
      </c>
    </row>
    <row r="178" spans="1:6" x14ac:dyDescent="0.2">
      <c r="B178" s="1" t="s">
        <v>2299</v>
      </c>
    </row>
    <row r="179" spans="1:6" x14ac:dyDescent="0.2">
      <c r="B179" s="1" t="s">
        <v>2300</v>
      </c>
    </row>
    <row r="181" spans="1:6" x14ac:dyDescent="0.2">
      <c r="A181" s="1" t="s">
        <v>2301</v>
      </c>
      <c r="B181" s="1" t="s">
        <v>2302</v>
      </c>
    </row>
    <row r="183" spans="1:6" x14ac:dyDescent="0.2">
      <c r="A183" s="1" t="s">
        <v>2303</v>
      </c>
      <c r="B183" s="1" t="s">
        <v>2304</v>
      </c>
    </row>
    <row r="185" spans="1:6" x14ac:dyDescent="0.2">
      <c r="A185" s="63" t="s">
        <v>2305</v>
      </c>
    </row>
    <row r="186" spans="1:6" x14ac:dyDescent="0.2">
      <c r="A186" s="1" t="s">
        <v>2306</v>
      </c>
    </row>
    <row r="189" spans="1:6" x14ac:dyDescent="0.2">
      <c r="B189" s="522" t="s">
        <v>2307</v>
      </c>
      <c r="C189" s="524" t="s">
        <v>29</v>
      </c>
    </row>
    <row r="190" spans="1:6" x14ac:dyDescent="0.2">
      <c r="B190" s="523"/>
      <c r="C190" s="525"/>
    </row>
    <row r="191" spans="1:6" x14ac:dyDescent="0.2">
      <c r="B191" s="522" t="s">
        <v>2309</v>
      </c>
      <c r="C191" s="524" t="s">
        <v>2310</v>
      </c>
      <c r="F191" s="313">
        <f>1.05^4-1</f>
        <v>0.21550625000000001</v>
      </c>
    </row>
    <row r="192" spans="1:6" x14ac:dyDescent="0.2">
      <c r="B192" s="523"/>
      <c r="C192" s="525"/>
    </row>
    <row r="193" spans="1:7" x14ac:dyDescent="0.2">
      <c r="B193" s="522" t="s">
        <v>2308</v>
      </c>
      <c r="C193" s="524" t="s">
        <v>29</v>
      </c>
    </row>
    <row r="194" spans="1:7" x14ac:dyDescent="0.2">
      <c r="B194" s="523"/>
      <c r="C194" s="525"/>
    </row>
    <row r="196" spans="1:7" x14ac:dyDescent="0.2">
      <c r="A196" s="63" t="s">
        <v>2311</v>
      </c>
    </row>
    <row r="198" spans="1:7" x14ac:dyDescent="0.2">
      <c r="C198" s="314">
        <f>(1+19%/365)^365-1</f>
        <v>0.2091898200018163</v>
      </c>
    </row>
    <row r="200" spans="1:7" x14ac:dyDescent="0.2">
      <c r="A200" s="63" t="s">
        <v>2312</v>
      </c>
      <c r="B200" s="63"/>
    </row>
    <row r="201" spans="1:7" x14ac:dyDescent="0.2">
      <c r="A201" s="1" t="s">
        <v>2313</v>
      </c>
    </row>
    <row r="203" spans="1:7" x14ac:dyDescent="0.2">
      <c r="D203" s="20">
        <v>1</v>
      </c>
      <c r="F203" s="20">
        <v>0</v>
      </c>
    </row>
    <row r="204" spans="1:7" x14ac:dyDescent="0.2">
      <c r="F204" s="20"/>
    </row>
    <row r="205" spans="1:7" x14ac:dyDescent="0.2">
      <c r="D205" s="20">
        <v>-1</v>
      </c>
      <c r="F205" s="20">
        <v>1</v>
      </c>
      <c r="G205" s="1" t="s">
        <v>2314</v>
      </c>
    </row>
    <row r="206" spans="1:7" x14ac:dyDescent="0.2">
      <c r="F206" s="20">
        <v>-0.18</v>
      </c>
      <c r="G206" s="1" t="s">
        <v>2315</v>
      </c>
    </row>
    <row r="207" spans="1:7" x14ac:dyDescent="0.2">
      <c r="F207" s="20">
        <f>F205+F206</f>
        <v>0.82000000000000006</v>
      </c>
      <c r="G207" s="1" t="s">
        <v>2316</v>
      </c>
    </row>
    <row r="208" spans="1:7" x14ac:dyDescent="0.2">
      <c r="F208" s="20"/>
    </row>
    <row r="209" spans="1:6" x14ac:dyDescent="0.2">
      <c r="C209" s="313">
        <f>1/0.82-1</f>
        <v>0.21951219512195119</v>
      </c>
      <c r="F209" s="20"/>
    </row>
    <row r="210" spans="1:6" x14ac:dyDescent="0.2">
      <c r="F210" s="20"/>
    </row>
    <row r="211" spans="1:6" x14ac:dyDescent="0.2">
      <c r="A211" s="1" t="s">
        <v>2317</v>
      </c>
    </row>
    <row r="215" spans="1:6" x14ac:dyDescent="0.2">
      <c r="A215" s="63" t="s">
        <v>2318</v>
      </c>
    </row>
    <row r="216" spans="1:6" x14ac:dyDescent="0.2">
      <c r="A216" s="1" t="s">
        <v>2319</v>
      </c>
    </row>
    <row r="217" spans="1:6" x14ac:dyDescent="0.2">
      <c r="A217" s="1" t="s">
        <v>2320</v>
      </c>
    </row>
    <row r="218" spans="1:6" x14ac:dyDescent="0.2">
      <c r="A218" s="1" t="s">
        <v>2321</v>
      </c>
    </row>
    <row r="222" spans="1:6" x14ac:dyDescent="0.2">
      <c r="D222" s="1" t="s">
        <v>845</v>
      </c>
    </row>
    <row r="223" spans="1:6" x14ac:dyDescent="0.2">
      <c r="F223" s="1" t="s">
        <v>2322</v>
      </c>
    </row>
    <row r="224" spans="1:6" x14ac:dyDescent="0.2">
      <c r="F224" s="1" t="s">
        <v>2323</v>
      </c>
    </row>
    <row r="226" spans="1:8" x14ac:dyDescent="0.2">
      <c r="E226" s="1" t="s">
        <v>850</v>
      </c>
    </row>
    <row r="230" spans="1:8" x14ac:dyDescent="0.2">
      <c r="D230" s="315">
        <f>1.18*1.03-1</f>
        <v>0.21540000000000004</v>
      </c>
      <c r="E230" s="1" t="s">
        <v>2324</v>
      </c>
    </row>
    <row r="232" spans="1:8" x14ac:dyDescent="0.2">
      <c r="A232" s="1" t="s">
        <v>2325</v>
      </c>
    </row>
    <row r="233" spans="1:8" ht="17" thickBot="1" x14ac:dyDescent="0.25">
      <c r="A233" s="16" t="s">
        <v>2326</v>
      </c>
      <c r="B233" s="16" t="s">
        <v>216</v>
      </c>
    </row>
    <row r="234" spans="1:8" x14ac:dyDescent="0.2">
      <c r="A234" s="1" t="s">
        <v>171</v>
      </c>
      <c r="B234" s="156">
        <f>F191</f>
        <v>0.21550625000000001</v>
      </c>
    </row>
    <row r="235" spans="1:8" x14ac:dyDescent="0.2">
      <c r="A235" s="1" t="s">
        <v>172</v>
      </c>
      <c r="B235" s="156">
        <f>C209</f>
        <v>0.21951219512195119</v>
      </c>
    </row>
    <row r="236" spans="1:8" x14ac:dyDescent="0.2">
      <c r="A236" s="18" t="s">
        <v>173</v>
      </c>
      <c r="B236" s="316">
        <f>C198</f>
        <v>0.2091898200018163</v>
      </c>
      <c r="C236" s="18" t="s">
        <v>2327</v>
      </c>
      <c r="D236" s="18"/>
    </row>
    <row r="237" spans="1:8" x14ac:dyDescent="0.2">
      <c r="A237" s="1" t="s">
        <v>174</v>
      </c>
      <c r="B237" s="277">
        <f>D230</f>
        <v>0.21540000000000004</v>
      </c>
    </row>
    <row r="240" spans="1:8" x14ac:dyDescent="0.2">
      <c r="A240" s="151" t="s">
        <v>1153</v>
      </c>
      <c r="B240" s="152"/>
      <c r="C240" s="152"/>
      <c r="D240" s="152"/>
      <c r="E240" s="152"/>
      <c r="F240" s="152"/>
      <c r="G240" s="152"/>
      <c r="H240" s="152"/>
    </row>
    <row r="251" spans="1:1" x14ac:dyDescent="0.2">
      <c r="A251" s="1" t="s">
        <v>146</v>
      </c>
    </row>
    <row r="253" spans="1:1" x14ac:dyDescent="0.2">
      <c r="A253" s="1" t="s">
        <v>2328</v>
      </c>
    </row>
    <row r="254" spans="1:1" x14ac:dyDescent="0.2">
      <c r="A254" s="1" t="s">
        <v>2329</v>
      </c>
    </row>
    <row r="255" spans="1:1" x14ac:dyDescent="0.2">
      <c r="A255" s="1" t="s">
        <v>2330</v>
      </c>
    </row>
    <row r="257" spans="1:10" x14ac:dyDescent="0.2">
      <c r="B257" s="1" t="s">
        <v>2332</v>
      </c>
      <c r="C257" s="1" t="s">
        <v>60</v>
      </c>
      <c r="F257" s="20" t="s">
        <v>2331</v>
      </c>
      <c r="G257" s="1" t="s">
        <v>60</v>
      </c>
    </row>
    <row r="258" spans="1:10" x14ac:dyDescent="0.2">
      <c r="B258" s="20" t="s">
        <v>75</v>
      </c>
      <c r="C258" s="1" t="s">
        <v>111</v>
      </c>
      <c r="F258" s="20" t="s">
        <v>75</v>
      </c>
      <c r="G258" s="1" t="s">
        <v>111</v>
      </c>
    </row>
    <row r="259" spans="1:10" x14ac:dyDescent="0.2">
      <c r="B259" s="20">
        <v>5</v>
      </c>
      <c r="C259" s="1" t="s">
        <v>62</v>
      </c>
      <c r="F259" s="20">
        <f>5*12</f>
        <v>60</v>
      </c>
      <c r="G259" s="1" t="s">
        <v>62</v>
      </c>
    </row>
    <row r="260" spans="1:10" x14ac:dyDescent="0.2">
      <c r="B260" s="317">
        <f>((1+1.5%)^12-1)*100</f>
        <v>19.561817146153327</v>
      </c>
      <c r="C260" s="1" t="s">
        <v>63</v>
      </c>
      <c r="F260" s="20">
        <v>1.5</v>
      </c>
      <c r="G260" s="1" t="s">
        <v>63</v>
      </c>
      <c r="J260" s="168"/>
    </row>
    <row r="261" spans="1:10" x14ac:dyDescent="0.2">
      <c r="B261" s="54">
        <f>PV(B260/100,B259,B262,B263)</f>
        <v>7247.2289730564107</v>
      </c>
      <c r="C261" s="1" t="s">
        <v>64</v>
      </c>
      <c r="F261" s="54">
        <f>PV(F260/100,F259,F262,F263)</f>
        <v>7876.0537770685578</v>
      </c>
      <c r="G261" s="1" t="s">
        <v>64</v>
      </c>
      <c r="H261" s="1" t="s">
        <v>227</v>
      </c>
    </row>
    <row r="262" spans="1:10" x14ac:dyDescent="0.2">
      <c r="B262" s="20">
        <f>-200*12</f>
        <v>-2400</v>
      </c>
      <c r="C262" s="1" t="s">
        <v>65</v>
      </c>
      <c r="F262" s="20">
        <v>-200</v>
      </c>
      <c r="G262" s="1" t="s">
        <v>65</v>
      </c>
    </row>
    <row r="263" spans="1:10" x14ac:dyDescent="0.2">
      <c r="B263" s="20">
        <v>0</v>
      </c>
      <c r="C263" s="1" t="s">
        <v>66</v>
      </c>
      <c r="F263" s="20">
        <v>0</v>
      </c>
      <c r="G263" s="1" t="s">
        <v>66</v>
      </c>
    </row>
    <row r="267" spans="1:10" x14ac:dyDescent="0.2">
      <c r="B267" s="1" t="s">
        <v>2333</v>
      </c>
    </row>
    <row r="271" spans="1:10" x14ac:dyDescent="0.2">
      <c r="A271" s="1" t="s">
        <v>2334</v>
      </c>
    </row>
    <row r="272" spans="1:10" x14ac:dyDescent="0.2">
      <c r="D272" s="318">
        <f>F261-B261</f>
        <v>628.82480401214707</v>
      </c>
      <c r="F272" s="1" t="s">
        <v>2335</v>
      </c>
    </row>
    <row r="273" spans="1:8" x14ac:dyDescent="0.2">
      <c r="D273" s="20" t="s">
        <v>2336</v>
      </c>
    </row>
    <row r="275" spans="1:8" x14ac:dyDescent="0.2">
      <c r="A275" s="151" t="s">
        <v>1166</v>
      </c>
      <c r="B275" s="152"/>
      <c r="C275" s="152"/>
      <c r="D275" s="152"/>
      <c r="E275" s="152"/>
      <c r="F275" s="152"/>
      <c r="G275" s="152"/>
      <c r="H275" s="152"/>
    </row>
    <row r="287" spans="1:8" x14ac:dyDescent="0.2">
      <c r="A287" s="18" t="s">
        <v>146</v>
      </c>
    </row>
    <row r="289" spans="1:9" x14ac:dyDescent="0.2">
      <c r="A289" s="1" t="s">
        <v>2337</v>
      </c>
    </row>
    <row r="290" spans="1:9" x14ac:dyDescent="0.2">
      <c r="A290" s="1" t="s">
        <v>2338</v>
      </c>
    </row>
    <row r="291" spans="1:9" x14ac:dyDescent="0.2">
      <c r="C291" s="1" t="s">
        <v>2339</v>
      </c>
    </row>
    <row r="292" spans="1:9" x14ac:dyDescent="0.2">
      <c r="C292" s="1" t="s">
        <v>2340</v>
      </c>
    </row>
    <row r="293" spans="1:9" x14ac:dyDescent="0.2">
      <c r="C293" s="1" t="s">
        <v>2341</v>
      </c>
    </row>
    <row r="294" spans="1:9" x14ac:dyDescent="0.2">
      <c r="C294" s="1" t="s">
        <v>2342</v>
      </c>
    </row>
    <row r="295" spans="1:9" x14ac:dyDescent="0.2">
      <c r="F295" s="319" t="s">
        <v>2344</v>
      </c>
    </row>
    <row r="296" spans="1:9" x14ac:dyDescent="0.2">
      <c r="C296" s="20"/>
      <c r="D296" s="20" t="s">
        <v>1510</v>
      </c>
      <c r="E296" s="20" t="s">
        <v>1511</v>
      </c>
      <c r="F296" s="69" t="s">
        <v>2343</v>
      </c>
    </row>
    <row r="297" spans="1:9" x14ac:dyDescent="0.2">
      <c r="C297" s="20">
        <v>0</v>
      </c>
      <c r="D297" s="20">
        <v>-800</v>
      </c>
      <c r="E297" s="20">
        <v>-1000</v>
      </c>
      <c r="F297" s="69">
        <f>E297-D297</f>
        <v>-200</v>
      </c>
    </row>
    <row r="298" spans="1:9" x14ac:dyDescent="0.2">
      <c r="C298" s="20">
        <v>1</v>
      </c>
      <c r="D298" s="20">
        <v>600</v>
      </c>
      <c r="E298" s="20">
        <v>700</v>
      </c>
      <c r="F298" s="69">
        <f t="shared" ref="F298:F299" si="6">E298-D298</f>
        <v>100</v>
      </c>
    </row>
    <row r="299" spans="1:9" x14ac:dyDescent="0.2">
      <c r="C299" s="20">
        <v>2</v>
      </c>
      <c r="D299" s="20">
        <v>550</v>
      </c>
      <c r="E299" s="20">
        <v>700</v>
      </c>
      <c r="F299" s="69">
        <f t="shared" si="6"/>
        <v>150</v>
      </c>
    </row>
    <row r="300" spans="1:9" ht="17" thickBot="1" x14ac:dyDescent="0.25"/>
    <row r="301" spans="1:9" x14ac:dyDescent="0.2">
      <c r="B301" s="12" t="s">
        <v>2345</v>
      </c>
      <c r="C301" s="13"/>
      <c r="D301" s="13"/>
      <c r="E301" s="13"/>
      <c r="F301" s="13"/>
      <c r="G301" s="13"/>
      <c r="H301" s="13"/>
      <c r="I301" s="14"/>
    </row>
    <row r="302" spans="1:9" x14ac:dyDescent="0.2">
      <c r="B302" s="72"/>
      <c r="H302" s="1" t="s">
        <v>955</v>
      </c>
      <c r="I302" s="73"/>
    </row>
    <row r="303" spans="1:9" x14ac:dyDescent="0.2">
      <c r="B303" s="72" t="s">
        <v>2347</v>
      </c>
      <c r="H303" s="1" t="s">
        <v>2346</v>
      </c>
      <c r="I303" s="73"/>
    </row>
    <row r="304" spans="1:9" x14ac:dyDescent="0.2">
      <c r="B304" s="72"/>
      <c r="I304" s="73"/>
    </row>
    <row r="305" spans="1:9" x14ac:dyDescent="0.2">
      <c r="B305" s="72"/>
      <c r="E305" s="20" t="s">
        <v>87</v>
      </c>
      <c r="H305" s="1" t="s">
        <v>2348</v>
      </c>
      <c r="I305" s="73"/>
    </row>
    <row r="306" spans="1:9" x14ac:dyDescent="0.2">
      <c r="B306" s="72"/>
      <c r="E306" s="20">
        <v>-200</v>
      </c>
      <c r="F306" s="20">
        <v>1</v>
      </c>
      <c r="I306" s="73"/>
    </row>
    <row r="307" spans="1:9" x14ac:dyDescent="0.2">
      <c r="B307" s="72"/>
      <c r="E307" s="20">
        <v>100</v>
      </c>
      <c r="F307" s="20">
        <v>2</v>
      </c>
      <c r="I307" s="73"/>
    </row>
    <row r="308" spans="1:9" x14ac:dyDescent="0.2">
      <c r="B308" s="72"/>
      <c r="E308" s="20">
        <v>150</v>
      </c>
      <c r="F308" s="20">
        <v>3</v>
      </c>
      <c r="I308" s="73"/>
    </row>
    <row r="309" spans="1:9" x14ac:dyDescent="0.2">
      <c r="B309" s="72"/>
      <c r="I309" s="73"/>
    </row>
    <row r="310" spans="1:9" ht="17" thickBot="1" x14ac:dyDescent="0.25">
      <c r="B310" s="15" t="s">
        <v>2350</v>
      </c>
      <c r="C310" s="16"/>
      <c r="D310" s="16"/>
      <c r="E310" s="320">
        <f>IRR(E306:E308)</f>
        <v>0.15138781886597674</v>
      </c>
      <c r="F310" s="16"/>
      <c r="G310" s="16"/>
      <c r="H310" s="16" t="s">
        <v>1267</v>
      </c>
      <c r="I310" s="17"/>
    </row>
    <row r="312" spans="1:9" x14ac:dyDescent="0.2">
      <c r="B312" s="18" t="s">
        <v>2349</v>
      </c>
    </row>
    <row r="314" spans="1:9" x14ac:dyDescent="0.2">
      <c r="A314" s="321" t="s">
        <v>2351</v>
      </c>
      <c r="B314" s="321"/>
      <c r="C314" s="321"/>
      <c r="D314" s="321"/>
      <c r="E314" s="321"/>
      <c r="F314" s="321"/>
      <c r="G314" s="321"/>
      <c r="H314" s="321"/>
    </row>
    <row r="322" spans="1:12" x14ac:dyDescent="0.2">
      <c r="A322" s="1" t="s">
        <v>146</v>
      </c>
    </row>
    <row r="324" spans="1:12" x14ac:dyDescent="0.2">
      <c r="A324" s="1" t="s">
        <v>2352</v>
      </c>
    </row>
    <row r="325" spans="1:12" x14ac:dyDescent="0.2">
      <c r="A325" s="1" t="s">
        <v>2353</v>
      </c>
    </row>
    <row r="327" spans="1:12" x14ac:dyDescent="0.2">
      <c r="I327" s="1" t="s">
        <v>60</v>
      </c>
    </row>
    <row r="328" spans="1:12" x14ac:dyDescent="0.2">
      <c r="H328" s="20" t="s">
        <v>75</v>
      </c>
      <c r="I328" s="1" t="s">
        <v>111</v>
      </c>
    </row>
    <row r="329" spans="1:12" x14ac:dyDescent="0.2">
      <c r="A329" s="1" t="s">
        <v>2354</v>
      </c>
      <c r="H329" s="20">
        <f>15*4</f>
        <v>60</v>
      </c>
      <c r="I329" s="1" t="s">
        <v>62</v>
      </c>
    </row>
    <row r="330" spans="1:12" x14ac:dyDescent="0.2">
      <c r="A330" s="1" t="s">
        <v>2355</v>
      </c>
      <c r="H330" s="20">
        <f>((1+15%)^(1/4)-1)*100</f>
        <v>3.5558076341622114</v>
      </c>
      <c r="I330" s="1" t="s">
        <v>63</v>
      </c>
      <c r="L330" s="1" t="s">
        <v>2356</v>
      </c>
    </row>
    <row r="331" spans="1:12" x14ac:dyDescent="0.2">
      <c r="A331" s="1" t="s">
        <v>2360</v>
      </c>
      <c r="H331" s="50">
        <f>PV(H330/100,H329,H332,H333)</f>
        <v>-86.289979907658548</v>
      </c>
      <c r="I331" s="1" t="s">
        <v>64</v>
      </c>
      <c r="J331" s="1" t="s">
        <v>227</v>
      </c>
    </row>
    <row r="332" spans="1:12" x14ac:dyDescent="0.2">
      <c r="A332" s="1" t="s">
        <v>2357</v>
      </c>
      <c r="H332" s="20">
        <f>12%/4*100</f>
        <v>3</v>
      </c>
      <c r="I332" s="1" t="s">
        <v>65</v>
      </c>
      <c r="L332" s="1" t="s">
        <v>2358</v>
      </c>
    </row>
    <row r="333" spans="1:12" x14ac:dyDescent="0.2">
      <c r="A333" s="1" t="s">
        <v>2359</v>
      </c>
      <c r="H333" s="20">
        <v>100</v>
      </c>
      <c r="I333" s="1" t="s">
        <v>66</v>
      </c>
    </row>
    <row r="336" spans="1:12" x14ac:dyDescent="0.2">
      <c r="A336" s="151" t="s">
        <v>1185</v>
      </c>
      <c r="B336" s="152"/>
      <c r="C336" s="152"/>
      <c r="D336" s="152"/>
      <c r="E336" s="152"/>
      <c r="F336" s="152"/>
      <c r="G336" s="152"/>
      <c r="H336" s="152"/>
    </row>
    <row r="337" spans="1:1" x14ac:dyDescent="0.2">
      <c r="A337" s="18"/>
    </row>
    <row r="338" spans="1:1" x14ac:dyDescent="0.2">
      <c r="A338" s="18"/>
    </row>
    <row r="339" spans="1:1" x14ac:dyDescent="0.2">
      <c r="A339" s="18"/>
    </row>
    <row r="340" spans="1:1" x14ac:dyDescent="0.2">
      <c r="A340" s="18"/>
    </row>
    <row r="341" spans="1:1" x14ac:dyDescent="0.2">
      <c r="A341" s="18"/>
    </row>
    <row r="342" spans="1:1" x14ac:dyDescent="0.2">
      <c r="A342" s="18"/>
    </row>
    <row r="343" spans="1:1" x14ac:dyDescent="0.2">
      <c r="A343" s="18"/>
    </row>
    <row r="344" spans="1:1" x14ac:dyDescent="0.2">
      <c r="A344" s="18"/>
    </row>
    <row r="345" spans="1:1" x14ac:dyDescent="0.2">
      <c r="A345" s="18"/>
    </row>
    <row r="346" spans="1:1" x14ac:dyDescent="0.2">
      <c r="A346" s="18"/>
    </row>
    <row r="347" spans="1:1" x14ac:dyDescent="0.2">
      <c r="A347" s="18"/>
    </row>
    <row r="348" spans="1:1" x14ac:dyDescent="0.2">
      <c r="A348" s="18"/>
    </row>
    <row r="349" spans="1:1" x14ac:dyDescent="0.2">
      <c r="A349" s="18"/>
    </row>
    <row r="350" spans="1:1" x14ac:dyDescent="0.2">
      <c r="A350" s="18"/>
    </row>
    <row r="351" spans="1:1" x14ac:dyDescent="0.2">
      <c r="A351" s="18"/>
    </row>
    <row r="352" spans="1:1" x14ac:dyDescent="0.2">
      <c r="A352" s="18" t="s">
        <v>2792</v>
      </c>
    </row>
    <row r="353" spans="1:9" x14ac:dyDescent="0.2">
      <c r="A353" s="18"/>
      <c r="I353" s="1" t="s">
        <v>2796</v>
      </c>
    </row>
    <row r="354" spans="1:9" x14ac:dyDescent="0.2">
      <c r="A354" s="18"/>
      <c r="I354" s="1" t="s">
        <v>2797</v>
      </c>
    </row>
    <row r="355" spans="1:9" x14ac:dyDescent="0.2">
      <c r="A355" s="18"/>
      <c r="I355" s="1" t="s">
        <v>2798</v>
      </c>
    </row>
    <row r="356" spans="1:9" x14ac:dyDescent="0.2">
      <c r="A356" s="18"/>
      <c r="I356" s="1" t="s">
        <v>2799</v>
      </c>
    </row>
    <row r="357" spans="1:9" x14ac:dyDescent="0.2">
      <c r="A357" s="18"/>
      <c r="I357" s="1" t="s">
        <v>2800</v>
      </c>
    </row>
    <row r="358" spans="1:9" x14ac:dyDescent="0.2">
      <c r="A358" s="18" t="s">
        <v>2793</v>
      </c>
    </row>
    <row r="359" spans="1:9" x14ac:dyDescent="0.2">
      <c r="A359" s="18" t="s">
        <v>2794</v>
      </c>
      <c r="I359" s="1" t="s">
        <v>2801</v>
      </c>
    </row>
    <row r="360" spans="1:9" x14ac:dyDescent="0.2">
      <c r="A360" s="18"/>
      <c r="I360" s="1" t="s">
        <v>2802</v>
      </c>
    </row>
    <row r="361" spans="1:9" x14ac:dyDescent="0.2">
      <c r="A361" s="18"/>
      <c r="F361" s="1" t="s">
        <v>60</v>
      </c>
      <c r="I361" s="1" t="s">
        <v>2803</v>
      </c>
    </row>
    <row r="362" spans="1:9" x14ac:dyDescent="0.2">
      <c r="A362" s="18"/>
      <c r="E362" s="20" t="s">
        <v>75</v>
      </c>
      <c r="F362" s="1" t="s">
        <v>111</v>
      </c>
      <c r="I362" s="1" t="s">
        <v>2804</v>
      </c>
    </row>
    <row r="363" spans="1:9" x14ac:dyDescent="0.2">
      <c r="A363" s="18"/>
      <c r="B363" s="1" t="s">
        <v>2795</v>
      </c>
      <c r="E363" s="259">
        <f>RATE(E364,E366,E365,E367)</f>
        <v>8.3333333333333329E-2</v>
      </c>
      <c r="F363" s="1" t="s">
        <v>63</v>
      </c>
      <c r="I363" s="1" t="s">
        <v>2805</v>
      </c>
    </row>
    <row r="364" spans="1:9" x14ac:dyDescent="0.2">
      <c r="A364" s="18"/>
      <c r="E364" s="20">
        <v>999</v>
      </c>
      <c r="F364" s="1" t="s">
        <v>62</v>
      </c>
    </row>
    <row r="365" spans="1:9" x14ac:dyDescent="0.2">
      <c r="A365" s="18"/>
      <c r="E365" s="20">
        <v>-900</v>
      </c>
      <c r="F365" s="1" t="s">
        <v>1553</v>
      </c>
    </row>
    <row r="366" spans="1:9" x14ac:dyDescent="0.2">
      <c r="A366" s="18"/>
      <c r="E366" s="20">
        <v>75</v>
      </c>
      <c r="F366" s="1" t="s">
        <v>1552</v>
      </c>
    </row>
    <row r="367" spans="1:9" x14ac:dyDescent="0.2">
      <c r="A367" s="18"/>
      <c r="E367" s="20">
        <v>0</v>
      </c>
      <c r="F367" s="1" t="s">
        <v>1554</v>
      </c>
    </row>
    <row r="368" spans="1:9" x14ac:dyDescent="0.2">
      <c r="A368" s="18"/>
    </row>
    <row r="369" spans="1:1" x14ac:dyDescent="0.2">
      <c r="A369" s="18"/>
    </row>
    <row r="370" spans="1:1" x14ac:dyDescent="0.2">
      <c r="A370" s="18" t="s">
        <v>2806</v>
      </c>
    </row>
    <row r="371" spans="1:1" x14ac:dyDescent="0.2">
      <c r="A371" s="18"/>
    </row>
    <row r="372" spans="1:1" x14ac:dyDescent="0.2">
      <c r="A372" s="18"/>
    </row>
    <row r="373" spans="1:1" x14ac:dyDescent="0.2">
      <c r="A373" s="18"/>
    </row>
    <row r="374" spans="1:1" x14ac:dyDescent="0.2">
      <c r="A374" s="18"/>
    </row>
    <row r="375" spans="1:1" x14ac:dyDescent="0.2">
      <c r="A375" s="18"/>
    </row>
    <row r="376" spans="1:1" x14ac:dyDescent="0.2">
      <c r="A376" s="18"/>
    </row>
    <row r="377" spans="1:1" x14ac:dyDescent="0.2">
      <c r="A377" s="18"/>
    </row>
    <row r="378" spans="1:1" x14ac:dyDescent="0.2">
      <c r="A378" s="18"/>
    </row>
    <row r="379" spans="1:1" x14ac:dyDescent="0.2">
      <c r="A379" s="18"/>
    </row>
    <row r="380" spans="1:1" x14ac:dyDescent="0.2">
      <c r="A380" s="18"/>
    </row>
    <row r="381" spans="1:1" x14ac:dyDescent="0.2">
      <c r="A381" s="1" t="s">
        <v>1395</v>
      </c>
    </row>
    <row r="382" spans="1:1" x14ac:dyDescent="0.2">
      <c r="A382" s="1" t="s">
        <v>1325</v>
      </c>
    </row>
    <row r="383" spans="1:1" x14ac:dyDescent="0.2">
      <c r="A383" s="1" t="s">
        <v>1326</v>
      </c>
    </row>
    <row r="384" spans="1:1" x14ac:dyDescent="0.2">
      <c r="A384" s="1" t="s">
        <v>1327</v>
      </c>
    </row>
    <row r="386" spans="1:1" x14ac:dyDescent="0.2">
      <c r="A386" s="1" t="s">
        <v>1328</v>
      </c>
    </row>
    <row r="388" spans="1:1" x14ac:dyDescent="0.2">
      <c r="A388" s="1" t="s">
        <v>1329</v>
      </c>
    </row>
    <row r="389" spans="1:1" x14ac:dyDescent="0.2">
      <c r="A389" s="1" t="s">
        <v>1330</v>
      </c>
    </row>
    <row r="391" spans="1:1" x14ac:dyDescent="0.2">
      <c r="A391" s="18" t="s">
        <v>1331</v>
      </c>
    </row>
    <row r="396" spans="1:1" x14ac:dyDescent="0.2">
      <c r="A396" s="1" t="s">
        <v>1332</v>
      </c>
    </row>
    <row r="397" spans="1:1" x14ac:dyDescent="0.2">
      <c r="A397" s="1" t="s">
        <v>1333</v>
      </c>
    </row>
    <row r="398" spans="1:1" x14ac:dyDescent="0.2">
      <c r="A398" s="1" t="s">
        <v>1334</v>
      </c>
    </row>
    <row r="403" spans="1:8" x14ac:dyDescent="0.2">
      <c r="C403" s="1" t="s">
        <v>1335</v>
      </c>
      <c r="D403" s="1" t="s">
        <v>1336</v>
      </c>
    </row>
    <row r="404" spans="1:8" x14ac:dyDescent="0.2">
      <c r="C404" s="1" t="s">
        <v>1337</v>
      </c>
    </row>
    <row r="405" spans="1:8" x14ac:dyDescent="0.2">
      <c r="C405" s="1" t="s">
        <v>1338</v>
      </c>
    </row>
    <row r="413" spans="1:8" ht="17" thickBot="1" x14ac:dyDescent="0.25"/>
    <row r="414" spans="1:8" x14ac:dyDescent="0.2">
      <c r="A414" s="12" t="s">
        <v>1339</v>
      </c>
      <c r="B414" s="13"/>
      <c r="C414" s="13"/>
      <c r="D414" s="13"/>
      <c r="E414" s="13"/>
      <c r="F414" s="13"/>
      <c r="G414" s="13"/>
      <c r="H414" s="14"/>
    </row>
    <row r="415" spans="1:8" x14ac:dyDescent="0.2">
      <c r="A415" s="72" t="s">
        <v>1340</v>
      </c>
      <c r="H415" s="73"/>
    </row>
    <row r="416" spans="1:8" x14ac:dyDescent="0.2">
      <c r="A416" s="72"/>
      <c r="H416" s="73"/>
    </row>
    <row r="417" spans="1:8" x14ac:dyDescent="0.2">
      <c r="A417" s="72"/>
      <c r="H417" s="73"/>
    </row>
    <row r="418" spans="1:8" x14ac:dyDescent="0.2">
      <c r="A418" s="72"/>
      <c r="H418" s="73"/>
    </row>
    <row r="419" spans="1:8" x14ac:dyDescent="0.2">
      <c r="A419" s="72"/>
      <c r="B419" s="1" t="s">
        <v>1341</v>
      </c>
      <c r="H419" s="73"/>
    </row>
    <row r="420" spans="1:8" x14ac:dyDescent="0.2">
      <c r="A420" s="72"/>
      <c r="B420" s="20" t="s">
        <v>1342</v>
      </c>
      <c r="C420" s="1" t="s">
        <v>1343</v>
      </c>
      <c r="H420" s="73"/>
    </row>
    <row r="421" spans="1:8" x14ac:dyDescent="0.2">
      <c r="A421" s="72"/>
      <c r="B421" s="20" t="s">
        <v>65</v>
      </c>
      <c r="C421" s="1" t="s">
        <v>1344</v>
      </c>
      <c r="H421" s="73"/>
    </row>
    <row r="422" spans="1:8" ht="17" thickBot="1" x14ac:dyDescent="0.25">
      <c r="A422" s="15"/>
      <c r="B422" s="167" t="s">
        <v>1345</v>
      </c>
      <c r="C422" s="16" t="s">
        <v>1346</v>
      </c>
      <c r="D422" s="16"/>
      <c r="E422" s="16"/>
      <c r="F422" s="16"/>
      <c r="G422" s="16"/>
      <c r="H422" s="17"/>
    </row>
    <row r="425" spans="1:8" x14ac:dyDescent="0.2">
      <c r="A425" s="6" t="s">
        <v>1195</v>
      </c>
      <c r="B425" s="6"/>
      <c r="C425" s="6"/>
      <c r="D425" s="6"/>
      <c r="E425" s="6"/>
      <c r="F425" s="6"/>
      <c r="G425" s="6"/>
      <c r="H425" s="6"/>
    </row>
    <row r="434" spans="1:10" x14ac:dyDescent="0.2">
      <c r="A434" s="1" t="s">
        <v>146</v>
      </c>
    </row>
    <row r="436" spans="1:10" x14ac:dyDescent="0.2">
      <c r="A436" s="1" t="s">
        <v>2361</v>
      </c>
    </row>
    <row r="437" spans="1:10" x14ac:dyDescent="0.2">
      <c r="A437" s="1" t="s">
        <v>2362</v>
      </c>
    </row>
    <row r="438" spans="1:10" x14ac:dyDescent="0.2">
      <c r="A438" s="1" t="s">
        <v>2363</v>
      </c>
    </row>
    <row r="439" spans="1:10" x14ac:dyDescent="0.2">
      <c r="A439" s="1" t="s">
        <v>2364</v>
      </c>
    </row>
    <row r="440" spans="1:10" x14ac:dyDescent="0.2">
      <c r="A440" s="1" t="s">
        <v>2365</v>
      </c>
    </row>
    <row r="442" spans="1:10" x14ac:dyDescent="0.2">
      <c r="A442" s="10" t="s">
        <v>2366</v>
      </c>
      <c r="B442" s="10"/>
      <c r="C442" s="10"/>
      <c r="D442" s="10"/>
      <c r="E442" s="10"/>
      <c r="F442" s="10"/>
      <c r="G442" s="10"/>
      <c r="H442" s="10"/>
    </row>
    <row r="443" spans="1:10" x14ac:dyDescent="0.2">
      <c r="G443" s="1" t="s">
        <v>60</v>
      </c>
    </row>
    <row r="444" spans="1:10" x14ac:dyDescent="0.2">
      <c r="F444" s="20" t="s">
        <v>75</v>
      </c>
      <c r="G444" s="1" t="s">
        <v>111</v>
      </c>
    </row>
    <row r="445" spans="1:10" x14ac:dyDescent="0.2">
      <c r="A445" s="1" t="s">
        <v>2367</v>
      </c>
      <c r="F445" s="20">
        <v>36</v>
      </c>
      <c r="G445" s="1" t="s">
        <v>62</v>
      </c>
      <c r="H445" s="1" t="s">
        <v>2368</v>
      </c>
    </row>
    <row r="446" spans="1:10" x14ac:dyDescent="0.2">
      <c r="A446" s="1" t="s">
        <v>2369</v>
      </c>
      <c r="F446" s="20">
        <f>((1+8%)^(1/12)-1)*100</f>
        <v>0.64340301100034303</v>
      </c>
      <c r="G446" s="1" t="s">
        <v>63</v>
      </c>
      <c r="J446" s="1" t="s">
        <v>2370</v>
      </c>
    </row>
    <row r="447" spans="1:10" x14ac:dyDescent="0.2">
      <c r="A447" s="1" t="s">
        <v>2371</v>
      </c>
      <c r="F447" s="24">
        <v>20000</v>
      </c>
      <c r="G447" s="1" t="s">
        <v>64</v>
      </c>
    </row>
    <row r="448" spans="1:10" x14ac:dyDescent="0.2">
      <c r="A448" s="1" t="s">
        <v>2373</v>
      </c>
      <c r="F448" s="50">
        <f>PMT(F446/100,F445,F447,F449)</f>
        <v>-624.15482826613083</v>
      </c>
      <c r="G448" s="1" t="s">
        <v>65</v>
      </c>
      <c r="H448" s="1" t="s">
        <v>2372</v>
      </c>
    </row>
    <row r="449" spans="1:8" x14ac:dyDescent="0.2">
      <c r="F449" s="20">
        <v>0</v>
      </c>
      <c r="G449" s="1" t="s">
        <v>66</v>
      </c>
    </row>
    <row r="451" spans="1:8" x14ac:dyDescent="0.2">
      <c r="A451" s="10" t="s">
        <v>2374</v>
      </c>
      <c r="B451" s="10"/>
      <c r="C451" s="10"/>
      <c r="D451" s="10"/>
      <c r="E451" s="10"/>
      <c r="F451" s="10"/>
      <c r="G451" s="10"/>
      <c r="H451" s="10"/>
    </row>
    <row r="453" spans="1:8" x14ac:dyDescent="0.2">
      <c r="G453" s="1" t="s">
        <v>2375</v>
      </c>
    </row>
    <row r="454" spans="1:8" x14ac:dyDescent="0.2">
      <c r="A454" s="18" t="s">
        <v>2377</v>
      </c>
      <c r="D454" s="322">
        <f>-F448*118/112</f>
        <v>657.59169406610204</v>
      </c>
      <c r="G454" s="1" t="s">
        <v>2376</v>
      </c>
    </row>
    <row r="460" spans="1:8" x14ac:dyDescent="0.2">
      <c r="A460" s="151" t="s">
        <v>1200</v>
      </c>
      <c r="B460" s="152"/>
      <c r="C460" s="152"/>
      <c r="D460" s="152"/>
      <c r="E460" s="152"/>
      <c r="F460" s="152"/>
      <c r="G460" s="152"/>
      <c r="H460" s="152"/>
    </row>
    <row r="461" spans="1:8" x14ac:dyDescent="0.2">
      <c r="A461" s="1" t="s">
        <v>1347</v>
      </c>
    </row>
    <row r="462" spans="1:8" x14ac:dyDescent="0.2">
      <c r="A462" s="1" t="s">
        <v>1348</v>
      </c>
    </row>
    <row r="466" spans="1:1" x14ac:dyDescent="0.2">
      <c r="A466" s="1" t="s">
        <v>1349</v>
      </c>
    </row>
    <row r="468" spans="1:1" x14ac:dyDescent="0.2">
      <c r="A468" s="18" t="s">
        <v>1350</v>
      </c>
    </row>
    <row r="473" spans="1:1" x14ac:dyDescent="0.2">
      <c r="A473" s="1" t="s">
        <v>1351</v>
      </c>
    </row>
    <row r="474" spans="1:1" x14ac:dyDescent="0.2">
      <c r="A474" s="1" t="s">
        <v>1352</v>
      </c>
    </row>
    <row r="475" spans="1:1" x14ac:dyDescent="0.2">
      <c r="A475" s="1" t="s">
        <v>1353</v>
      </c>
    </row>
    <row r="476" spans="1:1" x14ac:dyDescent="0.2">
      <c r="A476" s="1" t="s">
        <v>1354</v>
      </c>
    </row>
    <row r="478" spans="1:1" x14ac:dyDescent="0.2">
      <c r="A478" s="1" t="s">
        <v>1355</v>
      </c>
    </row>
    <row r="483" spans="1:8" x14ac:dyDescent="0.2">
      <c r="A483" s="1" t="s">
        <v>1356</v>
      </c>
    </row>
    <row r="484" spans="1:8" x14ac:dyDescent="0.2">
      <c r="A484" s="1" t="s">
        <v>1357</v>
      </c>
    </row>
    <row r="487" spans="1:8" x14ac:dyDescent="0.2">
      <c r="A487" s="151" t="s">
        <v>1446</v>
      </c>
      <c r="B487" s="152"/>
      <c r="C487" s="151" t="s">
        <v>1621</v>
      </c>
      <c r="D487" s="152"/>
      <c r="E487" s="152"/>
      <c r="F487" s="152"/>
      <c r="G487" s="152"/>
      <c r="H487" s="152"/>
    </row>
    <row r="489" spans="1:8" x14ac:dyDescent="0.2">
      <c r="A489" s="1" t="s">
        <v>1447</v>
      </c>
    </row>
    <row r="490" spans="1:8" x14ac:dyDescent="0.2">
      <c r="A490" s="1" t="s">
        <v>1622</v>
      </c>
    </row>
    <row r="491" spans="1:8" x14ac:dyDescent="0.2">
      <c r="A491" s="1" t="s">
        <v>1623</v>
      </c>
    </row>
    <row r="492" spans="1:8" x14ac:dyDescent="0.2">
      <c r="A492" s="18" t="s">
        <v>1626</v>
      </c>
    </row>
    <row r="494" spans="1:8" x14ac:dyDescent="0.2">
      <c r="A494" s="1" t="s">
        <v>146</v>
      </c>
    </row>
    <row r="496" spans="1:8" x14ac:dyDescent="0.2">
      <c r="A496" s="1" t="s">
        <v>1448</v>
      </c>
    </row>
    <row r="497" spans="1:12" x14ac:dyDescent="0.2">
      <c r="A497" s="1" t="s">
        <v>1624</v>
      </c>
    </row>
    <row r="498" spans="1:12" x14ac:dyDescent="0.2">
      <c r="A498" s="1" t="s">
        <v>1625</v>
      </c>
    </row>
    <row r="500" spans="1:12" x14ac:dyDescent="0.2">
      <c r="A500" s="1" t="s">
        <v>1449</v>
      </c>
    </row>
    <row r="501" spans="1:12" x14ac:dyDescent="0.2">
      <c r="A501" s="1" t="s">
        <v>1627</v>
      </c>
    </row>
    <row r="502" spans="1:12" x14ac:dyDescent="0.2">
      <c r="A502" s="1" t="s">
        <v>1628</v>
      </c>
    </row>
    <row r="503" spans="1:12" x14ac:dyDescent="0.2">
      <c r="A503" s="1" t="s">
        <v>1629</v>
      </c>
    </row>
    <row r="504" spans="1:12" x14ac:dyDescent="0.2">
      <c r="A504" s="1" t="s">
        <v>1630</v>
      </c>
    </row>
    <row r="505" spans="1:12" x14ac:dyDescent="0.2">
      <c r="A505" s="1" t="s">
        <v>1631</v>
      </c>
    </row>
    <row r="506" spans="1:12" ht="17" thickBot="1" x14ac:dyDescent="0.25">
      <c r="D506" s="510" t="s">
        <v>1635</v>
      </c>
      <c r="E506" s="510"/>
      <c r="F506" s="31" t="s">
        <v>316</v>
      </c>
    </row>
    <row r="507" spans="1:12" x14ac:dyDescent="0.2">
      <c r="D507" s="31" t="s">
        <v>1451</v>
      </c>
      <c r="E507" s="31" t="s">
        <v>1451</v>
      </c>
      <c r="F507" s="31" t="s">
        <v>1450</v>
      </c>
      <c r="I507" s="12" t="s">
        <v>1636</v>
      </c>
      <c r="J507" s="13"/>
      <c r="K507" s="13"/>
      <c r="L507" s="14"/>
    </row>
    <row r="508" spans="1:12" x14ac:dyDescent="0.2">
      <c r="D508" s="20" t="s">
        <v>1454</v>
      </c>
      <c r="E508" s="20" t="s">
        <v>1452</v>
      </c>
      <c r="F508" s="173" t="s">
        <v>1453</v>
      </c>
      <c r="G508" s="20" t="s">
        <v>60</v>
      </c>
      <c r="I508" s="72" t="s">
        <v>1637</v>
      </c>
      <c r="L508" s="73"/>
    </row>
    <row r="509" spans="1:12" x14ac:dyDescent="0.2">
      <c r="D509" s="20" t="s">
        <v>75</v>
      </c>
      <c r="E509" s="20" t="s">
        <v>75</v>
      </c>
      <c r="F509" s="20" t="s">
        <v>75</v>
      </c>
      <c r="G509" s="20" t="s">
        <v>111</v>
      </c>
      <c r="I509" s="72" t="s">
        <v>1638</v>
      </c>
      <c r="L509" s="73"/>
    </row>
    <row r="510" spans="1:12" x14ac:dyDescent="0.2">
      <c r="D510" s="20">
        <v>5</v>
      </c>
      <c r="E510" s="20">
        <v>2</v>
      </c>
      <c r="F510" s="20">
        <v>20</v>
      </c>
      <c r="G510" s="20" t="s">
        <v>62</v>
      </c>
      <c r="I510" s="72"/>
      <c r="L510" s="73"/>
    </row>
    <row r="511" spans="1:12" ht="17" thickBot="1" x14ac:dyDescent="0.25">
      <c r="D511" s="20">
        <v>7</v>
      </c>
      <c r="E511" s="20">
        <v>7</v>
      </c>
      <c r="F511" s="20">
        <v>7</v>
      </c>
      <c r="G511" s="20" t="s">
        <v>63</v>
      </c>
      <c r="I511" s="72" t="s">
        <v>1639</v>
      </c>
      <c r="L511" s="73"/>
    </row>
    <row r="512" spans="1:12" ht="17" thickBot="1" x14ac:dyDescent="0.25">
      <c r="D512" s="186">
        <f>PV(D511/100,D510,D513,D514)</f>
        <v>-24896.348290269696</v>
      </c>
      <c r="E512" s="189">
        <f>PV(E511/100,E510,E513,E514)</f>
        <v>-9040.0908376277421</v>
      </c>
      <c r="F512" s="150">
        <v>-10000</v>
      </c>
      <c r="G512" s="20" t="s">
        <v>64</v>
      </c>
      <c r="I512" s="72" t="s">
        <v>1640</v>
      </c>
      <c r="L512" s="73"/>
    </row>
    <row r="513" spans="1:12" ht="17" thickBot="1" x14ac:dyDescent="0.25">
      <c r="D513" s="150">
        <v>4500</v>
      </c>
      <c r="E513" s="150">
        <v>5000</v>
      </c>
      <c r="F513" s="150">
        <v>0</v>
      </c>
      <c r="G513" s="20" t="s">
        <v>65</v>
      </c>
      <c r="I513" s="72" t="s">
        <v>1641</v>
      </c>
      <c r="L513" s="73"/>
    </row>
    <row r="514" spans="1:12" ht="17" thickBot="1" x14ac:dyDescent="0.25">
      <c r="D514" s="189">
        <f>-E512</f>
        <v>9040.0908376277421</v>
      </c>
      <c r="E514" s="150">
        <v>0</v>
      </c>
      <c r="F514" s="186">
        <f>FV(F511/100,F510,F513,F512)</f>
        <v>38696.844624861798</v>
      </c>
      <c r="G514" s="20" t="s">
        <v>66</v>
      </c>
      <c r="I514" s="72" t="s">
        <v>1642</v>
      </c>
      <c r="L514" s="73"/>
    </row>
    <row r="515" spans="1:12" x14ac:dyDescent="0.2">
      <c r="I515" s="72" t="s">
        <v>1643</v>
      </c>
      <c r="L515" s="73"/>
    </row>
    <row r="516" spans="1:12" x14ac:dyDescent="0.2">
      <c r="I516" s="72" t="s">
        <v>1644</v>
      </c>
      <c r="L516" s="73"/>
    </row>
    <row r="517" spans="1:12" x14ac:dyDescent="0.2">
      <c r="I517" s="72"/>
      <c r="L517" s="73"/>
    </row>
    <row r="518" spans="1:12" x14ac:dyDescent="0.2">
      <c r="I518" s="72" t="s">
        <v>1645</v>
      </c>
      <c r="L518" s="73"/>
    </row>
    <row r="519" spans="1:12" x14ac:dyDescent="0.2">
      <c r="I519" s="72" t="s">
        <v>1646</v>
      </c>
      <c r="L519" s="73"/>
    </row>
    <row r="520" spans="1:12" x14ac:dyDescent="0.2">
      <c r="I520" s="72" t="s">
        <v>1647</v>
      </c>
      <c r="L520" s="73"/>
    </row>
    <row r="521" spans="1:12" x14ac:dyDescent="0.2">
      <c r="I521" s="72" t="s">
        <v>1648</v>
      </c>
      <c r="L521" s="73"/>
    </row>
    <row r="522" spans="1:12" ht="17" thickBot="1" x14ac:dyDescent="0.25">
      <c r="I522" s="15" t="s">
        <v>1649</v>
      </c>
      <c r="J522" s="16"/>
      <c r="K522" s="16"/>
      <c r="L522" s="17"/>
    </row>
    <row r="525" spans="1:12" x14ac:dyDescent="0.2">
      <c r="A525" s="1" t="s">
        <v>1455</v>
      </c>
      <c r="C525" s="170">
        <f>F514</f>
        <v>38696.844624861798</v>
      </c>
    </row>
    <row r="526" spans="1:12" x14ac:dyDescent="0.2">
      <c r="A526" s="1" t="s">
        <v>1456</v>
      </c>
      <c r="C526" s="170">
        <f>D512</f>
        <v>-24896.348290269696</v>
      </c>
    </row>
    <row r="527" spans="1:12" x14ac:dyDescent="0.2">
      <c r="A527" s="1" t="s">
        <v>1632</v>
      </c>
      <c r="C527" s="187">
        <f>C525+C526</f>
        <v>13800.496334592102</v>
      </c>
      <c r="E527" s="1" t="s">
        <v>1633</v>
      </c>
    </row>
    <row r="529" spans="1:10" x14ac:dyDescent="0.2">
      <c r="A529" s="1" t="s">
        <v>1457</v>
      </c>
      <c r="G529" s="188">
        <f>C527*1.07^8</f>
        <v>23711.822076917222</v>
      </c>
      <c r="J529" s="1" t="s">
        <v>1634</v>
      </c>
    </row>
    <row r="530" spans="1:10" x14ac:dyDescent="0.2">
      <c r="G530" s="26" t="s">
        <v>259</v>
      </c>
    </row>
    <row r="531" spans="1:10" x14ac:dyDescent="0.2">
      <c r="G531" s="26"/>
    </row>
    <row r="532" spans="1:10" x14ac:dyDescent="0.2">
      <c r="G532" s="26"/>
    </row>
    <row r="533" spans="1:10" x14ac:dyDescent="0.2">
      <c r="G533" s="26"/>
    </row>
    <row r="534" spans="1:10" x14ac:dyDescent="0.2">
      <c r="G534" s="29" t="s">
        <v>1650</v>
      </c>
    </row>
    <row r="535" spans="1:10" x14ac:dyDescent="0.2">
      <c r="G535" s="29" t="s">
        <v>1651</v>
      </c>
    </row>
    <row r="536" spans="1:10" x14ac:dyDescent="0.2">
      <c r="G536" s="29" t="s">
        <v>1652</v>
      </c>
    </row>
    <row r="538" spans="1:10" x14ac:dyDescent="0.2">
      <c r="G538" s="1" t="s">
        <v>1653</v>
      </c>
    </row>
    <row r="540" spans="1:10" x14ac:dyDescent="0.2">
      <c r="G540" s="1" t="s">
        <v>1654</v>
      </c>
    </row>
    <row r="542" spans="1:10" x14ac:dyDescent="0.2">
      <c r="G542" s="1" t="s">
        <v>1655</v>
      </c>
    </row>
    <row r="544" spans="1:10" x14ac:dyDescent="0.2">
      <c r="G544" s="1" t="s">
        <v>1656</v>
      </c>
    </row>
    <row r="547" spans="1:8" x14ac:dyDescent="0.2">
      <c r="A547" s="151" t="s">
        <v>1565</v>
      </c>
      <c r="B547" s="152"/>
      <c r="C547" s="151"/>
      <c r="D547" s="152"/>
      <c r="E547" s="152"/>
      <c r="F547" s="152"/>
      <c r="G547" s="152"/>
      <c r="H547" s="152"/>
    </row>
    <row r="560" spans="1:8" x14ac:dyDescent="0.2">
      <c r="A560" s="18" t="s">
        <v>146</v>
      </c>
    </row>
    <row r="562" spans="1:14" x14ac:dyDescent="0.2">
      <c r="A562" s="1" t="s">
        <v>2378</v>
      </c>
    </row>
    <row r="563" spans="1:14" x14ac:dyDescent="0.2">
      <c r="A563" s="1" t="s">
        <v>2379</v>
      </c>
    </row>
    <row r="565" spans="1:14" x14ac:dyDescent="0.2">
      <c r="A565" s="1" t="s">
        <v>2260</v>
      </c>
      <c r="D565" s="27">
        <v>0</v>
      </c>
      <c r="E565" s="27">
        <v>1</v>
      </c>
      <c r="F565" s="27">
        <f>E565+1</f>
        <v>2</v>
      </c>
      <c r="G565" s="27">
        <f t="shared" ref="G565" si="7">F565+1</f>
        <v>3</v>
      </c>
      <c r="H565" s="27">
        <f t="shared" ref="H565" si="8">G565+1</f>
        <v>4</v>
      </c>
      <c r="I565" s="27">
        <f t="shared" ref="I565" si="9">H565+1</f>
        <v>5</v>
      </c>
      <c r="J565" s="27">
        <f t="shared" ref="J565" si="10">I565+1</f>
        <v>6</v>
      </c>
      <c r="K565" s="27">
        <f t="shared" ref="K565" si="11">J565+1</f>
        <v>7</v>
      </c>
      <c r="L565" s="27">
        <f t="shared" ref="L565" si="12">K565+1</f>
        <v>8</v>
      </c>
      <c r="M565" s="27">
        <f>L565+1</f>
        <v>9</v>
      </c>
      <c r="N565" s="27">
        <f t="shared" ref="N565" si="13">M565+1</f>
        <v>10</v>
      </c>
    </row>
    <row r="566" spans="1:14" x14ac:dyDescent="0.2">
      <c r="A566" s="1" t="s">
        <v>2258</v>
      </c>
      <c r="E566" s="20">
        <f>1600/10</f>
        <v>160</v>
      </c>
      <c r="F566" s="20">
        <f>E566</f>
        <v>160</v>
      </c>
      <c r="G566" s="20">
        <f t="shared" ref="G566" si="14">F566</f>
        <v>160</v>
      </c>
      <c r="H566" s="20">
        <f t="shared" ref="H566" si="15">G566</f>
        <v>160</v>
      </c>
      <c r="I566" s="20">
        <f t="shared" ref="I566" si="16">H566</f>
        <v>160</v>
      </c>
      <c r="J566" s="20">
        <f t="shared" ref="J566" si="17">I566</f>
        <v>160</v>
      </c>
      <c r="K566" s="20">
        <f t="shared" ref="K566" si="18">J566</f>
        <v>160</v>
      </c>
      <c r="L566" s="20">
        <f t="shared" ref="L566" si="19">K566</f>
        <v>160</v>
      </c>
      <c r="M566" s="20">
        <f t="shared" ref="M566" si="20">L566</f>
        <v>160</v>
      </c>
      <c r="N566" s="20">
        <f t="shared" ref="N566" si="21">M566</f>
        <v>160</v>
      </c>
    </row>
    <row r="567" spans="1:14" x14ac:dyDescent="0.2">
      <c r="A567" s="1" t="s">
        <v>2259</v>
      </c>
      <c r="E567" s="20">
        <f>1600/4</f>
        <v>400</v>
      </c>
      <c r="F567" s="20">
        <f>1600/4</f>
        <v>400</v>
      </c>
      <c r="G567" s="20">
        <f>1600/4</f>
        <v>400</v>
      </c>
      <c r="H567" s="20">
        <f>1600/4</f>
        <v>400</v>
      </c>
      <c r="I567" s="20"/>
      <c r="J567" s="20"/>
      <c r="K567" s="20"/>
      <c r="L567" s="20"/>
      <c r="M567" s="20"/>
      <c r="N567" s="20"/>
    </row>
    <row r="568" spans="1:14" x14ac:dyDescent="0.2">
      <c r="A568" s="1" t="s">
        <v>2263</v>
      </c>
      <c r="E568" s="98">
        <f>E567-E566</f>
        <v>240</v>
      </c>
      <c r="F568" s="98">
        <f>F567-F566</f>
        <v>240</v>
      </c>
      <c r="G568" s="98">
        <f>G567-G566</f>
        <v>240</v>
      </c>
      <c r="H568" s="98">
        <f>H567-H566</f>
        <v>240</v>
      </c>
      <c r="I568" s="98">
        <v>-160</v>
      </c>
      <c r="J568" s="98">
        <v>-160</v>
      </c>
      <c r="K568" s="98">
        <v>-160</v>
      </c>
      <c r="L568" s="98">
        <v>-160</v>
      </c>
      <c r="M568" s="98">
        <v>-160</v>
      </c>
      <c r="N568" s="98">
        <v>-160</v>
      </c>
    </row>
    <row r="569" spans="1:14" x14ac:dyDescent="0.2">
      <c r="A569" s="1" t="s">
        <v>2261</v>
      </c>
      <c r="E569" s="51">
        <v>0.25</v>
      </c>
      <c r="F569" s="51">
        <v>0.25</v>
      </c>
      <c r="G569" s="51">
        <v>0.25</v>
      </c>
      <c r="H569" s="51">
        <v>0.25</v>
      </c>
      <c r="I569" s="51">
        <v>0.25</v>
      </c>
      <c r="J569" s="51">
        <v>0.25</v>
      </c>
      <c r="K569" s="51">
        <v>0.25</v>
      </c>
      <c r="L569" s="51">
        <v>0.25</v>
      </c>
      <c r="M569" s="51">
        <v>0.25</v>
      </c>
      <c r="N569" s="51">
        <v>0.25</v>
      </c>
    </row>
    <row r="570" spans="1:14" x14ac:dyDescent="0.2">
      <c r="A570" s="1" t="s">
        <v>2262</v>
      </c>
      <c r="E570" s="306">
        <f>E568*E569</f>
        <v>60</v>
      </c>
      <c r="F570" s="306">
        <f>F568*F569</f>
        <v>60</v>
      </c>
      <c r="G570" s="306">
        <f>G568*G569</f>
        <v>60</v>
      </c>
      <c r="H570" s="306">
        <f>H568*H569</f>
        <v>60</v>
      </c>
      <c r="I570" s="306">
        <f>I568*I569</f>
        <v>-40</v>
      </c>
      <c r="J570" s="306">
        <f t="shared" ref="J570:N570" si="22">J568*J569</f>
        <v>-40</v>
      </c>
      <c r="K570" s="306">
        <f t="shared" si="22"/>
        <v>-40</v>
      </c>
      <c r="L570" s="306">
        <f t="shared" si="22"/>
        <v>-40</v>
      </c>
      <c r="M570" s="306">
        <f t="shared" si="22"/>
        <v>-40</v>
      </c>
      <c r="N570" s="306">
        <f t="shared" si="22"/>
        <v>-40</v>
      </c>
    </row>
    <row r="572" spans="1:14" x14ac:dyDescent="0.2">
      <c r="G572" s="1" t="s">
        <v>2380</v>
      </c>
    </row>
    <row r="573" spans="1:14" x14ac:dyDescent="0.2">
      <c r="F573" s="20">
        <v>6</v>
      </c>
      <c r="G573" s="1" t="s">
        <v>1258</v>
      </c>
    </row>
    <row r="575" spans="1:14" x14ac:dyDescent="0.2">
      <c r="D575" s="20" t="s">
        <v>87</v>
      </c>
      <c r="E575" s="20"/>
      <c r="G575" s="1" t="s">
        <v>995</v>
      </c>
    </row>
    <row r="576" spans="1:14" x14ac:dyDescent="0.2">
      <c r="D576" s="20">
        <v>0</v>
      </c>
      <c r="E576" s="20">
        <v>1</v>
      </c>
    </row>
    <row r="577" spans="1:8" x14ac:dyDescent="0.2">
      <c r="D577" s="20">
        <f>E570</f>
        <v>60</v>
      </c>
      <c r="E577" s="20">
        <v>2</v>
      </c>
    </row>
    <row r="578" spans="1:8" x14ac:dyDescent="0.2">
      <c r="D578" s="20">
        <f>F570</f>
        <v>60</v>
      </c>
      <c r="E578" s="20">
        <v>3</v>
      </c>
    </row>
    <row r="579" spans="1:8" x14ac:dyDescent="0.2">
      <c r="D579" s="20">
        <f>D578</f>
        <v>60</v>
      </c>
      <c r="E579" s="20">
        <v>4</v>
      </c>
    </row>
    <row r="580" spans="1:8" x14ac:dyDescent="0.2">
      <c r="D580" s="20">
        <f>D579</f>
        <v>60</v>
      </c>
      <c r="E580" s="20">
        <v>5</v>
      </c>
    </row>
    <row r="581" spans="1:8" x14ac:dyDescent="0.2">
      <c r="D581" s="20">
        <f>I570</f>
        <v>-40</v>
      </c>
      <c r="E581" s="20">
        <v>6</v>
      </c>
    </row>
    <row r="582" spans="1:8" x14ac:dyDescent="0.2">
      <c r="D582" s="20">
        <f>D581</f>
        <v>-40</v>
      </c>
      <c r="E582" s="20">
        <v>7</v>
      </c>
    </row>
    <row r="583" spans="1:8" x14ac:dyDescent="0.2">
      <c r="D583" s="20">
        <f>D582</f>
        <v>-40</v>
      </c>
      <c r="E583" s="20">
        <v>8</v>
      </c>
    </row>
    <row r="584" spans="1:8" x14ac:dyDescent="0.2">
      <c r="D584" s="20">
        <f>D583</f>
        <v>-40</v>
      </c>
      <c r="E584" s="20">
        <v>9</v>
      </c>
    </row>
    <row r="585" spans="1:8" x14ac:dyDescent="0.2">
      <c r="D585" s="20">
        <f>D584</f>
        <v>-40</v>
      </c>
      <c r="E585" s="20">
        <v>10</v>
      </c>
    </row>
    <row r="586" spans="1:8" x14ac:dyDescent="0.2">
      <c r="D586" s="20">
        <f>D585</f>
        <v>-40</v>
      </c>
      <c r="E586" s="20">
        <v>11</v>
      </c>
    </row>
    <row r="588" spans="1:8" x14ac:dyDescent="0.2">
      <c r="A588" s="1" t="s">
        <v>2381</v>
      </c>
      <c r="D588" s="30">
        <f>NPV(F573/100,D577:D586)+D576</f>
        <v>52.107079213377816</v>
      </c>
      <c r="G588" s="1" t="s">
        <v>90</v>
      </c>
      <c r="H588" s="1" t="s">
        <v>227</v>
      </c>
    </row>
    <row r="589" spans="1:8" x14ac:dyDescent="0.2">
      <c r="A589" s="1" t="s">
        <v>2382</v>
      </c>
      <c r="D589" s="24">
        <v>1100</v>
      </c>
    </row>
    <row r="590" spans="1:8" x14ac:dyDescent="0.2">
      <c r="A590" s="1" t="s">
        <v>2383</v>
      </c>
      <c r="D590" s="323">
        <f>D588+D589</f>
        <v>1152.1070792133778</v>
      </c>
    </row>
    <row r="592" spans="1:8" x14ac:dyDescent="0.2">
      <c r="A592" s="151" t="s">
        <v>1473</v>
      </c>
      <c r="B592" s="152"/>
      <c r="C592" s="152"/>
      <c r="D592" s="152"/>
      <c r="E592" s="152"/>
      <c r="F592" s="152"/>
      <c r="G592" s="152"/>
      <c r="H592" s="152"/>
    </row>
    <row r="594" spans="1:1" x14ac:dyDescent="0.2">
      <c r="A594" s="1" t="s">
        <v>1749</v>
      </c>
    </row>
    <row r="595" spans="1:1" x14ac:dyDescent="0.2">
      <c r="A595" s="1" t="s">
        <v>1750</v>
      </c>
    </row>
    <row r="596" spans="1:1" x14ac:dyDescent="0.2">
      <c r="A596" s="1" t="s">
        <v>1751</v>
      </c>
    </row>
    <row r="598" spans="1:1" x14ac:dyDescent="0.2">
      <c r="A598" s="1" t="s">
        <v>146</v>
      </c>
    </row>
    <row r="600" spans="1:1" x14ac:dyDescent="0.2">
      <c r="A600" s="1" t="s">
        <v>1752</v>
      </c>
    </row>
    <row r="601" spans="1:1" x14ac:dyDescent="0.2">
      <c r="A601" s="1" t="s">
        <v>1753</v>
      </c>
    </row>
    <row r="602" spans="1:1" x14ac:dyDescent="0.2">
      <c r="A602" s="1" t="s">
        <v>1754</v>
      </c>
    </row>
    <row r="603" spans="1:1" x14ac:dyDescent="0.2">
      <c r="A603" s="1" t="s">
        <v>1755</v>
      </c>
    </row>
    <row r="605" spans="1:1" x14ac:dyDescent="0.2">
      <c r="A605" s="1" t="s">
        <v>1756</v>
      </c>
    </row>
    <row r="607" spans="1:1" x14ac:dyDescent="0.2">
      <c r="A607" s="1" t="s">
        <v>1757</v>
      </c>
    </row>
    <row r="608" spans="1:1" x14ac:dyDescent="0.2">
      <c r="A608" s="1" t="s">
        <v>2527</v>
      </c>
    </row>
    <row r="609" spans="1:1" x14ac:dyDescent="0.2">
      <c r="A609" s="1" t="s">
        <v>2528</v>
      </c>
    </row>
    <row r="610" spans="1:1" x14ac:dyDescent="0.2">
      <c r="A610" s="1" t="s">
        <v>1758</v>
      </c>
    </row>
    <row r="612" spans="1:1" x14ac:dyDescent="0.2">
      <c r="A612" s="1" t="s">
        <v>1759</v>
      </c>
    </row>
    <row r="613" spans="1:1" x14ac:dyDescent="0.2">
      <c r="A613" s="1" t="s">
        <v>1760</v>
      </c>
    </row>
    <row r="614" spans="1:1" x14ac:dyDescent="0.2">
      <c r="A614" s="1" t="s">
        <v>1761</v>
      </c>
    </row>
    <row r="619" spans="1:1" x14ac:dyDescent="0.2">
      <c r="A619" s="1" t="s">
        <v>1762</v>
      </c>
    </row>
    <row r="622" spans="1:1" x14ac:dyDescent="0.2">
      <c r="A622" s="1" t="s">
        <v>1763</v>
      </c>
    </row>
    <row r="623" spans="1:1" x14ac:dyDescent="0.2">
      <c r="A623" s="1" t="s">
        <v>1764</v>
      </c>
    </row>
    <row r="624" spans="1:1" x14ac:dyDescent="0.2">
      <c r="A624" s="1" t="s">
        <v>1765</v>
      </c>
    </row>
    <row r="625" spans="1:7" x14ac:dyDescent="0.2">
      <c r="A625" s="1" t="s">
        <v>1766</v>
      </c>
    </row>
    <row r="626" spans="1:7" x14ac:dyDescent="0.2">
      <c r="A626" s="1" t="s">
        <v>1767</v>
      </c>
    </row>
    <row r="627" spans="1:7" x14ac:dyDescent="0.2">
      <c r="A627" s="1" t="s">
        <v>1768</v>
      </c>
    </row>
    <row r="628" spans="1:7" x14ac:dyDescent="0.2">
      <c r="A628" s="1" t="s">
        <v>1769</v>
      </c>
    </row>
    <row r="629" spans="1:7" x14ac:dyDescent="0.2">
      <c r="A629" s="1" t="s">
        <v>1770</v>
      </c>
    </row>
    <row r="630" spans="1:7" x14ac:dyDescent="0.2">
      <c r="A630" s="1" t="s">
        <v>1771</v>
      </c>
    </row>
    <row r="631" spans="1:7" x14ac:dyDescent="0.2">
      <c r="A631" s="1" t="s">
        <v>1772</v>
      </c>
    </row>
    <row r="633" spans="1:7" x14ac:dyDescent="0.2">
      <c r="A633" s="1" t="s">
        <v>1773</v>
      </c>
    </row>
    <row r="635" spans="1:7" x14ac:dyDescent="0.2">
      <c r="F635" s="1" t="s">
        <v>75</v>
      </c>
      <c r="G635" s="1" t="s">
        <v>111</v>
      </c>
    </row>
    <row r="636" spans="1:7" x14ac:dyDescent="0.2">
      <c r="F636" s="1">
        <f>10*12</f>
        <v>120</v>
      </c>
      <c r="G636" s="1" t="s">
        <v>62</v>
      </c>
    </row>
    <row r="637" spans="1:7" x14ac:dyDescent="0.2">
      <c r="F637" s="1">
        <v>2</v>
      </c>
      <c r="G637" s="1" t="s">
        <v>63</v>
      </c>
    </row>
    <row r="638" spans="1:7" x14ac:dyDescent="0.2">
      <c r="F638" s="177">
        <f>PV(F637/100,F636,F639,F640)</f>
        <v>-113388.47125650903</v>
      </c>
      <c r="G638" s="1" t="s">
        <v>64</v>
      </c>
    </row>
    <row r="639" spans="1:7" x14ac:dyDescent="0.2">
      <c r="F639" s="1">
        <v>2500</v>
      </c>
      <c r="G639" s="1" t="s">
        <v>65</v>
      </c>
    </row>
    <row r="640" spans="1:7" x14ac:dyDescent="0.2">
      <c r="F640" s="1">
        <v>0</v>
      </c>
      <c r="G640" s="1" t="s">
        <v>66</v>
      </c>
    </row>
    <row r="653" spans="1:8" x14ac:dyDescent="0.2">
      <c r="A653" s="151" t="s">
        <v>1214</v>
      </c>
      <c r="B653" s="152"/>
      <c r="C653" s="152"/>
      <c r="D653" s="152"/>
      <c r="E653" s="152"/>
      <c r="F653" s="152"/>
      <c r="G653" s="152"/>
      <c r="H653" s="152"/>
    </row>
    <row r="655" spans="1:8" x14ac:dyDescent="0.2">
      <c r="A655" s="1" t="s">
        <v>1417</v>
      </c>
    </row>
    <row r="656" spans="1:8" x14ac:dyDescent="0.2">
      <c r="A656" s="128"/>
      <c r="B656" s="128">
        <v>0</v>
      </c>
      <c r="C656" s="128">
        <v>1</v>
      </c>
      <c r="D656" s="128">
        <v>2</v>
      </c>
      <c r="E656" s="128">
        <v>3</v>
      </c>
    </row>
    <row r="657" spans="1:5" x14ac:dyDescent="0.2">
      <c r="A657" s="128" t="s">
        <v>740</v>
      </c>
      <c r="B657" s="128">
        <v>-90000</v>
      </c>
      <c r="C657" s="128">
        <v>40000</v>
      </c>
      <c r="D657" s="128">
        <v>50000</v>
      </c>
      <c r="E657" s="128">
        <v>60000</v>
      </c>
    </row>
    <row r="659" spans="1:5" x14ac:dyDescent="0.2">
      <c r="A659" s="1" t="s">
        <v>1418</v>
      </c>
    </row>
    <row r="661" spans="1:5" x14ac:dyDescent="0.2">
      <c r="A661" s="1" t="s">
        <v>1657</v>
      </c>
    </row>
    <row r="663" spans="1:5" x14ac:dyDescent="0.2">
      <c r="A663" s="18" t="s">
        <v>191</v>
      </c>
    </row>
    <row r="665" spans="1:5" x14ac:dyDescent="0.2">
      <c r="A665" s="1" t="s">
        <v>1658</v>
      </c>
    </row>
    <row r="667" spans="1:5" x14ac:dyDescent="0.2">
      <c r="A667" s="1" t="s">
        <v>1659</v>
      </c>
    </row>
    <row r="669" spans="1:5" x14ac:dyDescent="0.2">
      <c r="A669" s="1" t="s">
        <v>1660</v>
      </c>
    </row>
    <row r="671" spans="1:5" x14ac:dyDescent="0.2">
      <c r="A671" s="1" t="s">
        <v>1419</v>
      </c>
    </row>
    <row r="672" spans="1:5" x14ac:dyDescent="0.2">
      <c r="A672" s="1" t="s">
        <v>1420</v>
      </c>
    </row>
    <row r="674" spans="1:8" x14ac:dyDescent="0.2">
      <c r="A674" s="128"/>
      <c r="B674" s="128">
        <v>0</v>
      </c>
      <c r="C674" s="128">
        <v>1</v>
      </c>
      <c r="D674" s="128">
        <v>2</v>
      </c>
      <c r="E674" s="128">
        <v>3</v>
      </c>
    </row>
    <row r="675" spans="1:8" x14ac:dyDescent="0.2">
      <c r="A675" s="128" t="s">
        <v>1661</v>
      </c>
      <c r="B675" s="128">
        <v>-90000</v>
      </c>
      <c r="C675" s="128">
        <v>40000</v>
      </c>
      <c r="D675" s="128">
        <v>50000</v>
      </c>
      <c r="E675" s="128">
        <v>60000</v>
      </c>
      <c r="F675" s="1" t="s">
        <v>1662</v>
      </c>
    </row>
    <row r="676" spans="1:8" x14ac:dyDescent="0.2">
      <c r="A676" s="169" t="s">
        <v>1665</v>
      </c>
      <c r="B676" s="128"/>
      <c r="C676" s="128">
        <f>C675*70%</f>
        <v>28000</v>
      </c>
      <c r="D676" s="128">
        <f>D675*70%</f>
        <v>35000</v>
      </c>
      <c r="E676" s="128">
        <f>E675*70%</f>
        <v>42000</v>
      </c>
      <c r="G676" s="1" t="s">
        <v>1663</v>
      </c>
    </row>
    <row r="677" spans="1:8" x14ac:dyDescent="0.2">
      <c r="A677" s="169" t="s">
        <v>1666</v>
      </c>
      <c r="B677" s="128"/>
      <c r="C677" s="128">
        <f>C675*30%</f>
        <v>12000</v>
      </c>
      <c r="D677" s="128">
        <f>D675*30%</f>
        <v>15000</v>
      </c>
      <c r="E677" s="128">
        <f>E675*30%</f>
        <v>18000</v>
      </c>
      <c r="G677" s="1" t="s">
        <v>1664</v>
      </c>
    </row>
    <row r="679" spans="1:8" x14ac:dyDescent="0.2">
      <c r="A679" s="1" t="s">
        <v>1673</v>
      </c>
    </row>
    <row r="680" spans="1:8" x14ac:dyDescent="0.2">
      <c r="A680" s="1" t="s">
        <v>1667</v>
      </c>
    </row>
    <row r="683" spans="1:8" x14ac:dyDescent="0.2">
      <c r="F683" s="1" t="s">
        <v>1668</v>
      </c>
      <c r="H683" s="1" t="s">
        <v>1670</v>
      </c>
    </row>
    <row r="684" spans="1:8" x14ac:dyDescent="0.2">
      <c r="E684" s="190">
        <f>1.04*1.06-1</f>
        <v>0.10240000000000005</v>
      </c>
      <c r="F684" s="20" t="s">
        <v>1669</v>
      </c>
      <c r="H684" s="1" t="s">
        <v>1671</v>
      </c>
    </row>
    <row r="685" spans="1:8" x14ac:dyDescent="0.2">
      <c r="H685" s="1" t="s">
        <v>1672</v>
      </c>
    </row>
    <row r="687" spans="1:8" x14ac:dyDescent="0.2">
      <c r="A687" s="1" t="s">
        <v>1421</v>
      </c>
      <c r="C687" s="20" t="s">
        <v>1674</v>
      </c>
      <c r="D687" s="20" t="s">
        <v>1674</v>
      </c>
      <c r="F687" s="1" t="s">
        <v>84</v>
      </c>
    </row>
    <row r="688" spans="1:8" x14ac:dyDescent="0.2">
      <c r="C688" s="20" t="s">
        <v>701</v>
      </c>
      <c r="D688" s="20" t="s">
        <v>1440</v>
      </c>
    </row>
    <row r="689" spans="1:6" x14ac:dyDescent="0.2">
      <c r="C689" s="20" t="s">
        <v>757</v>
      </c>
      <c r="D689" s="20" t="s">
        <v>758</v>
      </c>
    </row>
    <row r="690" spans="1:6" x14ac:dyDescent="0.2">
      <c r="C690" s="191">
        <f>(1.04*1.06-1)*100</f>
        <v>10.240000000000006</v>
      </c>
      <c r="D690" s="31">
        <v>4</v>
      </c>
      <c r="F690" s="1" t="s">
        <v>63</v>
      </c>
    </row>
    <row r="691" spans="1:6" x14ac:dyDescent="0.2">
      <c r="C691" s="20"/>
      <c r="D691" s="20"/>
    </row>
    <row r="692" spans="1:6" x14ac:dyDescent="0.2">
      <c r="C692" s="20">
        <v>0</v>
      </c>
      <c r="D692" s="20">
        <v>0</v>
      </c>
      <c r="E692" s="1">
        <v>1</v>
      </c>
      <c r="F692" s="1" t="s">
        <v>995</v>
      </c>
    </row>
    <row r="693" spans="1:6" x14ac:dyDescent="0.2">
      <c r="C693" s="20">
        <f>C677</f>
        <v>12000</v>
      </c>
      <c r="D693" s="20">
        <f>C676</f>
        <v>28000</v>
      </c>
      <c r="E693" s="1">
        <v>2</v>
      </c>
    </row>
    <row r="694" spans="1:6" x14ac:dyDescent="0.2">
      <c r="C694" s="20">
        <f>D677</f>
        <v>15000</v>
      </c>
      <c r="D694" s="20">
        <f>D676</f>
        <v>35000</v>
      </c>
      <c r="E694" s="1">
        <v>3</v>
      </c>
    </row>
    <row r="695" spans="1:6" x14ac:dyDescent="0.2">
      <c r="C695" s="20">
        <f>E677</f>
        <v>18000</v>
      </c>
      <c r="D695" s="20">
        <f>E676</f>
        <v>42000</v>
      </c>
      <c r="E695" s="1">
        <v>4</v>
      </c>
    </row>
    <row r="696" spans="1:6" x14ac:dyDescent="0.2">
      <c r="C696" s="20"/>
      <c r="D696" s="20"/>
    </row>
    <row r="697" spans="1:6" x14ac:dyDescent="0.2">
      <c r="A697" s="1" t="s">
        <v>1422</v>
      </c>
      <c r="C697" s="150">
        <f>NPV(C690/100,C693:C695)</f>
        <v>36663.649881843819</v>
      </c>
      <c r="D697" s="150">
        <f>NPV(D690/100,D693:D695)</f>
        <v>96620.391442876644</v>
      </c>
      <c r="E697" s="1" t="s">
        <v>90</v>
      </c>
      <c r="F697" s="1" t="s">
        <v>227</v>
      </c>
    </row>
    <row r="699" spans="1:6" x14ac:dyDescent="0.2">
      <c r="A699" s="1" t="s">
        <v>1423</v>
      </c>
    </row>
    <row r="701" spans="1:6" x14ac:dyDescent="0.2">
      <c r="A701" s="18" t="s">
        <v>259</v>
      </c>
      <c r="B701" s="188">
        <f>C697+D697+B675</f>
        <v>43284.041324720456</v>
      </c>
      <c r="E701" s="1" t="s">
        <v>1424</v>
      </c>
    </row>
    <row r="704" spans="1:6" x14ac:dyDescent="0.2">
      <c r="A704" s="1" t="s">
        <v>1679</v>
      </c>
      <c r="D704" s="1" t="s">
        <v>1675</v>
      </c>
    </row>
    <row r="705" spans="1:8" x14ac:dyDescent="0.2">
      <c r="A705" s="1" t="s">
        <v>1680</v>
      </c>
      <c r="D705" s="1" t="s">
        <v>1676</v>
      </c>
    </row>
    <row r="706" spans="1:8" x14ac:dyDescent="0.2">
      <c r="A706" s="1" t="s">
        <v>1681</v>
      </c>
    </row>
    <row r="707" spans="1:8" x14ac:dyDescent="0.2">
      <c r="C707" s="1" t="s">
        <v>1677</v>
      </c>
    </row>
    <row r="708" spans="1:8" x14ac:dyDescent="0.2">
      <c r="C708" s="1" t="s">
        <v>1678</v>
      </c>
    </row>
    <row r="711" spans="1:8" x14ac:dyDescent="0.2">
      <c r="A711" s="151" t="s">
        <v>1228</v>
      </c>
      <c r="B711" s="152"/>
      <c r="C711" s="152"/>
      <c r="D711" s="152"/>
      <c r="E711" s="152"/>
      <c r="F711" s="152"/>
      <c r="G711" s="152"/>
      <c r="H711" s="152"/>
    </row>
    <row r="712" spans="1:8" s="354" customFormat="1" x14ac:dyDescent="0.2">
      <c r="A712" s="353"/>
    </row>
    <row r="713" spans="1:8" s="354" customFormat="1" x14ac:dyDescent="0.2">
      <c r="A713" s="353"/>
    </row>
    <row r="714" spans="1:8" s="354" customFormat="1" x14ac:dyDescent="0.2">
      <c r="A714" s="353"/>
    </row>
    <row r="715" spans="1:8" s="354" customFormat="1" x14ac:dyDescent="0.2">
      <c r="A715" s="353"/>
    </row>
    <row r="716" spans="1:8" s="354" customFormat="1" x14ac:dyDescent="0.2">
      <c r="A716" s="353"/>
    </row>
    <row r="717" spans="1:8" s="354" customFormat="1" x14ac:dyDescent="0.2">
      <c r="A717" s="353"/>
    </row>
    <row r="718" spans="1:8" s="354" customFormat="1" x14ac:dyDescent="0.2">
      <c r="A718" s="353"/>
    </row>
    <row r="719" spans="1:8" s="354" customFormat="1" x14ac:dyDescent="0.2">
      <c r="A719" s="353"/>
    </row>
    <row r="720" spans="1:8" s="354" customFormat="1" x14ac:dyDescent="0.2">
      <c r="A720" s="353"/>
    </row>
    <row r="721" spans="1:14" s="354" customFormat="1" x14ac:dyDescent="0.2">
      <c r="A721" s="353"/>
    </row>
    <row r="722" spans="1:14" s="354" customFormat="1" x14ac:dyDescent="0.2">
      <c r="A722" s="353"/>
    </row>
    <row r="723" spans="1:14" s="354" customFormat="1" x14ac:dyDescent="0.2">
      <c r="A723" s="353"/>
      <c r="J723" s="353" t="s">
        <v>2752</v>
      </c>
      <c r="K723" s="353"/>
      <c r="L723" s="353"/>
      <c r="M723" s="353"/>
    </row>
    <row r="724" spans="1:14" s="354" customFormat="1" x14ac:dyDescent="0.2">
      <c r="A724" s="353"/>
      <c r="J724" s="353" t="s">
        <v>2753</v>
      </c>
      <c r="K724" s="353"/>
      <c r="L724" s="353"/>
      <c r="M724" s="353"/>
    </row>
    <row r="725" spans="1:14" s="354" customFormat="1" x14ac:dyDescent="0.2">
      <c r="A725" s="353"/>
    </row>
    <row r="726" spans="1:14" s="354" customFormat="1" x14ac:dyDescent="0.2">
      <c r="A726" s="353"/>
      <c r="J726" s="353" t="s">
        <v>2754</v>
      </c>
      <c r="K726" s="353"/>
      <c r="L726" s="353"/>
      <c r="M726" s="353"/>
      <c r="N726" s="353"/>
    </row>
    <row r="727" spans="1:14" s="354" customFormat="1" x14ac:dyDescent="0.2">
      <c r="A727" s="353"/>
      <c r="J727" s="353" t="s">
        <v>2755</v>
      </c>
      <c r="K727" s="353"/>
      <c r="L727" s="353"/>
      <c r="M727" s="353"/>
      <c r="N727" s="353"/>
    </row>
    <row r="728" spans="1:14" s="354" customFormat="1" x14ac:dyDescent="0.2">
      <c r="A728" s="353"/>
    </row>
    <row r="729" spans="1:14" s="354" customFormat="1" x14ac:dyDescent="0.2">
      <c r="A729" s="353"/>
    </row>
    <row r="730" spans="1:14" s="354" customFormat="1" x14ac:dyDescent="0.2">
      <c r="A730" s="353"/>
    </row>
    <row r="731" spans="1:14" s="354" customFormat="1" x14ac:dyDescent="0.2">
      <c r="A731" s="353"/>
    </row>
    <row r="732" spans="1:14" s="354" customFormat="1" x14ac:dyDescent="0.2">
      <c r="A732" s="353"/>
    </row>
    <row r="733" spans="1:14" x14ac:dyDescent="0.2">
      <c r="A733" s="1" t="s">
        <v>1238</v>
      </c>
      <c r="H733" s="1" t="s">
        <v>1239</v>
      </c>
    </row>
    <row r="734" spans="1:14" x14ac:dyDescent="0.2">
      <c r="A734" s="1" t="s">
        <v>1240</v>
      </c>
    </row>
    <row r="735" spans="1:14" x14ac:dyDescent="0.2">
      <c r="A735" s="1" t="s">
        <v>1241</v>
      </c>
      <c r="H735" s="1" t="s">
        <v>1242</v>
      </c>
    </row>
    <row r="737" spans="1:17" x14ac:dyDescent="0.2">
      <c r="A737" s="1" t="s">
        <v>1243</v>
      </c>
    </row>
    <row r="738" spans="1:17" x14ac:dyDescent="0.2">
      <c r="A738" s="1" t="s">
        <v>1244</v>
      </c>
    </row>
    <row r="739" spans="1:17" x14ac:dyDescent="0.2">
      <c r="A739" s="1" t="s">
        <v>1245</v>
      </c>
    </row>
    <row r="741" spans="1:17" x14ac:dyDescent="0.2">
      <c r="A741" s="355" t="s">
        <v>739</v>
      </c>
      <c r="C741" s="27">
        <v>0</v>
      </c>
      <c r="D741" s="27">
        <v>1</v>
      </c>
      <c r="E741" s="27">
        <v>2</v>
      </c>
      <c r="F741" s="27">
        <v>3</v>
      </c>
      <c r="G741" s="27">
        <v>4</v>
      </c>
    </row>
    <row r="742" spans="1:17" x14ac:dyDescent="0.2">
      <c r="A742" s="29" t="s">
        <v>1246</v>
      </c>
      <c r="C742" s="20"/>
      <c r="D742" s="101">
        <v>300000</v>
      </c>
      <c r="E742" s="101">
        <v>300000</v>
      </c>
      <c r="F742" s="101">
        <f t="shared" ref="F742:G744" si="23">E742</f>
        <v>300000</v>
      </c>
      <c r="G742" s="101">
        <f t="shared" si="23"/>
        <v>300000</v>
      </c>
      <c r="J742" s="1" t="s">
        <v>2756</v>
      </c>
    </row>
    <row r="743" spans="1:17" x14ac:dyDescent="0.2">
      <c r="A743" s="29" t="s">
        <v>1247</v>
      </c>
      <c r="D743" s="101">
        <v>-100000</v>
      </c>
      <c r="E743" s="101">
        <f>D743</f>
        <v>-100000</v>
      </c>
      <c r="F743" s="101">
        <f t="shared" si="23"/>
        <v>-100000</v>
      </c>
      <c r="G743" s="101">
        <f t="shared" si="23"/>
        <v>-100000</v>
      </c>
      <c r="J743" s="1" t="s">
        <v>2757</v>
      </c>
    </row>
    <row r="744" spans="1:17" x14ac:dyDescent="0.2">
      <c r="A744" s="356" t="s">
        <v>1248</v>
      </c>
      <c r="C744" s="52"/>
      <c r="D744" s="153">
        <f>-D795</f>
        <v>-150000</v>
      </c>
      <c r="E744" s="153">
        <f>D744</f>
        <v>-150000</v>
      </c>
      <c r="F744" s="153">
        <f t="shared" si="23"/>
        <v>-150000</v>
      </c>
      <c r="G744" s="153">
        <f t="shared" si="23"/>
        <v>-150000</v>
      </c>
      <c r="M744" s="1" t="s">
        <v>2758</v>
      </c>
    </row>
    <row r="745" spans="1:17" x14ac:dyDescent="0.2">
      <c r="A745" s="356" t="s">
        <v>1249</v>
      </c>
      <c r="C745" s="52"/>
      <c r="D745" s="153"/>
      <c r="E745" s="153"/>
      <c r="F745" s="153"/>
      <c r="G745" s="154">
        <f>D816</f>
        <v>50000</v>
      </c>
      <c r="I745" s="358" t="s">
        <v>2770</v>
      </c>
    </row>
    <row r="746" spans="1:17" x14ac:dyDescent="0.2">
      <c r="A746" s="29" t="s">
        <v>1250</v>
      </c>
      <c r="C746" s="105">
        <f>SUM(C742:C745)</f>
        <v>0</v>
      </c>
      <c r="D746" s="105">
        <f>SUM(D742:D745)</f>
        <v>50000</v>
      </c>
      <c r="E746" s="105">
        <f>SUM(E742:E745)</f>
        <v>50000</v>
      </c>
      <c r="F746" s="105">
        <f>SUM(F742:F745)</f>
        <v>50000</v>
      </c>
      <c r="G746" s="105">
        <f>SUM(G742:G745)</f>
        <v>100000</v>
      </c>
      <c r="I746" s="359" t="s">
        <v>2771</v>
      </c>
      <c r="J746" s="1" t="s">
        <v>2759</v>
      </c>
    </row>
    <row r="747" spans="1:17" x14ac:dyDescent="0.2">
      <c r="A747" s="29" t="s">
        <v>1251</v>
      </c>
      <c r="D747" s="101">
        <f>-20%*D746</f>
        <v>-10000</v>
      </c>
      <c r="E747" s="101">
        <f>-20%*E746</f>
        <v>-10000</v>
      </c>
      <c r="F747" s="101">
        <f>-20%*F746</f>
        <v>-10000</v>
      </c>
      <c r="G747" s="101">
        <f>-20%*G746</f>
        <v>-20000</v>
      </c>
      <c r="I747" s="359" t="s">
        <v>2772</v>
      </c>
      <c r="J747" s="1" t="s">
        <v>2760</v>
      </c>
    </row>
    <row r="748" spans="1:17" x14ac:dyDescent="0.2">
      <c r="A748" s="29" t="s">
        <v>1252</v>
      </c>
      <c r="C748" s="101">
        <v>-700000</v>
      </c>
      <c r="I748" s="359" t="s">
        <v>2773</v>
      </c>
      <c r="J748" s="1" t="s">
        <v>2761</v>
      </c>
    </row>
    <row r="749" spans="1:17" x14ac:dyDescent="0.2">
      <c r="A749" s="356" t="s">
        <v>1253</v>
      </c>
      <c r="C749" s="52"/>
      <c r="D749" s="52"/>
      <c r="E749" s="52"/>
      <c r="F749" s="52"/>
      <c r="G749" s="155">
        <v>100000</v>
      </c>
      <c r="I749" s="359" t="s">
        <v>2774</v>
      </c>
      <c r="J749" s="1" t="s">
        <v>2762</v>
      </c>
      <c r="N749" s="24">
        <v>150000</v>
      </c>
    </row>
    <row r="750" spans="1:17" x14ac:dyDescent="0.2">
      <c r="A750" s="356" t="s">
        <v>1254</v>
      </c>
      <c r="C750" s="52"/>
      <c r="D750" s="153">
        <f>-D744</f>
        <v>150000</v>
      </c>
      <c r="E750" s="153">
        <f t="shared" ref="E750:G750" si="24">-E744</f>
        <v>150000</v>
      </c>
      <c r="F750" s="153">
        <f t="shared" si="24"/>
        <v>150000</v>
      </c>
      <c r="G750" s="153">
        <f t="shared" si="24"/>
        <v>150000</v>
      </c>
      <c r="I750" s="359" t="s">
        <v>2775</v>
      </c>
      <c r="J750" s="1" t="s">
        <v>2763</v>
      </c>
      <c r="N750" s="357">
        <v>-100000</v>
      </c>
      <c r="Q750" s="1" t="s">
        <v>2764</v>
      </c>
    </row>
    <row r="751" spans="1:17" x14ac:dyDescent="0.2">
      <c r="A751" s="29" t="s">
        <v>1255</v>
      </c>
      <c r="C751" s="105">
        <f>SUM(C746:C750)</f>
        <v>-700000</v>
      </c>
      <c r="D751" s="105">
        <f>SUM(D746:D750)</f>
        <v>190000</v>
      </c>
      <c r="E751" s="105">
        <f>SUM(E746:E750)</f>
        <v>190000</v>
      </c>
      <c r="F751" s="105">
        <f>SUM(F746:F750)</f>
        <v>190000</v>
      </c>
      <c r="G751" s="105">
        <f>SUM(G746:G750)</f>
        <v>330000</v>
      </c>
      <c r="I751" s="359" t="s">
        <v>2776</v>
      </c>
      <c r="J751" s="1" t="s">
        <v>2765</v>
      </c>
      <c r="N751" s="154">
        <f>N749+N750</f>
        <v>50000</v>
      </c>
    </row>
    <row r="752" spans="1:17" x14ac:dyDescent="0.2">
      <c r="I752" s="359" t="s">
        <v>2777</v>
      </c>
    </row>
    <row r="753" spans="1:12" x14ac:dyDescent="0.2">
      <c r="A753" s="1" t="s">
        <v>1256</v>
      </c>
      <c r="I753" s="359" t="s">
        <v>2778</v>
      </c>
      <c r="J753" s="1" t="s">
        <v>2766</v>
      </c>
    </row>
    <row r="754" spans="1:12" x14ac:dyDescent="0.2">
      <c r="I754" s="359" t="s">
        <v>2779</v>
      </c>
      <c r="J754" s="1" t="s">
        <v>2767</v>
      </c>
    </row>
    <row r="755" spans="1:12" x14ac:dyDescent="0.2">
      <c r="F755" s="1" t="s">
        <v>84</v>
      </c>
      <c r="I755" s="359" t="s">
        <v>2780</v>
      </c>
      <c r="J755" s="1" t="s">
        <v>2768</v>
      </c>
    </row>
    <row r="756" spans="1:12" x14ac:dyDescent="0.2">
      <c r="A756" s="1" t="s">
        <v>1257</v>
      </c>
      <c r="E756" s="1">
        <v>10.199999999999999</v>
      </c>
      <c r="F756" s="1" t="s">
        <v>1258</v>
      </c>
      <c r="I756" s="359" t="s">
        <v>2781</v>
      </c>
      <c r="J756" s="1" t="s">
        <v>2769</v>
      </c>
    </row>
    <row r="757" spans="1:12" x14ac:dyDescent="0.2">
      <c r="B757" s="20" t="s">
        <v>87</v>
      </c>
      <c r="C757" s="20"/>
      <c r="F757" s="1" t="s">
        <v>1259</v>
      </c>
      <c r="I757" s="359" t="s">
        <v>2782</v>
      </c>
    </row>
    <row r="758" spans="1:12" x14ac:dyDescent="0.2">
      <c r="A758" s="1" t="s">
        <v>1260</v>
      </c>
      <c r="B758" s="20">
        <v>-700000</v>
      </c>
      <c r="C758" s="20">
        <v>1</v>
      </c>
      <c r="I758" s="359" t="s">
        <v>2783</v>
      </c>
    </row>
    <row r="759" spans="1:12" x14ac:dyDescent="0.2">
      <c r="A759" s="1" t="s">
        <v>1261</v>
      </c>
      <c r="B759" s="20">
        <v>190000</v>
      </c>
      <c r="C759" s="20">
        <v>2</v>
      </c>
      <c r="I759" s="360" t="s">
        <v>2784</v>
      </c>
    </row>
    <row r="760" spans="1:12" x14ac:dyDescent="0.2">
      <c r="A760" s="1" t="s">
        <v>1262</v>
      </c>
      <c r="B760" s="20">
        <v>190000</v>
      </c>
      <c r="C760" s="20">
        <v>3</v>
      </c>
    </row>
    <row r="761" spans="1:12" ht="26" x14ac:dyDescent="0.3">
      <c r="A761" s="1" t="s">
        <v>1263</v>
      </c>
      <c r="B761" s="20">
        <v>190000</v>
      </c>
      <c r="C761" s="20">
        <v>4</v>
      </c>
      <c r="I761" s="361"/>
      <c r="J761" s="361" t="s">
        <v>2785</v>
      </c>
      <c r="K761" s="361"/>
      <c r="L761" s="361"/>
    </row>
    <row r="762" spans="1:12" x14ac:dyDescent="0.2">
      <c r="A762" s="1" t="s">
        <v>1264</v>
      </c>
      <c r="B762" s="20">
        <v>330000</v>
      </c>
      <c r="C762" s="20">
        <v>5</v>
      </c>
      <c r="D762" s="1" t="s">
        <v>1265</v>
      </c>
    </row>
    <row r="764" spans="1:12" x14ac:dyDescent="0.2">
      <c r="D764" s="1" t="s">
        <v>89</v>
      </c>
      <c r="E764" s="32">
        <f>NPV(10.2%,B759:B762)+B758</f>
        <v>-5394.2275513302302</v>
      </c>
      <c r="F764" s="1" t="s">
        <v>1266</v>
      </c>
    </row>
    <row r="765" spans="1:12" x14ac:dyDescent="0.2">
      <c r="E765" s="156">
        <f>IRR(B758:B762)</f>
        <v>9.8729207658990514E-2</v>
      </c>
      <c r="F765" s="1" t="s">
        <v>1267</v>
      </c>
    </row>
    <row r="767" spans="1:12" x14ac:dyDescent="0.2">
      <c r="A767" s="18" t="s">
        <v>1268</v>
      </c>
    </row>
    <row r="769" spans="1:1" x14ac:dyDescent="0.2">
      <c r="A769" s="1" t="s">
        <v>1269</v>
      </c>
    </row>
    <row r="770" spans="1:1" x14ac:dyDescent="0.2">
      <c r="A770" s="1" t="s">
        <v>1270</v>
      </c>
    </row>
    <row r="771" spans="1:1" x14ac:dyDescent="0.2">
      <c r="A771" s="1" t="s">
        <v>1271</v>
      </c>
    </row>
    <row r="772" spans="1:1" x14ac:dyDescent="0.2">
      <c r="A772" s="1" t="s">
        <v>1272</v>
      </c>
    </row>
    <row r="773" spans="1:1" x14ac:dyDescent="0.2">
      <c r="A773" s="157" t="s">
        <v>1273</v>
      </c>
    </row>
    <row r="777" spans="1:1" x14ac:dyDescent="0.2">
      <c r="A777" s="18" t="s">
        <v>1274</v>
      </c>
    </row>
    <row r="779" spans="1:1" x14ac:dyDescent="0.2">
      <c r="A779" s="18" t="s">
        <v>1275</v>
      </c>
    </row>
    <row r="780" spans="1:1" x14ac:dyDescent="0.2">
      <c r="A780" s="1" t="s">
        <v>1276</v>
      </c>
    </row>
    <row r="782" spans="1:1" x14ac:dyDescent="0.2">
      <c r="A782" s="18" t="s">
        <v>1277</v>
      </c>
    </row>
    <row r="783" spans="1:1" x14ac:dyDescent="0.2">
      <c r="A783" s="1" t="s">
        <v>1278</v>
      </c>
    </row>
    <row r="784" spans="1:1" x14ac:dyDescent="0.2">
      <c r="A784" s="1" t="s">
        <v>1279</v>
      </c>
    </row>
    <row r="785" spans="1:6" x14ac:dyDescent="0.2">
      <c r="A785" s="1" t="s">
        <v>1280</v>
      </c>
    </row>
    <row r="786" spans="1:6" x14ac:dyDescent="0.2">
      <c r="A786" s="1" t="s">
        <v>1281</v>
      </c>
    </row>
    <row r="787" spans="1:6" x14ac:dyDescent="0.2">
      <c r="A787" s="1" t="s">
        <v>1282</v>
      </c>
    </row>
    <row r="788" spans="1:6" x14ac:dyDescent="0.2">
      <c r="A788" s="1" t="s">
        <v>1283</v>
      </c>
    </row>
    <row r="790" spans="1:6" x14ac:dyDescent="0.2">
      <c r="A790" s="1" t="s">
        <v>1284</v>
      </c>
    </row>
    <row r="791" spans="1:6" x14ac:dyDescent="0.2">
      <c r="A791" s="1" t="s">
        <v>1285</v>
      </c>
    </row>
    <row r="792" spans="1:6" x14ac:dyDescent="0.2">
      <c r="A792" s="1" t="s">
        <v>1286</v>
      </c>
    </row>
    <row r="794" spans="1:6" x14ac:dyDescent="0.2">
      <c r="A794" s="1" t="s">
        <v>1287</v>
      </c>
    </row>
    <row r="795" spans="1:6" x14ac:dyDescent="0.2">
      <c r="D795" s="3">
        <v>150000</v>
      </c>
      <c r="F795" s="1" t="s">
        <v>1288</v>
      </c>
    </row>
    <row r="796" spans="1:6" x14ac:dyDescent="0.2">
      <c r="D796" s="3"/>
    </row>
    <row r="797" spans="1:6" x14ac:dyDescent="0.2">
      <c r="D797" s="3"/>
    </row>
    <row r="798" spans="1:6" ht="17" thickBot="1" x14ac:dyDescent="0.25">
      <c r="D798" s="3"/>
    </row>
    <row r="799" spans="1:6" x14ac:dyDescent="0.2">
      <c r="B799" s="12"/>
      <c r="C799" s="13"/>
      <c r="D799" s="14"/>
    </row>
    <row r="800" spans="1:6" x14ac:dyDescent="0.2">
      <c r="B800" s="72"/>
      <c r="D800" s="73"/>
    </row>
    <row r="801" spans="1:6" x14ac:dyDescent="0.2">
      <c r="B801" s="72"/>
      <c r="D801" s="73"/>
    </row>
    <row r="802" spans="1:6" x14ac:dyDescent="0.2">
      <c r="B802" s="158" t="s">
        <v>1289</v>
      </c>
      <c r="C802" s="18"/>
      <c r="D802" s="159" t="s">
        <v>1290</v>
      </c>
    </row>
    <row r="803" spans="1:6" x14ac:dyDescent="0.2">
      <c r="B803" s="158" t="s">
        <v>1291</v>
      </c>
      <c r="C803" s="18"/>
      <c r="D803" s="159" t="s">
        <v>1291</v>
      </c>
    </row>
    <row r="804" spans="1:6" x14ac:dyDescent="0.2">
      <c r="B804" s="158" t="s">
        <v>1292</v>
      </c>
      <c r="C804" s="18"/>
      <c r="D804" s="159" t="s">
        <v>1293</v>
      </c>
    </row>
    <row r="805" spans="1:6" x14ac:dyDescent="0.2">
      <c r="B805" s="160" t="s">
        <v>1294</v>
      </c>
      <c r="D805" s="161" t="s">
        <v>1295</v>
      </c>
    </row>
    <row r="806" spans="1:6" x14ac:dyDescent="0.2">
      <c r="B806" s="160" t="s">
        <v>1296</v>
      </c>
      <c r="D806" s="161" t="s">
        <v>1297</v>
      </c>
    </row>
    <row r="807" spans="1:6" ht="17" thickBot="1" x14ac:dyDescent="0.25">
      <c r="B807" s="162" t="s">
        <v>1298</v>
      </c>
      <c r="C807" s="16"/>
      <c r="D807" s="163" t="s">
        <v>1299</v>
      </c>
    </row>
    <row r="810" spans="1:6" x14ac:dyDescent="0.2">
      <c r="A810" s="18" t="s">
        <v>1300</v>
      </c>
    </row>
    <row r="811" spans="1:6" x14ac:dyDescent="0.2">
      <c r="A811" s="1" t="s">
        <v>1301</v>
      </c>
    </row>
    <row r="812" spans="1:6" x14ac:dyDescent="0.2">
      <c r="A812" s="1" t="s">
        <v>1302</v>
      </c>
      <c r="F812" s="1" t="s">
        <v>1303</v>
      </c>
    </row>
    <row r="813" spans="1:6" x14ac:dyDescent="0.2">
      <c r="F813" s="1" t="s">
        <v>1304</v>
      </c>
    </row>
    <row r="814" spans="1:6" x14ac:dyDescent="0.2">
      <c r="A814" s="1" t="s">
        <v>1305</v>
      </c>
      <c r="D814" s="66">
        <v>150000</v>
      </c>
    </row>
    <row r="815" spans="1:6" x14ac:dyDescent="0.2">
      <c r="A815" s="1" t="s">
        <v>1306</v>
      </c>
      <c r="D815" s="66">
        <f>-B821</f>
        <v>-100000</v>
      </c>
      <c r="F815" s="1" t="s">
        <v>1307</v>
      </c>
    </row>
    <row r="816" spans="1:6" x14ac:dyDescent="0.2">
      <c r="A816" s="1" t="s">
        <v>1308</v>
      </c>
      <c r="D816" s="164">
        <f>D814+D815</f>
        <v>50000</v>
      </c>
      <c r="F816" s="1" t="s">
        <v>1309</v>
      </c>
    </row>
    <row r="817" spans="1:6" x14ac:dyDescent="0.2">
      <c r="F817" s="1" t="s">
        <v>1310</v>
      </c>
    </row>
    <row r="818" spans="1:6" x14ac:dyDescent="0.2">
      <c r="F818" s="1" t="s">
        <v>1311</v>
      </c>
    </row>
    <row r="819" spans="1:6" x14ac:dyDescent="0.2">
      <c r="A819" s="1" t="s">
        <v>1312</v>
      </c>
      <c r="B819" s="66">
        <v>700000</v>
      </c>
      <c r="F819" s="1" t="s">
        <v>1297</v>
      </c>
    </row>
    <row r="820" spans="1:6" x14ac:dyDescent="0.2">
      <c r="A820" s="1" t="s">
        <v>1313</v>
      </c>
      <c r="B820" s="66">
        <v>-600000</v>
      </c>
      <c r="C820" s="1" t="s">
        <v>1314</v>
      </c>
    </row>
    <row r="821" spans="1:6" x14ac:dyDescent="0.2">
      <c r="A821" s="1" t="s">
        <v>1315</v>
      </c>
      <c r="B821" s="165">
        <f>B819+B820</f>
        <v>100000</v>
      </c>
    </row>
    <row r="823" spans="1:6" x14ac:dyDescent="0.2">
      <c r="A823" s="18" t="s">
        <v>1316</v>
      </c>
    </row>
    <row r="824" spans="1:6" x14ac:dyDescent="0.2">
      <c r="A824" s="1" t="s">
        <v>1317</v>
      </c>
    </row>
    <row r="826" spans="1:6" x14ac:dyDescent="0.2">
      <c r="A826" s="18" t="s">
        <v>1318</v>
      </c>
    </row>
    <row r="827" spans="1:6" x14ac:dyDescent="0.2">
      <c r="A827" s="1" t="s">
        <v>1319</v>
      </c>
      <c r="D827" s="3">
        <v>150000</v>
      </c>
    </row>
    <row r="829" spans="1:6" x14ac:dyDescent="0.2">
      <c r="A829" s="1" t="s">
        <v>1320</v>
      </c>
      <c r="D829" s="66">
        <f>D816</f>
        <v>50000</v>
      </c>
      <c r="E829" s="1" t="s">
        <v>1249</v>
      </c>
    </row>
    <row r="831" spans="1:6" x14ac:dyDescent="0.2">
      <c r="A831" s="1" t="s">
        <v>1321</v>
      </c>
      <c r="D831" s="166">
        <f>D827-D829</f>
        <v>100000</v>
      </c>
      <c r="F831" s="1" t="s">
        <v>1322</v>
      </c>
    </row>
    <row r="833" spans="1:8" x14ac:dyDescent="0.2">
      <c r="A833" s="1" t="s">
        <v>1323</v>
      </c>
    </row>
    <row r="835" spans="1:8" x14ac:dyDescent="0.2">
      <c r="A835" s="52" t="s">
        <v>1324</v>
      </c>
    </row>
    <row r="837" spans="1:8" x14ac:dyDescent="0.2">
      <c r="A837" s="151" t="s">
        <v>1235</v>
      </c>
      <c r="B837" s="152"/>
      <c r="C837" s="152"/>
      <c r="D837" s="152"/>
      <c r="E837" s="152"/>
      <c r="F837" s="152"/>
      <c r="G837" s="152"/>
      <c r="H837" s="152"/>
    </row>
    <row r="839" spans="1:8" x14ac:dyDescent="0.2">
      <c r="A839" s="1" t="s">
        <v>1425</v>
      </c>
    </row>
    <row r="840" spans="1:8" x14ac:dyDescent="0.2">
      <c r="A840" s="1" t="s">
        <v>1426</v>
      </c>
    </row>
    <row r="841" spans="1:8" x14ac:dyDescent="0.2">
      <c r="A841" s="1" t="s">
        <v>1682</v>
      </c>
    </row>
    <row r="842" spans="1:8" x14ac:dyDescent="0.2">
      <c r="A842" s="1" t="s">
        <v>1427</v>
      </c>
    </row>
    <row r="843" spans="1:8" x14ac:dyDescent="0.2">
      <c r="F843" s="66">
        <f>2500*320</f>
        <v>800000</v>
      </c>
      <c r="H843" s="1" t="s">
        <v>1428</v>
      </c>
    </row>
    <row r="844" spans="1:8" x14ac:dyDescent="0.2">
      <c r="A844" s="1" t="s">
        <v>1434</v>
      </c>
      <c r="F844" s="66"/>
    </row>
    <row r="845" spans="1:8" x14ac:dyDescent="0.2">
      <c r="A845" s="1" t="s">
        <v>1429</v>
      </c>
    </row>
    <row r="846" spans="1:8" x14ac:dyDescent="0.2">
      <c r="A846" s="1" t="s">
        <v>1435</v>
      </c>
    </row>
    <row r="847" spans="1:8" x14ac:dyDescent="0.2">
      <c r="A847" s="1" t="s">
        <v>1430</v>
      </c>
    </row>
    <row r="848" spans="1:8" x14ac:dyDescent="0.2">
      <c r="A848" s="1" t="s">
        <v>1431</v>
      </c>
    </row>
    <row r="850" spans="1:7" x14ac:dyDescent="0.2">
      <c r="A850" s="1" t="s">
        <v>146</v>
      </c>
    </row>
    <row r="852" spans="1:7" x14ac:dyDescent="0.2">
      <c r="A852" s="1" t="s">
        <v>1436</v>
      </c>
    </row>
    <row r="853" spans="1:7" x14ac:dyDescent="0.2">
      <c r="A853" s="1" t="s">
        <v>1437</v>
      </c>
    </row>
    <row r="854" spans="1:7" x14ac:dyDescent="0.2">
      <c r="A854" s="1" t="s">
        <v>1438</v>
      </c>
    </row>
    <row r="856" spans="1:7" x14ac:dyDescent="0.2">
      <c r="A856" s="1" t="s">
        <v>1683</v>
      </c>
    </row>
    <row r="858" spans="1:7" x14ac:dyDescent="0.2">
      <c r="C858" s="20" t="s">
        <v>739</v>
      </c>
      <c r="D858" s="20"/>
    </row>
    <row r="859" spans="1:7" x14ac:dyDescent="0.2">
      <c r="A859" s="10" t="s">
        <v>895</v>
      </c>
      <c r="B859" s="10"/>
      <c r="C859" s="27">
        <v>0</v>
      </c>
      <c r="D859" s="27">
        <v>1</v>
      </c>
      <c r="E859" s="27">
        <v>2</v>
      </c>
      <c r="F859" s="20"/>
      <c r="G859" s="20"/>
    </row>
    <row r="860" spans="1:7" x14ac:dyDescent="0.2">
      <c r="A860" s="1" t="s">
        <v>896</v>
      </c>
      <c r="C860" s="20"/>
      <c r="D860" s="101">
        <f>800000</f>
        <v>800000</v>
      </c>
      <c r="E860" s="101">
        <f>D860</f>
        <v>800000</v>
      </c>
      <c r="F860" s="101"/>
      <c r="G860" s="101"/>
    </row>
    <row r="861" spans="1:7" x14ac:dyDescent="0.2">
      <c r="A861" s="1" t="s">
        <v>967</v>
      </c>
      <c r="C861" s="20"/>
      <c r="D861" s="20">
        <f>-3000*1.12</f>
        <v>-3360.0000000000005</v>
      </c>
      <c r="E861" s="20">
        <f>-3000*1.12^2</f>
        <v>-3763.2000000000007</v>
      </c>
      <c r="F861" s="20"/>
      <c r="G861" s="20"/>
    </row>
    <row r="862" spans="1:7" x14ac:dyDescent="0.2">
      <c r="A862" s="1" t="s">
        <v>899</v>
      </c>
      <c r="C862" s="20"/>
      <c r="D862" s="104">
        <f>SUM(D860:D861)</f>
        <v>796640</v>
      </c>
      <c r="E862" s="104">
        <f>SUM(E860:E861)</f>
        <v>796236.80000000005</v>
      </c>
      <c r="F862" s="24"/>
      <c r="G862" s="24"/>
    </row>
    <row r="863" spans="1:7" x14ac:dyDescent="0.2">
      <c r="A863" s="1" t="s">
        <v>1432</v>
      </c>
      <c r="C863" s="20"/>
      <c r="D863" s="102">
        <f>-40%*D862</f>
        <v>-318656</v>
      </c>
      <c r="E863" s="102">
        <f>-40%*E862</f>
        <v>-318494.72000000003</v>
      </c>
      <c r="F863" s="102"/>
      <c r="G863" s="102"/>
    </row>
    <row r="864" spans="1:7" x14ac:dyDescent="0.2">
      <c r="A864" s="1" t="s">
        <v>971</v>
      </c>
      <c r="C864" s="20"/>
      <c r="D864" s="104">
        <f>D862+D863</f>
        <v>477984</v>
      </c>
      <c r="E864" s="104">
        <f>E862+E863</f>
        <v>477742.08000000002</v>
      </c>
      <c r="F864" s="24"/>
      <c r="G864" s="24"/>
    </row>
    <row r="865" spans="1:7" x14ac:dyDescent="0.2">
      <c r="A865" s="1" t="s">
        <v>901</v>
      </c>
      <c r="C865" s="107">
        <v>-700000</v>
      </c>
      <c r="D865" s="20"/>
      <c r="E865" s="20"/>
      <c r="F865" s="20"/>
      <c r="G865" s="20"/>
    </row>
    <row r="866" spans="1:7" x14ac:dyDescent="0.2">
      <c r="A866" s="1" t="s">
        <v>934</v>
      </c>
      <c r="C866" s="20"/>
      <c r="D866" s="20"/>
      <c r="E866" s="20"/>
      <c r="F866" s="20"/>
      <c r="G866" s="24"/>
    </row>
    <row r="867" spans="1:7" x14ac:dyDescent="0.2">
      <c r="A867" s="18" t="s">
        <v>903</v>
      </c>
      <c r="B867" s="18"/>
      <c r="C867" s="106">
        <f>SUM(C864:C866)</f>
        <v>-700000</v>
      </c>
      <c r="D867" s="106">
        <f>SUM(D864:D866)</f>
        <v>477984</v>
      </c>
      <c r="E867" s="106">
        <f>SUM(E864:E866)</f>
        <v>477742.08000000002</v>
      </c>
      <c r="F867" s="101"/>
      <c r="G867" s="101"/>
    </row>
    <row r="869" spans="1:7" x14ac:dyDescent="0.2">
      <c r="A869" s="1" t="s">
        <v>1443</v>
      </c>
      <c r="E869" s="37">
        <v>0.1</v>
      </c>
    </row>
    <row r="871" spans="1:7" x14ac:dyDescent="0.2">
      <c r="E871" s="1" t="s">
        <v>84</v>
      </c>
    </row>
    <row r="872" spans="1:7" x14ac:dyDescent="0.2">
      <c r="D872" s="1">
        <v>10</v>
      </c>
      <c r="E872" s="1" t="s">
        <v>1258</v>
      </c>
    </row>
    <row r="874" spans="1:7" x14ac:dyDescent="0.2">
      <c r="C874" s="66">
        <f>C867</f>
        <v>-700000</v>
      </c>
      <c r="D874" s="1">
        <v>1</v>
      </c>
      <c r="E874" s="1" t="s">
        <v>995</v>
      </c>
    </row>
    <row r="875" spans="1:7" x14ac:dyDescent="0.2">
      <c r="C875" s="66">
        <f>D867</f>
        <v>477984</v>
      </c>
      <c r="D875" s="1">
        <v>2</v>
      </c>
    </row>
    <row r="876" spans="1:7" x14ac:dyDescent="0.2">
      <c r="C876" s="66">
        <f>E867</f>
        <v>477742.08000000002</v>
      </c>
      <c r="D876" s="1">
        <v>3</v>
      </c>
    </row>
    <row r="878" spans="1:7" x14ac:dyDescent="0.2">
      <c r="C878" s="32">
        <f>NPV(D872/100,C875:C876)+C874</f>
        <v>129359.0743801652</v>
      </c>
      <c r="E878" s="1" t="s">
        <v>1266</v>
      </c>
      <c r="F878" s="1" t="s">
        <v>1684</v>
      </c>
    </row>
    <row r="880" spans="1:7" x14ac:dyDescent="0.2">
      <c r="A880" s="1" t="s">
        <v>1439</v>
      </c>
    </row>
    <row r="882" spans="1:11" x14ac:dyDescent="0.2">
      <c r="A882" s="1" t="s">
        <v>1685</v>
      </c>
    </row>
    <row r="884" spans="1:11" x14ac:dyDescent="0.2">
      <c r="C884" s="20" t="s">
        <v>739</v>
      </c>
      <c r="D884" s="20"/>
    </row>
    <row r="885" spans="1:11" x14ac:dyDescent="0.2">
      <c r="A885" s="10" t="s">
        <v>895</v>
      </c>
      <c r="B885" s="10"/>
      <c r="C885" s="27">
        <v>0</v>
      </c>
      <c r="D885" s="27">
        <v>1</v>
      </c>
      <c r="E885" s="27">
        <v>2</v>
      </c>
      <c r="F885" s="20"/>
      <c r="G885" s="20"/>
    </row>
    <row r="886" spans="1:11" x14ac:dyDescent="0.2">
      <c r="A886" s="1" t="s">
        <v>896</v>
      </c>
      <c r="C886" s="20"/>
      <c r="D886" s="101" t="s">
        <v>1440</v>
      </c>
      <c r="E886" s="101" t="s">
        <v>1440</v>
      </c>
      <c r="F886" s="101"/>
      <c r="G886" s="101"/>
    </row>
    <row r="887" spans="1:11" x14ac:dyDescent="0.2">
      <c r="A887" s="1" t="s">
        <v>967</v>
      </c>
      <c r="C887" s="20"/>
      <c r="D887" s="20" t="s">
        <v>1440</v>
      </c>
      <c r="E887" s="20" t="s">
        <v>1440</v>
      </c>
      <c r="F887" s="20"/>
      <c r="G887" s="20"/>
    </row>
    <row r="888" spans="1:11" x14ac:dyDescent="0.2">
      <c r="A888" s="1" t="s">
        <v>1248</v>
      </c>
      <c r="C888" s="20"/>
      <c r="D888" s="20">
        <f>-700000/2</f>
        <v>-350000</v>
      </c>
      <c r="E888" s="20">
        <f>-700000/2</f>
        <v>-350000</v>
      </c>
      <c r="F888" s="20"/>
      <c r="G888" s="20"/>
      <c r="H888" s="1" t="s">
        <v>1686</v>
      </c>
      <c r="I888" s="1" t="s">
        <v>1687</v>
      </c>
    </row>
    <row r="889" spans="1:11" x14ac:dyDescent="0.2">
      <c r="A889" s="1" t="s">
        <v>899</v>
      </c>
      <c r="C889" s="20"/>
      <c r="D889" s="104">
        <f>D888</f>
        <v>-350000</v>
      </c>
      <c r="E889" s="104">
        <f>E888</f>
        <v>-350000</v>
      </c>
      <c r="F889" s="192" t="s">
        <v>1688</v>
      </c>
      <c r="G889" s="24"/>
    </row>
    <row r="890" spans="1:11" x14ac:dyDescent="0.2">
      <c r="A890" s="1" t="s">
        <v>1432</v>
      </c>
      <c r="C890" s="20"/>
      <c r="D890" s="102">
        <f>-40%*D889</f>
        <v>140000</v>
      </c>
      <c r="E890" s="102">
        <f>-40%*E889</f>
        <v>140000</v>
      </c>
      <c r="F890" s="193" t="s">
        <v>1689</v>
      </c>
      <c r="G890" s="102"/>
    </row>
    <row r="891" spans="1:11" x14ac:dyDescent="0.2">
      <c r="A891" s="1" t="s">
        <v>971</v>
      </c>
      <c r="C891" s="20"/>
      <c r="D891" s="104">
        <f>D889+D890</f>
        <v>-210000</v>
      </c>
      <c r="E891" s="104">
        <f>E889+E890</f>
        <v>-210000</v>
      </c>
      <c r="F891" s="24"/>
      <c r="G891" s="24"/>
    </row>
    <row r="892" spans="1:11" x14ac:dyDescent="0.2">
      <c r="A892" s="1" t="s">
        <v>901</v>
      </c>
      <c r="C892" s="171" t="s">
        <v>1442</v>
      </c>
      <c r="D892" s="20"/>
      <c r="E892" s="20"/>
      <c r="F892" s="20"/>
      <c r="G892" s="20"/>
    </row>
    <row r="893" spans="1:11" x14ac:dyDescent="0.2">
      <c r="A893" s="1" t="s">
        <v>1441</v>
      </c>
      <c r="C893" s="20"/>
      <c r="D893" s="20">
        <f>-D888</f>
        <v>350000</v>
      </c>
      <c r="E893" s="20">
        <f>-E888</f>
        <v>350000</v>
      </c>
      <c r="F893" s="20"/>
      <c r="G893" s="24"/>
    </row>
    <row r="894" spans="1:11" x14ac:dyDescent="0.2">
      <c r="A894" s="18" t="s">
        <v>903</v>
      </c>
      <c r="B894" s="18"/>
      <c r="C894" s="106"/>
      <c r="D894" s="106">
        <f>SUM(D891:D893)</f>
        <v>140000</v>
      </c>
      <c r="E894" s="106">
        <f>SUM(E891:E893)</f>
        <v>140000</v>
      </c>
      <c r="F894" s="194" t="s">
        <v>1690</v>
      </c>
      <c r="G894" s="101"/>
    </row>
    <row r="895" spans="1:11" x14ac:dyDescent="0.2">
      <c r="F895" s="1" t="s">
        <v>1691</v>
      </c>
    </row>
    <row r="896" spans="1:11" x14ac:dyDescent="0.2">
      <c r="K896" s="1" t="s">
        <v>1692</v>
      </c>
    </row>
    <row r="898" spans="1:8" x14ac:dyDescent="0.2">
      <c r="A898" s="1" t="s">
        <v>1433</v>
      </c>
      <c r="E898" s="172">
        <v>0.155</v>
      </c>
      <c r="H898" s="1" t="s">
        <v>1693</v>
      </c>
    </row>
    <row r="900" spans="1:8" x14ac:dyDescent="0.2">
      <c r="E900" s="1" t="s">
        <v>84</v>
      </c>
    </row>
    <row r="901" spans="1:8" x14ac:dyDescent="0.2">
      <c r="D901" s="1">
        <v>15.5</v>
      </c>
      <c r="E901" s="1" t="s">
        <v>1258</v>
      </c>
    </row>
    <row r="903" spans="1:8" x14ac:dyDescent="0.2">
      <c r="C903" s="66">
        <f>C894</f>
        <v>0</v>
      </c>
      <c r="D903" s="1">
        <v>1</v>
      </c>
      <c r="E903" s="1" t="s">
        <v>995</v>
      </c>
    </row>
    <row r="904" spans="1:8" x14ac:dyDescent="0.2">
      <c r="C904" s="66">
        <f>D894</f>
        <v>140000</v>
      </c>
      <c r="D904" s="1">
        <v>2</v>
      </c>
    </row>
    <row r="905" spans="1:8" x14ac:dyDescent="0.2">
      <c r="C905" s="66">
        <f>E894</f>
        <v>140000</v>
      </c>
      <c r="D905" s="1">
        <v>3</v>
      </c>
    </row>
    <row r="907" spans="1:8" x14ac:dyDescent="0.2">
      <c r="C907" s="32">
        <f>NPV(D901/100,C904:C905)+C903</f>
        <v>226157.68070313524</v>
      </c>
      <c r="E907" s="1" t="s">
        <v>1266</v>
      </c>
      <c r="F907" s="1" t="s">
        <v>1694</v>
      </c>
    </row>
    <row r="908" spans="1:8" x14ac:dyDescent="0.2">
      <c r="F908" s="1" t="s">
        <v>1695</v>
      </c>
    </row>
    <row r="909" spans="1:8" x14ac:dyDescent="0.2">
      <c r="A909" s="1" t="s">
        <v>1444</v>
      </c>
    </row>
    <row r="910" spans="1:8" x14ac:dyDescent="0.2">
      <c r="B910" s="90">
        <f>C878+C907</f>
        <v>355516.75508330041</v>
      </c>
      <c r="E910" s="1" t="s">
        <v>1445</v>
      </c>
    </row>
    <row r="911" spans="1:8" x14ac:dyDescent="0.2">
      <c r="B911" s="1" t="s">
        <v>259</v>
      </c>
    </row>
    <row r="913" spans="4:5" x14ac:dyDescent="0.2">
      <c r="E913" s="1" t="s">
        <v>1696</v>
      </c>
    </row>
    <row r="916" spans="4:5" x14ac:dyDescent="0.2">
      <c r="D916" s="1" t="s">
        <v>1697</v>
      </c>
    </row>
    <row r="929" spans="1:8" x14ac:dyDescent="0.2">
      <c r="A929" s="151" t="s">
        <v>1358</v>
      </c>
      <c r="B929" s="152"/>
      <c r="C929" s="152"/>
      <c r="D929" s="152"/>
      <c r="E929" s="152"/>
      <c r="F929" s="152"/>
      <c r="G929" s="152"/>
      <c r="H929" s="152"/>
    </row>
    <row r="931" spans="1:8" x14ac:dyDescent="0.2">
      <c r="A931" s="18" t="s">
        <v>1359</v>
      </c>
    </row>
    <row r="932" spans="1:8" x14ac:dyDescent="0.2">
      <c r="A932" s="1" t="s">
        <v>1360</v>
      </c>
    </row>
    <row r="933" spans="1:8" x14ac:dyDescent="0.2">
      <c r="A933" s="1" t="s">
        <v>171</v>
      </c>
      <c r="B933" s="1" t="s">
        <v>1361</v>
      </c>
    </row>
    <row r="934" spans="1:8" x14ac:dyDescent="0.2">
      <c r="A934" s="1" t="s">
        <v>172</v>
      </c>
      <c r="B934" s="1" t="s">
        <v>1362</v>
      </c>
    </row>
    <row r="935" spans="1:8" x14ac:dyDescent="0.2">
      <c r="A935" s="1" t="s">
        <v>173</v>
      </c>
      <c r="B935" s="1" t="s">
        <v>1363</v>
      </c>
    </row>
    <row r="936" spans="1:8" x14ac:dyDescent="0.2">
      <c r="B936" s="1" t="s">
        <v>1364</v>
      </c>
    </row>
    <row r="938" spans="1:8" x14ac:dyDescent="0.2">
      <c r="A938" s="1" t="s">
        <v>1365</v>
      </c>
    </row>
    <row r="939" spans="1:8" x14ac:dyDescent="0.2">
      <c r="B939" s="1" t="s">
        <v>1366</v>
      </c>
    </row>
    <row r="940" spans="1:8" x14ac:dyDescent="0.2">
      <c r="C940" s="1" t="s">
        <v>1367</v>
      </c>
    </row>
    <row r="941" spans="1:8" x14ac:dyDescent="0.2">
      <c r="C941" s="1" t="s">
        <v>1368</v>
      </c>
    </row>
    <row r="943" spans="1:8" x14ac:dyDescent="0.2">
      <c r="A943" s="18" t="s">
        <v>1369</v>
      </c>
    </row>
    <row r="945" spans="1:4" x14ac:dyDescent="0.2">
      <c r="C945" s="1" t="s">
        <v>1341</v>
      </c>
    </row>
    <row r="946" spans="1:4" x14ac:dyDescent="0.2">
      <c r="C946" s="20" t="s">
        <v>1370</v>
      </c>
      <c r="D946" s="1" t="s">
        <v>1371</v>
      </c>
    </row>
    <row r="947" spans="1:4" x14ac:dyDescent="0.2">
      <c r="C947" s="20" t="s">
        <v>62</v>
      </c>
      <c r="D947" s="1" t="s">
        <v>1372</v>
      </c>
    </row>
    <row r="948" spans="1:4" x14ac:dyDescent="0.2">
      <c r="C948" s="20" t="s">
        <v>1373</v>
      </c>
      <c r="D948" s="1" t="s">
        <v>1374</v>
      </c>
    </row>
    <row r="950" spans="1:4" x14ac:dyDescent="0.2">
      <c r="A950" s="1" t="s">
        <v>1375</v>
      </c>
    </row>
    <row r="953" spans="1:4" x14ac:dyDescent="0.2">
      <c r="C953" s="1" t="s">
        <v>1341</v>
      </c>
    </row>
    <row r="954" spans="1:4" x14ac:dyDescent="0.2">
      <c r="C954" s="20" t="s">
        <v>1376</v>
      </c>
      <c r="D954" s="1" t="s">
        <v>1377</v>
      </c>
    </row>
    <row r="955" spans="1:4" x14ac:dyDescent="0.2">
      <c r="C955" s="20" t="s">
        <v>62</v>
      </c>
      <c r="D955" s="1" t="s">
        <v>1378</v>
      </c>
    </row>
    <row r="956" spans="1:4" x14ac:dyDescent="0.2">
      <c r="C956" s="20" t="s">
        <v>1373</v>
      </c>
      <c r="D956" s="1" t="s">
        <v>1379</v>
      </c>
    </row>
    <row r="958" spans="1:4" x14ac:dyDescent="0.2">
      <c r="A958" s="1" t="s">
        <v>1380</v>
      </c>
    </row>
    <row r="962" spans="1:4" x14ac:dyDescent="0.2">
      <c r="A962" s="1" t="s">
        <v>1381</v>
      </c>
    </row>
    <row r="965" spans="1:4" x14ac:dyDescent="0.2">
      <c r="C965" s="1" t="s">
        <v>1341</v>
      </c>
    </row>
    <row r="966" spans="1:4" x14ac:dyDescent="0.2">
      <c r="C966" s="20" t="s">
        <v>1345</v>
      </c>
      <c r="D966" s="1" t="s">
        <v>1382</v>
      </c>
    </row>
    <row r="967" spans="1:4" x14ac:dyDescent="0.2">
      <c r="C967" s="20" t="s">
        <v>1373</v>
      </c>
      <c r="D967" s="1" t="s">
        <v>1383</v>
      </c>
    </row>
    <row r="969" spans="1:4" x14ac:dyDescent="0.2">
      <c r="A969" s="18" t="s">
        <v>1384</v>
      </c>
    </row>
    <row r="970" spans="1:4" x14ac:dyDescent="0.2">
      <c r="A970" s="18" t="s">
        <v>1385</v>
      </c>
    </row>
    <row r="974" spans="1:4" x14ac:dyDescent="0.2">
      <c r="A974" s="18" t="s">
        <v>1386</v>
      </c>
    </row>
    <row r="975" spans="1:4" x14ac:dyDescent="0.2">
      <c r="A975" s="18" t="s">
        <v>1387</v>
      </c>
    </row>
    <row r="977" spans="1:4" x14ac:dyDescent="0.2">
      <c r="D977" s="1" t="s">
        <v>1388</v>
      </c>
    </row>
    <row r="979" spans="1:4" x14ac:dyDescent="0.2">
      <c r="A979" s="18" t="s">
        <v>1389</v>
      </c>
    </row>
    <row r="980" spans="1:4" x14ac:dyDescent="0.2">
      <c r="A980" s="18" t="s">
        <v>1390</v>
      </c>
    </row>
    <row r="982" spans="1:4" x14ac:dyDescent="0.2">
      <c r="D982" s="1" t="s">
        <v>1391</v>
      </c>
    </row>
    <row r="987" spans="1:4" x14ac:dyDescent="0.2">
      <c r="A987" s="1" t="s">
        <v>1392</v>
      </c>
    </row>
    <row r="988" spans="1:4" x14ac:dyDescent="0.2">
      <c r="A988" s="1" t="s">
        <v>1393</v>
      </c>
    </row>
    <row r="989" spans="1:4" x14ac:dyDescent="0.2">
      <c r="A989" s="1" t="s">
        <v>1394</v>
      </c>
    </row>
  </sheetData>
  <mergeCells count="11">
    <mergeCell ref="A1:H1"/>
    <mergeCell ref="D506:E506"/>
    <mergeCell ref="B103:E106"/>
    <mergeCell ref="B107:E111"/>
    <mergeCell ref="B102:E102"/>
    <mergeCell ref="B189:B190"/>
    <mergeCell ref="B191:B192"/>
    <mergeCell ref="B193:B194"/>
    <mergeCell ref="C189:C190"/>
    <mergeCell ref="C191:C192"/>
    <mergeCell ref="C193:C194"/>
  </mergeCells>
  <pageMargins left="0.7" right="0.7" top="0.75" bottom="0.75" header="0.3" footer="0.3"/>
  <ignoredErrors>
    <ignoredError sqref="D581" formula="1"/>
  </ignoredErrors>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ED621-073A-6449-B08E-14A9037AE4A4}">
  <dimension ref="A1:R790"/>
  <sheetViews>
    <sheetView rightToLeft="1" topLeftCell="A773" zoomScale="269" zoomScaleNormal="270" workbookViewId="0">
      <selection activeCell="C765" sqref="C765"/>
    </sheetView>
  </sheetViews>
  <sheetFormatPr baseColWidth="10" defaultRowHeight="16" x14ac:dyDescent="0.2"/>
  <cols>
    <col min="1" max="2" width="10.83203125" style="1"/>
    <col min="3" max="3" width="10.6640625" style="1" customWidth="1"/>
    <col min="4" max="4" width="9.6640625" style="1" customWidth="1"/>
    <col min="5" max="5" width="10.83203125" style="1"/>
    <col min="6" max="6" width="10.6640625" style="1" customWidth="1"/>
    <col min="7" max="16384" width="10.83203125" style="1"/>
  </cols>
  <sheetData>
    <row r="1" spans="1:8" x14ac:dyDescent="0.2">
      <c r="A1" s="505" t="s">
        <v>1458</v>
      </c>
      <c r="B1" s="505"/>
      <c r="C1" s="505"/>
      <c r="D1" s="505"/>
      <c r="E1" s="505"/>
      <c r="F1" s="505"/>
      <c r="G1" s="505"/>
      <c r="H1" s="505"/>
    </row>
    <row r="14" spans="1:8" x14ac:dyDescent="0.2">
      <c r="A14" s="18" t="s">
        <v>146</v>
      </c>
    </row>
    <row r="15" spans="1:8" x14ac:dyDescent="0.2">
      <c r="A15" s="18"/>
    </row>
    <row r="16" spans="1:8" x14ac:dyDescent="0.2">
      <c r="A16" s="18" t="s">
        <v>2809</v>
      </c>
    </row>
    <row r="17" spans="1:10" x14ac:dyDescent="0.2">
      <c r="A17" s="18" t="s">
        <v>2810</v>
      </c>
    </row>
    <row r="18" spans="1:10" x14ac:dyDescent="0.2">
      <c r="A18" s="18"/>
    </row>
    <row r="19" spans="1:10" x14ac:dyDescent="0.2">
      <c r="A19" s="18" t="s">
        <v>2811</v>
      </c>
    </row>
    <row r="20" spans="1:10" x14ac:dyDescent="0.2">
      <c r="A20" s="18" t="s">
        <v>2812</v>
      </c>
    </row>
    <row r="21" spans="1:10" x14ac:dyDescent="0.2">
      <c r="A21" s="18"/>
      <c r="D21" s="1" t="s">
        <v>2813</v>
      </c>
      <c r="E21" s="1" t="s">
        <v>2814</v>
      </c>
      <c r="G21" s="1" t="s">
        <v>2572</v>
      </c>
    </row>
    <row r="22" spans="1:10" x14ac:dyDescent="0.2">
      <c r="A22" s="18"/>
      <c r="B22" s="1" t="s">
        <v>2816</v>
      </c>
      <c r="D22" s="1" t="s">
        <v>2815</v>
      </c>
      <c r="E22" s="1" t="s">
        <v>2814</v>
      </c>
      <c r="G22" s="1" t="s">
        <v>2573</v>
      </c>
      <c r="H22" s="1" t="s">
        <v>2817</v>
      </c>
    </row>
    <row r="23" spans="1:10" x14ac:dyDescent="0.2">
      <c r="A23" s="18"/>
    </row>
    <row r="24" spans="1:10" x14ac:dyDescent="0.2">
      <c r="A24" s="18"/>
    </row>
    <row r="25" spans="1:10" x14ac:dyDescent="0.2">
      <c r="A25" s="10" t="s">
        <v>2552</v>
      </c>
      <c r="B25" s="27" t="s">
        <v>2553</v>
      </c>
      <c r="C25" s="10" t="s">
        <v>2554</v>
      </c>
      <c r="D25" s="10"/>
      <c r="E25" s="10"/>
      <c r="F25" s="10"/>
      <c r="G25" s="10"/>
      <c r="H25" s="10" t="s">
        <v>2556</v>
      </c>
      <c r="I25" s="10"/>
      <c r="J25" s="10"/>
    </row>
    <row r="26" spans="1:10" x14ac:dyDescent="0.2">
      <c r="A26" s="1" t="s">
        <v>2185</v>
      </c>
      <c r="B26" s="20" t="s">
        <v>1027</v>
      </c>
      <c r="C26" s="1" t="s">
        <v>2555</v>
      </c>
      <c r="H26" s="1" t="s">
        <v>2557</v>
      </c>
    </row>
    <row r="27" spans="1:10" x14ac:dyDescent="0.2">
      <c r="H27" s="5" t="s">
        <v>2558</v>
      </c>
      <c r="I27" s="5"/>
    </row>
    <row r="28" spans="1:10" x14ac:dyDescent="0.2">
      <c r="A28" s="1" t="s">
        <v>2559</v>
      </c>
      <c r="B28" s="20" t="s">
        <v>1028</v>
      </c>
      <c r="C28" s="1" t="s">
        <v>2560</v>
      </c>
      <c r="H28" s="1" t="s">
        <v>2563</v>
      </c>
    </row>
    <row r="29" spans="1:10" x14ac:dyDescent="0.2">
      <c r="C29" s="1" t="s">
        <v>2561</v>
      </c>
      <c r="H29" s="5" t="s">
        <v>2564</v>
      </c>
      <c r="I29" s="5"/>
    </row>
    <row r="30" spans="1:10" x14ac:dyDescent="0.2">
      <c r="C30" s="1" t="s">
        <v>2562</v>
      </c>
    </row>
    <row r="32" spans="1:10" x14ac:dyDescent="0.2">
      <c r="A32" s="18" t="s">
        <v>2565</v>
      </c>
    </row>
    <row r="34" spans="2:8" x14ac:dyDescent="0.2">
      <c r="B34" s="1" t="s">
        <v>2393</v>
      </c>
      <c r="C34" s="20" t="s">
        <v>2570</v>
      </c>
    </row>
    <row r="35" spans="2:8" x14ac:dyDescent="0.2">
      <c r="B35" s="1" t="s">
        <v>2571</v>
      </c>
      <c r="H35" s="1" t="s">
        <v>2573</v>
      </c>
    </row>
    <row r="37" spans="2:8" x14ac:dyDescent="0.2">
      <c r="B37" s="1" t="s">
        <v>2574</v>
      </c>
    </row>
    <row r="38" spans="2:8" x14ac:dyDescent="0.2">
      <c r="B38" s="1" t="s">
        <v>2577</v>
      </c>
    </row>
    <row r="40" spans="2:8" x14ac:dyDescent="0.2">
      <c r="B40" s="1" t="s">
        <v>2576</v>
      </c>
    </row>
    <row r="41" spans="2:8" x14ac:dyDescent="0.2">
      <c r="B41" s="1" t="s">
        <v>2575</v>
      </c>
    </row>
    <row r="43" spans="2:8" x14ac:dyDescent="0.2">
      <c r="B43" s="1" t="s">
        <v>2578</v>
      </c>
    </row>
    <row r="45" spans="2:8" x14ac:dyDescent="0.2">
      <c r="C45" s="1" t="s">
        <v>2579</v>
      </c>
    </row>
    <row r="46" spans="2:8" x14ac:dyDescent="0.2">
      <c r="E46" s="20" t="s">
        <v>739</v>
      </c>
      <c r="F46" s="20" t="s">
        <v>740</v>
      </c>
    </row>
    <row r="47" spans="2:8" x14ac:dyDescent="0.2">
      <c r="E47" s="20">
        <v>0</v>
      </c>
      <c r="F47" s="20">
        <v>-100</v>
      </c>
      <c r="G47" s="1" t="s">
        <v>2582</v>
      </c>
    </row>
    <row r="48" spans="2:8" x14ac:dyDescent="0.2">
      <c r="E48" s="20">
        <v>1</v>
      </c>
      <c r="F48" s="20">
        <v>0</v>
      </c>
    </row>
    <row r="49" spans="1:7" x14ac:dyDescent="0.2">
      <c r="E49" s="20">
        <v>2</v>
      </c>
      <c r="F49" s="20">
        <v>0</v>
      </c>
    </row>
    <row r="50" spans="1:7" x14ac:dyDescent="0.2">
      <c r="E50" s="20">
        <v>3</v>
      </c>
      <c r="F50" s="20">
        <v>0</v>
      </c>
      <c r="G50" s="1" t="s">
        <v>2580</v>
      </c>
    </row>
    <row r="51" spans="1:7" x14ac:dyDescent="0.2">
      <c r="E51" s="20">
        <v>4</v>
      </c>
      <c r="F51" s="20">
        <v>0</v>
      </c>
      <c r="G51" s="1" t="s">
        <v>2581</v>
      </c>
    </row>
    <row r="52" spans="1:7" x14ac:dyDescent="0.2">
      <c r="E52" s="20">
        <v>5</v>
      </c>
      <c r="F52" s="20">
        <v>105</v>
      </c>
    </row>
    <row r="53" spans="1:7" x14ac:dyDescent="0.2">
      <c r="E53" s="20"/>
      <c r="F53" s="20"/>
      <c r="G53" s="1" t="s">
        <v>2583</v>
      </c>
    </row>
    <row r="54" spans="1:7" x14ac:dyDescent="0.2">
      <c r="E54" s="20"/>
      <c r="F54" s="20"/>
      <c r="G54" s="1" t="s">
        <v>2584</v>
      </c>
    </row>
    <row r="55" spans="1:7" x14ac:dyDescent="0.2">
      <c r="E55" s="20"/>
      <c r="F55" s="20"/>
    </row>
    <row r="56" spans="1:7" x14ac:dyDescent="0.2">
      <c r="E56" s="20" t="s">
        <v>1027</v>
      </c>
      <c r="F56" s="30">
        <f>NPV(10%,F48:F52)+F47</f>
        <v>-34.803261078788736</v>
      </c>
      <c r="G56" s="1" t="s">
        <v>2585</v>
      </c>
    </row>
    <row r="58" spans="1:7" x14ac:dyDescent="0.2">
      <c r="B58" s="1" t="s">
        <v>2586</v>
      </c>
    </row>
    <row r="59" spans="1:7" x14ac:dyDescent="0.2">
      <c r="B59" s="1" t="s">
        <v>2587</v>
      </c>
    </row>
    <row r="61" spans="1:7" x14ac:dyDescent="0.2">
      <c r="A61" s="1" t="s">
        <v>2569</v>
      </c>
    </row>
    <row r="62" spans="1:7" x14ac:dyDescent="0.2">
      <c r="A62" s="1" t="s">
        <v>2566</v>
      </c>
    </row>
    <row r="63" spans="1:7" x14ac:dyDescent="0.2">
      <c r="B63" s="1" t="s">
        <v>2567</v>
      </c>
    </row>
    <row r="64" spans="1:7" x14ac:dyDescent="0.2">
      <c r="B64" s="1" t="s">
        <v>2568</v>
      </c>
    </row>
    <row r="81" spans="1:8" x14ac:dyDescent="0.2">
      <c r="A81" s="1" t="s">
        <v>146</v>
      </c>
    </row>
    <row r="83" spans="1:8" x14ac:dyDescent="0.2">
      <c r="A83" s="1" t="s">
        <v>2588</v>
      </c>
    </row>
    <row r="84" spans="1:8" x14ac:dyDescent="0.2">
      <c r="A84" s="1" t="s">
        <v>2589</v>
      </c>
    </row>
    <row r="85" spans="1:8" x14ac:dyDescent="0.2">
      <c r="A85" s="1" t="s">
        <v>2590</v>
      </c>
    </row>
    <row r="87" spans="1:8" x14ac:dyDescent="0.2">
      <c r="A87" s="1" t="s">
        <v>2591</v>
      </c>
    </row>
    <row r="88" spans="1:8" x14ac:dyDescent="0.2">
      <c r="E88" s="1">
        <v>0</v>
      </c>
      <c r="F88" s="1" t="s">
        <v>2592</v>
      </c>
    </row>
    <row r="89" spans="1:8" x14ac:dyDescent="0.2">
      <c r="E89" s="1">
        <v>-10000</v>
      </c>
      <c r="F89" s="1">
        <v>1100</v>
      </c>
    </row>
    <row r="91" spans="1:8" x14ac:dyDescent="0.2">
      <c r="A91" s="1" t="s">
        <v>2593</v>
      </c>
    </row>
    <row r="92" spans="1:8" x14ac:dyDescent="0.2">
      <c r="A92" s="1" t="s">
        <v>2594</v>
      </c>
    </row>
    <row r="93" spans="1:8" x14ac:dyDescent="0.2">
      <c r="G93" s="1" t="s">
        <v>2602</v>
      </c>
      <c r="H93" s="1" t="s">
        <v>60</v>
      </c>
    </row>
    <row r="94" spans="1:8" x14ac:dyDescent="0.2">
      <c r="A94" s="1" t="s">
        <v>2601</v>
      </c>
      <c r="G94" s="20" t="s">
        <v>75</v>
      </c>
      <c r="H94" s="1" t="s">
        <v>111</v>
      </c>
    </row>
    <row r="95" spans="1:8" x14ac:dyDescent="0.2">
      <c r="G95" s="20">
        <v>999999</v>
      </c>
      <c r="H95" s="1" t="s">
        <v>62</v>
      </c>
    </row>
    <row r="96" spans="1:8" x14ac:dyDescent="0.2">
      <c r="E96" s="1" t="s">
        <v>2603</v>
      </c>
      <c r="G96" s="20">
        <v>10</v>
      </c>
      <c r="H96" s="1" t="s">
        <v>63</v>
      </c>
    </row>
    <row r="97" spans="1:9" x14ac:dyDescent="0.2">
      <c r="B97" s="67">
        <v>11000</v>
      </c>
      <c r="C97" s="1" t="s">
        <v>2605</v>
      </c>
      <c r="E97" s="1" t="s">
        <v>2604</v>
      </c>
      <c r="G97" s="69">
        <f>-1100/0.1</f>
        <v>-11000</v>
      </c>
      <c r="H97" s="1" t="s">
        <v>64</v>
      </c>
      <c r="I97" s="1" t="s">
        <v>227</v>
      </c>
    </row>
    <row r="98" spans="1:9" x14ac:dyDescent="0.2">
      <c r="G98" s="20">
        <v>1100</v>
      </c>
      <c r="H98" s="1" t="s">
        <v>65</v>
      </c>
    </row>
    <row r="99" spans="1:9" x14ac:dyDescent="0.2">
      <c r="G99" s="20">
        <v>0</v>
      </c>
      <c r="H99" s="1" t="s">
        <v>66</v>
      </c>
    </row>
    <row r="101" spans="1:9" x14ac:dyDescent="0.2">
      <c r="A101" s="1" t="s">
        <v>2595</v>
      </c>
    </row>
    <row r="102" spans="1:9" x14ac:dyDescent="0.2">
      <c r="A102" s="1" t="s">
        <v>2596</v>
      </c>
    </row>
    <row r="104" spans="1:9" x14ac:dyDescent="0.2">
      <c r="C104" s="1" t="s">
        <v>2597</v>
      </c>
      <c r="F104" s="1">
        <f>-G97</f>
        <v>11000</v>
      </c>
    </row>
    <row r="105" spans="1:9" x14ac:dyDescent="0.2">
      <c r="C105" s="1" t="s">
        <v>2598</v>
      </c>
      <c r="F105" s="1">
        <f>E89</f>
        <v>-10000</v>
      </c>
    </row>
    <row r="106" spans="1:9" x14ac:dyDescent="0.2">
      <c r="C106" s="1" t="s">
        <v>2599</v>
      </c>
      <c r="F106" s="1">
        <f>F104+F105</f>
        <v>1000</v>
      </c>
      <c r="H106" s="1" t="s">
        <v>2600</v>
      </c>
    </row>
    <row r="108" spans="1:9" x14ac:dyDescent="0.2">
      <c r="A108" s="18" t="s">
        <v>2606</v>
      </c>
    </row>
    <row r="109" spans="1:9" x14ac:dyDescent="0.2">
      <c r="H109" s="1" t="s">
        <v>2607</v>
      </c>
    </row>
    <row r="111" spans="1:9" x14ac:dyDescent="0.2">
      <c r="A111" s="1" t="s">
        <v>2608</v>
      </c>
    </row>
    <row r="112" spans="1:9" x14ac:dyDescent="0.2">
      <c r="A112" s="1" t="s">
        <v>2609</v>
      </c>
    </row>
    <row r="113" spans="1:8" x14ac:dyDescent="0.2">
      <c r="A113" s="1" t="s">
        <v>2610</v>
      </c>
    </row>
    <row r="114" spans="1:8" x14ac:dyDescent="0.2">
      <c r="A114" s="1" t="s">
        <v>2611</v>
      </c>
    </row>
    <row r="116" spans="1:8" x14ac:dyDescent="0.2">
      <c r="A116" s="1" t="s">
        <v>2612</v>
      </c>
    </row>
    <row r="118" spans="1:8" x14ac:dyDescent="0.2">
      <c r="A118" s="1" t="s">
        <v>2613</v>
      </c>
    </row>
    <row r="119" spans="1:8" x14ac:dyDescent="0.2">
      <c r="A119" s="1" t="s">
        <v>2614</v>
      </c>
    </row>
    <row r="121" spans="1:8" x14ac:dyDescent="0.2">
      <c r="A121" s="1" t="s">
        <v>2615</v>
      </c>
    </row>
    <row r="124" spans="1:8" x14ac:dyDescent="0.2">
      <c r="A124" s="175" t="s">
        <v>927</v>
      </c>
      <c r="B124" s="174"/>
      <c r="C124" s="174"/>
      <c r="D124" s="174"/>
      <c r="E124" s="174"/>
      <c r="F124" s="174"/>
      <c r="G124" s="174"/>
      <c r="H124" s="174"/>
    </row>
    <row r="126" spans="1:8" x14ac:dyDescent="0.2">
      <c r="A126" s="1" t="s">
        <v>1459</v>
      </c>
    </row>
    <row r="127" spans="1:8" x14ac:dyDescent="0.2">
      <c r="A127" s="1" t="s">
        <v>1460</v>
      </c>
      <c r="C127" s="3">
        <v>120000</v>
      </c>
    </row>
    <row r="128" spans="1:8" x14ac:dyDescent="0.2">
      <c r="A128" s="1" t="s">
        <v>1461</v>
      </c>
      <c r="C128" s="1">
        <v>8</v>
      </c>
    </row>
    <row r="129" spans="1:11" x14ac:dyDescent="0.2">
      <c r="A129" s="1" t="s">
        <v>1462</v>
      </c>
      <c r="C129" s="3">
        <v>30000</v>
      </c>
      <c r="D129" s="1" t="s">
        <v>1463</v>
      </c>
    </row>
    <row r="130" spans="1:11" x14ac:dyDescent="0.2">
      <c r="A130" s="1" t="s">
        <v>1464</v>
      </c>
      <c r="C130" s="37">
        <v>0.25</v>
      </c>
    </row>
    <row r="131" spans="1:11" x14ac:dyDescent="0.2">
      <c r="A131" s="1" t="s">
        <v>1465</v>
      </c>
      <c r="C131" s="1">
        <v>8</v>
      </c>
      <c r="D131" s="1" t="s">
        <v>489</v>
      </c>
    </row>
    <row r="132" spans="1:11" x14ac:dyDescent="0.2">
      <c r="A132" s="1" t="s">
        <v>1466</v>
      </c>
      <c r="C132" s="37">
        <v>7.0000000000000007E-2</v>
      </c>
    </row>
    <row r="135" spans="1:11" x14ac:dyDescent="0.2">
      <c r="A135" s="1" t="s">
        <v>146</v>
      </c>
    </row>
    <row r="137" spans="1:11" x14ac:dyDescent="0.2">
      <c r="C137" s="20" t="s">
        <v>739</v>
      </c>
      <c r="D137" s="20"/>
    </row>
    <row r="138" spans="1:11" x14ac:dyDescent="0.2">
      <c r="A138" s="10" t="s">
        <v>895</v>
      </c>
      <c r="B138" s="10"/>
      <c r="C138" s="27">
        <v>0</v>
      </c>
      <c r="D138" s="27">
        <v>1</v>
      </c>
      <c r="E138" s="27">
        <v>2</v>
      </c>
      <c r="F138" s="27">
        <v>3</v>
      </c>
      <c r="G138" s="27">
        <v>4</v>
      </c>
      <c r="H138" s="27">
        <v>5</v>
      </c>
      <c r="I138" s="27">
        <v>6</v>
      </c>
      <c r="J138" s="27">
        <v>7</v>
      </c>
      <c r="K138" s="27">
        <v>8</v>
      </c>
    </row>
    <row r="139" spans="1:11" x14ac:dyDescent="0.2">
      <c r="A139" s="1" t="s">
        <v>896</v>
      </c>
      <c r="C139" s="20"/>
      <c r="D139" s="101">
        <v>30000</v>
      </c>
      <c r="E139" s="101">
        <f t="shared" ref="E139:K139" si="0">D139</f>
        <v>30000</v>
      </c>
      <c r="F139" s="101">
        <f t="shared" si="0"/>
        <v>30000</v>
      </c>
      <c r="G139" s="101">
        <f t="shared" si="0"/>
        <v>30000</v>
      </c>
      <c r="H139" s="101">
        <f t="shared" si="0"/>
        <v>30000</v>
      </c>
      <c r="I139" s="101">
        <f t="shared" si="0"/>
        <v>30000</v>
      </c>
      <c r="J139" s="101">
        <f t="shared" si="0"/>
        <v>30000</v>
      </c>
      <c r="K139" s="101">
        <f t="shared" si="0"/>
        <v>30000</v>
      </c>
    </row>
    <row r="140" spans="1:11" x14ac:dyDescent="0.2">
      <c r="A140" s="1" t="s">
        <v>967</v>
      </c>
      <c r="C140" s="20"/>
      <c r="D140" s="20">
        <v>0</v>
      </c>
      <c r="E140" s="20">
        <v>0</v>
      </c>
      <c r="F140" s="20">
        <v>0</v>
      </c>
      <c r="G140" s="20">
        <v>0</v>
      </c>
      <c r="H140" s="20">
        <v>0</v>
      </c>
      <c r="I140" s="20">
        <v>0</v>
      </c>
      <c r="J140" s="20">
        <v>0</v>
      </c>
      <c r="K140" s="20">
        <v>0</v>
      </c>
    </row>
    <row r="141" spans="1:11" x14ac:dyDescent="0.2">
      <c r="A141" s="1" t="s">
        <v>969</v>
      </c>
      <c r="C141" s="20"/>
      <c r="D141" s="102">
        <f>C145/8</f>
        <v>-15000</v>
      </c>
      <c r="E141" s="102">
        <f t="shared" ref="E141:K141" si="1">D141</f>
        <v>-15000</v>
      </c>
      <c r="F141" s="102">
        <f t="shared" si="1"/>
        <v>-15000</v>
      </c>
      <c r="G141" s="102">
        <f t="shared" si="1"/>
        <v>-15000</v>
      </c>
      <c r="H141" s="102">
        <f t="shared" si="1"/>
        <v>-15000</v>
      </c>
      <c r="I141" s="102">
        <f t="shared" si="1"/>
        <v>-15000</v>
      </c>
      <c r="J141" s="102">
        <f t="shared" si="1"/>
        <v>-15000</v>
      </c>
      <c r="K141" s="102">
        <f t="shared" si="1"/>
        <v>-15000</v>
      </c>
    </row>
    <row r="142" spans="1:11" x14ac:dyDescent="0.2">
      <c r="A142" s="1" t="s">
        <v>899</v>
      </c>
      <c r="C142" s="20"/>
      <c r="D142" s="104">
        <f t="shared" ref="D142:K142" si="2">SUM(D139:D141)</f>
        <v>15000</v>
      </c>
      <c r="E142" s="104">
        <f t="shared" si="2"/>
        <v>15000</v>
      </c>
      <c r="F142" s="104">
        <f t="shared" si="2"/>
        <v>15000</v>
      </c>
      <c r="G142" s="104">
        <f t="shared" si="2"/>
        <v>15000</v>
      </c>
      <c r="H142" s="104">
        <f t="shared" si="2"/>
        <v>15000</v>
      </c>
      <c r="I142" s="104">
        <f t="shared" si="2"/>
        <v>15000</v>
      </c>
      <c r="J142" s="104">
        <f t="shared" si="2"/>
        <v>15000</v>
      </c>
      <c r="K142" s="104">
        <f t="shared" si="2"/>
        <v>15000</v>
      </c>
    </row>
    <row r="143" spans="1:11" x14ac:dyDescent="0.2">
      <c r="A143" s="1" t="s">
        <v>1467</v>
      </c>
      <c r="C143" s="20"/>
      <c r="D143" s="102">
        <f>-25%*D142</f>
        <v>-3750</v>
      </c>
      <c r="E143" s="102">
        <f t="shared" ref="E143:K143" si="3">-25%*E142</f>
        <v>-3750</v>
      </c>
      <c r="F143" s="102">
        <f t="shared" si="3"/>
        <v>-3750</v>
      </c>
      <c r="G143" s="102">
        <f t="shared" si="3"/>
        <v>-3750</v>
      </c>
      <c r="H143" s="102">
        <f t="shared" si="3"/>
        <v>-3750</v>
      </c>
      <c r="I143" s="102">
        <f t="shared" si="3"/>
        <v>-3750</v>
      </c>
      <c r="J143" s="102">
        <f t="shared" si="3"/>
        <v>-3750</v>
      </c>
      <c r="K143" s="102">
        <f t="shared" si="3"/>
        <v>-3750</v>
      </c>
    </row>
    <row r="144" spans="1:11" x14ac:dyDescent="0.2">
      <c r="A144" s="1" t="s">
        <v>971</v>
      </c>
      <c r="C144" s="20"/>
      <c r="D144" s="104">
        <f>D142+D143</f>
        <v>11250</v>
      </c>
      <c r="E144" s="104">
        <f>E142+E143</f>
        <v>11250</v>
      </c>
      <c r="F144" s="104">
        <f>F142+F143</f>
        <v>11250</v>
      </c>
      <c r="G144" s="104">
        <f>G142+G143</f>
        <v>11250</v>
      </c>
      <c r="H144" s="104">
        <f t="shared" ref="H144:K144" si="4">H142+H143</f>
        <v>11250</v>
      </c>
      <c r="I144" s="104">
        <f t="shared" si="4"/>
        <v>11250</v>
      </c>
      <c r="J144" s="104">
        <f t="shared" si="4"/>
        <v>11250</v>
      </c>
      <c r="K144" s="104">
        <f t="shared" si="4"/>
        <v>11250</v>
      </c>
    </row>
    <row r="145" spans="1:11" x14ac:dyDescent="0.2">
      <c r="A145" s="1" t="s">
        <v>901</v>
      </c>
      <c r="C145" s="107">
        <v>-120000</v>
      </c>
      <c r="D145" s="20"/>
      <c r="E145" s="20"/>
      <c r="F145" s="20"/>
      <c r="G145" s="20"/>
      <c r="H145" s="20"/>
      <c r="I145" s="20"/>
      <c r="J145" s="20"/>
      <c r="K145" s="20"/>
    </row>
    <row r="146" spans="1:11" x14ac:dyDescent="0.2">
      <c r="A146" s="1" t="s">
        <v>975</v>
      </c>
      <c r="C146" s="20"/>
      <c r="D146" s="20"/>
      <c r="E146" s="20"/>
      <c r="F146" s="20"/>
      <c r="G146" s="24"/>
      <c r="H146" s="24"/>
      <c r="I146" s="24"/>
      <c r="J146" s="24"/>
      <c r="K146" s="24">
        <v>0</v>
      </c>
    </row>
    <row r="147" spans="1:11" x14ac:dyDescent="0.2">
      <c r="A147" s="1" t="s">
        <v>902</v>
      </c>
      <c r="C147" s="20"/>
      <c r="D147" s="101">
        <f>-D141</f>
        <v>15000</v>
      </c>
      <c r="E147" s="101">
        <f>-E141</f>
        <v>15000</v>
      </c>
      <c r="F147" s="101">
        <f>-F141</f>
        <v>15000</v>
      </c>
      <c r="G147" s="101">
        <f>-G141</f>
        <v>15000</v>
      </c>
      <c r="H147" s="101">
        <f t="shared" ref="H147:K147" si="5">-H141</f>
        <v>15000</v>
      </c>
      <c r="I147" s="101">
        <f t="shared" si="5"/>
        <v>15000</v>
      </c>
      <c r="J147" s="101">
        <f t="shared" si="5"/>
        <v>15000</v>
      </c>
      <c r="K147" s="101">
        <f t="shared" si="5"/>
        <v>15000</v>
      </c>
    </row>
    <row r="148" spans="1:11" x14ac:dyDescent="0.2">
      <c r="A148" s="18" t="s">
        <v>903</v>
      </c>
      <c r="B148" s="18"/>
      <c r="C148" s="106">
        <f>SUM(C144:C147)</f>
        <v>-120000</v>
      </c>
      <c r="D148" s="106">
        <f>SUM(D144:D147)</f>
        <v>26250</v>
      </c>
      <c r="E148" s="106">
        <f>SUM(E144:E147)</f>
        <v>26250</v>
      </c>
      <c r="F148" s="106">
        <f>SUM(F144:F147)</f>
        <v>26250</v>
      </c>
      <c r="G148" s="106">
        <f>SUM(G144:G147)</f>
        <v>26250</v>
      </c>
      <c r="H148" s="106">
        <f t="shared" ref="H148:K148" si="6">SUM(H144:H147)</f>
        <v>26250</v>
      </c>
      <c r="I148" s="106">
        <f t="shared" si="6"/>
        <v>26250</v>
      </c>
      <c r="J148" s="106">
        <f t="shared" si="6"/>
        <v>26250</v>
      </c>
      <c r="K148" s="106">
        <f t="shared" si="6"/>
        <v>26250</v>
      </c>
    </row>
    <row r="149" spans="1:11" ht="17" thickBot="1" x14ac:dyDescent="0.25"/>
    <row r="150" spans="1:11" x14ac:dyDescent="0.2">
      <c r="A150" s="1" t="s">
        <v>1468</v>
      </c>
      <c r="C150" s="176">
        <f>NPV(7%,D148:K148)+C148</f>
        <v>36746.585788110533</v>
      </c>
      <c r="I150" s="12" t="s">
        <v>1698</v>
      </c>
      <c r="J150" s="13"/>
      <c r="K150" s="14"/>
    </row>
    <row r="151" spans="1:11" x14ac:dyDescent="0.2">
      <c r="C151" s="1" t="s">
        <v>259</v>
      </c>
      <c r="I151" s="72" t="s">
        <v>1699</v>
      </c>
      <c r="K151" s="73"/>
    </row>
    <row r="152" spans="1:11" x14ac:dyDescent="0.2">
      <c r="I152" s="72" t="s">
        <v>1700</v>
      </c>
      <c r="K152" s="73"/>
    </row>
    <row r="153" spans="1:11" x14ac:dyDescent="0.2">
      <c r="A153" s="1" t="s">
        <v>1469</v>
      </c>
      <c r="I153" s="72" t="s">
        <v>1701</v>
      </c>
      <c r="K153" s="73"/>
    </row>
    <row r="154" spans="1:11" x14ac:dyDescent="0.2">
      <c r="A154" s="1" t="s">
        <v>1470</v>
      </c>
      <c r="I154" s="72" t="s">
        <v>1702</v>
      </c>
      <c r="K154" s="73"/>
    </row>
    <row r="155" spans="1:11" x14ac:dyDescent="0.2">
      <c r="A155" s="1" t="s">
        <v>1471</v>
      </c>
      <c r="I155" s="72" t="s">
        <v>1703</v>
      </c>
      <c r="K155" s="73"/>
    </row>
    <row r="156" spans="1:11" ht="17" thickBot="1" x14ac:dyDescent="0.25">
      <c r="A156" s="1" t="s">
        <v>1472</v>
      </c>
      <c r="I156" s="15" t="s">
        <v>1704</v>
      </c>
      <c r="J156" s="16"/>
      <c r="K156" s="17"/>
    </row>
    <row r="161" spans="4:6" x14ac:dyDescent="0.2">
      <c r="D161" s="1" t="s">
        <v>1705</v>
      </c>
      <c r="F161" s="1" t="s">
        <v>1706</v>
      </c>
    </row>
    <row r="169" spans="4:6" x14ac:dyDescent="0.2">
      <c r="E169" s="1" t="s">
        <v>1707</v>
      </c>
    </row>
    <row r="170" spans="4:6" x14ac:dyDescent="0.2">
      <c r="E170" s="1" t="s">
        <v>1708</v>
      </c>
    </row>
    <row r="171" spans="4:6" x14ac:dyDescent="0.2">
      <c r="E171" s="1" t="s">
        <v>1709</v>
      </c>
    </row>
    <row r="185" spans="1:8" x14ac:dyDescent="0.2">
      <c r="A185" s="1" t="s">
        <v>2616</v>
      </c>
    </row>
    <row r="186" spans="1:8" x14ac:dyDescent="0.2">
      <c r="A186" s="1" t="s">
        <v>2617</v>
      </c>
    </row>
    <row r="187" spans="1:8" x14ac:dyDescent="0.2">
      <c r="A187" s="1" t="s">
        <v>2618</v>
      </c>
    </row>
    <row r="188" spans="1:8" x14ac:dyDescent="0.2">
      <c r="A188" s="1" t="s">
        <v>2619</v>
      </c>
    </row>
    <row r="189" spans="1:8" x14ac:dyDescent="0.2">
      <c r="A189" s="1" t="s">
        <v>2620</v>
      </c>
    </row>
    <row r="190" spans="1:8" x14ac:dyDescent="0.2">
      <c r="A190" s="1" t="s">
        <v>2621</v>
      </c>
    </row>
    <row r="191" spans="1:8" ht="17" thickBot="1" x14ac:dyDescent="0.25"/>
    <row r="192" spans="1:8" x14ac:dyDescent="0.2">
      <c r="A192" s="132" t="s">
        <v>2622</v>
      </c>
      <c r="B192" s="334"/>
      <c r="C192" s="334"/>
      <c r="D192" s="334"/>
      <c r="E192" s="334"/>
      <c r="F192" s="334"/>
      <c r="G192" s="334"/>
      <c r="H192" s="337"/>
    </row>
    <row r="193" spans="1:8" x14ac:dyDescent="0.2">
      <c r="A193" s="213"/>
      <c r="B193" s="18" t="s">
        <v>2623</v>
      </c>
      <c r="C193" s="18"/>
      <c r="D193" s="18"/>
      <c r="E193" s="18"/>
      <c r="F193" s="18"/>
      <c r="G193" s="18"/>
      <c r="H193" s="338"/>
    </row>
    <row r="194" spans="1:8" x14ac:dyDescent="0.2">
      <c r="A194" s="213"/>
      <c r="B194" s="18"/>
      <c r="C194" s="18" t="s">
        <v>2624</v>
      </c>
      <c r="D194" s="18"/>
      <c r="E194" s="18"/>
      <c r="F194" s="18"/>
      <c r="G194" s="18"/>
      <c r="H194" s="338"/>
    </row>
    <row r="195" spans="1:8" ht="17" thickBot="1" x14ac:dyDescent="0.25">
      <c r="A195" s="133"/>
      <c r="B195" s="332"/>
      <c r="C195" s="332"/>
      <c r="D195" s="332" t="s">
        <v>2625</v>
      </c>
      <c r="E195" s="332"/>
      <c r="F195" s="332"/>
      <c r="G195" s="332"/>
      <c r="H195" s="339"/>
    </row>
    <row r="197" spans="1:8" x14ac:dyDescent="0.2">
      <c r="B197" s="1" t="s">
        <v>2626</v>
      </c>
    </row>
    <row r="210" spans="1:13" x14ac:dyDescent="0.2">
      <c r="A210" s="1" t="s">
        <v>2627</v>
      </c>
    </row>
    <row r="211" spans="1:13" x14ac:dyDescent="0.2">
      <c r="A211" s="1" t="s">
        <v>2628</v>
      </c>
    </row>
    <row r="213" spans="1:13" x14ac:dyDescent="0.2">
      <c r="A213" s="1" t="s">
        <v>2629</v>
      </c>
    </row>
    <row r="214" spans="1:13" x14ac:dyDescent="0.2">
      <c r="B214" s="1" t="s">
        <v>2630</v>
      </c>
    </row>
    <row r="215" spans="1:13" x14ac:dyDescent="0.2">
      <c r="B215" s="1" t="s">
        <v>2631</v>
      </c>
    </row>
    <row r="216" spans="1:13" x14ac:dyDescent="0.2">
      <c r="B216" s="1" t="s">
        <v>2634</v>
      </c>
    </row>
    <row r="218" spans="1:13" x14ac:dyDescent="0.2">
      <c r="B218" s="1" t="s">
        <v>2632</v>
      </c>
    </row>
    <row r="219" spans="1:13" x14ac:dyDescent="0.2">
      <c r="B219" s="1" t="s">
        <v>2633</v>
      </c>
    </row>
    <row r="222" spans="1:13" x14ac:dyDescent="0.2">
      <c r="H222" s="6" t="s">
        <v>84</v>
      </c>
      <c r="L222" s="6" t="s">
        <v>60</v>
      </c>
    </row>
    <row r="223" spans="1:13" x14ac:dyDescent="0.2">
      <c r="B223" s="1" t="s">
        <v>2635</v>
      </c>
      <c r="G223" s="1">
        <v>6.5</v>
      </c>
      <c r="H223" s="1" t="s">
        <v>1258</v>
      </c>
      <c r="K223" s="20" t="s">
        <v>75</v>
      </c>
      <c r="L223" s="1" t="s">
        <v>111</v>
      </c>
    </row>
    <row r="224" spans="1:13" x14ac:dyDescent="0.2">
      <c r="K224" s="20">
        <v>10</v>
      </c>
      <c r="L224" s="1" t="s">
        <v>62</v>
      </c>
      <c r="M224" s="1" t="s">
        <v>2641</v>
      </c>
    </row>
    <row r="225" spans="2:13" x14ac:dyDescent="0.2">
      <c r="E225" s="20" t="s">
        <v>87</v>
      </c>
      <c r="F225" s="20"/>
      <c r="H225" s="1" t="s">
        <v>995</v>
      </c>
      <c r="K225" s="20">
        <v>6.5</v>
      </c>
      <c r="L225" s="1" t="s">
        <v>63</v>
      </c>
      <c r="M225" s="1" t="s">
        <v>2642</v>
      </c>
    </row>
    <row r="226" spans="2:13" x14ac:dyDescent="0.2">
      <c r="B226" s="1" t="s">
        <v>2636</v>
      </c>
      <c r="E226" s="20">
        <v>0</v>
      </c>
      <c r="F226" s="20">
        <v>1</v>
      </c>
      <c r="K226" s="340">
        <f>-F239</f>
        <v>-82.027924443097277</v>
      </c>
      <c r="L226" s="1" t="s">
        <v>64</v>
      </c>
      <c r="M226" s="1" t="s">
        <v>1152</v>
      </c>
    </row>
    <row r="227" spans="2:13" x14ac:dyDescent="0.2">
      <c r="B227" s="1" t="s">
        <v>2637</v>
      </c>
      <c r="E227" s="20">
        <v>4</v>
      </c>
      <c r="F227" s="20">
        <v>2</v>
      </c>
      <c r="H227" s="1" t="s">
        <v>2638</v>
      </c>
      <c r="K227" s="20">
        <v>4</v>
      </c>
      <c r="L227" s="1" t="s">
        <v>65</v>
      </c>
      <c r="M227" s="1" t="s">
        <v>2643</v>
      </c>
    </row>
    <row r="228" spans="2:13" x14ac:dyDescent="0.2">
      <c r="E228" s="20">
        <v>4</v>
      </c>
      <c r="F228" s="20">
        <v>3</v>
      </c>
      <c r="K228" s="20">
        <v>100</v>
      </c>
      <c r="L228" s="1" t="s">
        <v>66</v>
      </c>
      <c r="M228" s="1" t="s">
        <v>2644</v>
      </c>
    </row>
    <row r="229" spans="2:13" x14ac:dyDescent="0.2">
      <c r="E229" s="20">
        <v>4</v>
      </c>
      <c r="F229" s="20">
        <v>4</v>
      </c>
    </row>
    <row r="230" spans="2:13" x14ac:dyDescent="0.2">
      <c r="E230" s="20">
        <v>4</v>
      </c>
      <c r="F230" s="20">
        <v>5</v>
      </c>
    </row>
    <row r="231" spans="2:13" x14ac:dyDescent="0.2">
      <c r="E231" s="20">
        <v>4</v>
      </c>
      <c r="F231" s="20">
        <v>6</v>
      </c>
    </row>
    <row r="232" spans="2:13" x14ac:dyDescent="0.2">
      <c r="E232" s="20">
        <v>4</v>
      </c>
      <c r="F232" s="20">
        <v>7</v>
      </c>
    </row>
    <row r="233" spans="2:13" x14ac:dyDescent="0.2">
      <c r="E233" s="20">
        <v>4</v>
      </c>
      <c r="F233" s="20">
        <v>8</v>
      </c>
      <c r="K233" s="18" t="s">
        <v>2645</v>
      </c>
    </row>
    <row r="234" spans="2:13" x14ac:dyDescent="0.2">
      <c r="E234" s="20">
        <v>4</v>
      </c>
      <c r="F234" s="20">
        <v>9</v>
      </c>
      <c r="K234" s="18" t="s">
        <v>2646</v>
      </c>
    </row>
    <row r="235" spans="2:13" x14ac:dyDescent="0.2">
      <c r="E235" s="20">
        <v>4</v>
      </c>
      <c r="F235" s="20">
        <v>10</v>
      </c>
      <c r="K235" s="18" t="s">
        <v>2647</v>
      </c>
    </row>
    <row r="236" spans="2:13" x14ac:dyDescent="0.2">
      <c r="B236" s="1" t="s">
        <v>2639</v>
      </c>
      <c r="E236" s="20">
        <v>104</v>
      </c>
      <c r="F236" s="20">
        <v>11</v>
      </c>
      <c r="K236" s="18" t="s">
        <v>2648</v>
      </c>
    </row>
    <row r="237" spans="2:13" x14ac:dyDescent="0.2">
      <c r="B237" s="1" t="s">
        <v>2640</v>
      </c>
      <c r="K237" s="18" t="s">
        <v>2649</v>
      </c>
    </row>
    <row r="239" spans="2:13" x14ac:dyDescent="0.2">
      <c r="F239" s="341">
        <f>NPV(G223/100,E227:E236)</f>
        <v>82.027924443097277</v>
      </c>
      <c r="H239" s="1" t="s">
        <v>1266</v>
      </c>
    </row>
    <row r="252" spans="1:8" x14ac:dyDescent="0.2">
      <c r="A252" s="175" t="s">
        <v>1179</v>
      </c>
      <c r="B252" s="175" t="s">
        <v>2457</v>
      </c>
      <c r="C252" s="174"/>
      <c r="D252" s="174"/>
      <c r="E252" s="174"/>
      <c r="F252" s="174"/>
      <c r="G252" s="174"/>
      <c r="H252" s="174"/>
    </row>
    <row r="265" spans="1:1" x14ac:dyDescent="0.2">
      <c r="A265" s="18" t="s">
        <v>2454</v>
      </c>
    </row>
    <row r="266" spans="1:1" x14ac:dyDescent="0.2">
      <c r="A266" s="1" t="s">
        <v>2455</v>
      </c>
    </row>
    <row r="267" spans="1:1" x14ac:dyDescent="0.2">
      <c r="A267" s="1" t="s">
        <v>2456</v>
      </c>
    </row>
    <row r="269" spans="1:1" x14ac:dyDescent="0.2">
      <c r="A269" s="1" t="s">
        <v>2458</v>
      </c>
    </row>
    <row r="270" spans="1:1" x14ac:dyDescent="0.2">
      <c r="A270" s="1" t="s">
        <v>2459</v>
      </c>
    </row>
    <row r="271" spans="1:1" x14ac:dyDescent="0.2">
      <c r="A271" s="1" t="s">
        <v>2460</v>
      </c>
    </row>
    <row r="272" spans="1:1" x14ac:dyDescent="0.2">
      <c r="A272" s="1" t="s">
        <v>2461</v>
      </c>
    </row>
    <row r="273" spans="1:10" x14ac:dyDescent="0.2">
      <c r="A273" s="1" t="s">
        <v>1774</v>
      </c>
    </row>
    <row r="274" spans="1:10" x14ac:dyDescent="0.2">
      <c r="A274" s="1" t="s">
        <v>1775</v>
      </c>
    </row>
    <row r="275" spans="1:10" ht="17" thickBot="1" x14ac:dyDescent="0.25"/>
    <row r="276" spans="1:10" x14ac:dyDescent="0.2">
      <c r="B276" s="12" t="s">
        <v>2462</v>
      </c>
      <c r="C276" s="13" t="s">
        <v>2463</v>
      </c>
      <c r="D276" s="13"/>
      <c r="E276" s="13"/>
      <c r="F276" s="13"/>
      <c r="G276" s="13"/>
      <c r="H276" s="13"/>
      <c r="I276" s="13" t="s">
        <v>2466</v>
      </c>
      <c r="J276" s="14"/>
    </row>
    <row r="277" spans="1:10" x14ac:dyDescent="0.2">
      <c r="B277" s="72"/>
      <c r="C277" s="1" t="s">
        <v>2464</v>
      </c>
      <c r="J277" s="73"/>
    </row>
    <row r="278" spans="1:10" x14ac:dyDescent="0.2">
      <c r="B278" s="72"/>
      <c r="C278" s="18" t="s">
        <v>2467</v>
      </c>
      <c r="D278" s="18"/>
      <c r="E278" s="18"/>
      <c r="F278" s="18"/>
      <c r="G278" s="18"/>
      <c r="H278" s="18"/>
      <c r="J278" s="73"/>
    </row>
    <row r="279" spans="1:10" x14ac:dyDescent="0.2">
      <c r="B279" s="72"/>
      <c r="C279" s="18" t="s">
        <v>2468</v>
      </c>
      <c r="D279" s="18"/>
      <c r="E279" s="18"/>
      <c r="F279" s="18"/>
      <c r="G279" s="18"/>
      <c r="H279" s="18"/>
      <c r="J279" s="73"/>
    </row>
    <row r="280" spans="1:10" x14ac:dyDescent="0.2">
      <c r="B280" s="72"/>
      <c r="J280" s="73"/>
    </row>
    <row r="281" spans="1:10" x14ac:dyDescent="0.2">
      <c r="B281" s="72" t="s">
        <v>2465</v>
      </c>
      <c r="C281" s="1" t="s">
        <v>2475</v>
      </c>
      <c r="I281" s="1" t="s">
        <v>2478</v>
      </c>
      <c r="J281" s="73"/>
    </row>
    <row r="282" spans="1:10" x14ac:dyDescent="0.2">
      <c r="B282" s="72"/>
      <c r="C282" s="1" t="s">
        <v>2476</v>
      </c>
      <c r="J282" s="73"/>
    </row>
    <row r="283" spans="1:10" ht="17" thickBot="1" x14ac:dyDescent="0.25">
      <c r="B283" s="15"/>
      <c r="C283" s="16" t="s">
        <v>2477</v>
      </c>
      <c r="D283" s="16"/>
      <c r="E283" s="16"/>
      <c r="F283" s="16"/>
      <c r="G283" s="16"/>
      <c r="H283" s="16"/>
      <c r="I283" s="16"/>
      <c r="J283" s="17"/>
    </row>
    <row r="285" spans="1:10" x14ac:dyDescent="0.2">
      <c r="A285" s="1" t="s">
        <v>1776</v>
      </c>
    </row>
    <row r="286" spans="1:10" x14ac:dyDescent="0.2">
      <c r="A286" s="1" t="s">
        <v>1777</v>
      </c>
    </row>
    <row r="287" spans="1:10" x14ac:dyDescent="0.2">
      <c r="A287" s="1" t="s">
        <v>1778</v>
      </c>
    </row>
    <row r="288" spans="1:10" x14ac:dyDescent="0.2">
      <c r="A288" s="1" t="s">
        <v>1779</v>
      </c>
    </row>
    <row r="290" spans="1:7" x14ac:dyDescent="0.2">
      <c r="A290" s="1" t="s">
        <v>1780</v>
      </c>
    </row>
    <row r="291" spans="1:7" x14ac:dyDescent="0.2">
      <c r="A291" s="1" t="s">
        <v>1781</v>
      </c>
    </row>
    <row r="293" spans="1:7" x14ac:dyDescent="0.2">
      <c r="C293" s="20" t="s">
        <v>739</v>
      </c>
      <c r="D293" s="20"/>
      <c r="E293" s="20"/>
      <c r="F293" s="20" t="s">
        <v>1782</v>
      </c>
    </row>
    <row r="294" spans="1:7" ht="17" thickBot="1" x14ac:dyDescent="0.25">
      <c r="C294" s="167">
        <v>5</v>
      </c>
      <c r="D294" s="167"/>
      <c r="E294" s="167"/>
      <c r="F294" s="167">
        <v>0</v>
      </c>
    </row>
    <row r="295" spans="1:7" x14ac:dyDescent="0.2">
      <c r="A295" s="1" t="s">
        <v>1786</v>
      </c>
      <c r="C295" s="362">
        <v>100</v>
      </c>
      <c r="D295" s="20"/>
      <c r="E295" s="20"/>
      <c r="F295" s="20">
        <v>100</v>
      </c>
      <c r="G295" s="1" t="s">
        <v>1783</v>
      </c>
    </row>
    <row r="296" spans="1:7" x14ac:dyDescent="0.2">
      <c r="C296" s="20"/>
      <c r="D296" s="218"/>
      <c r="E296" s="218"/>
      <c r="F296" s="48">
        <v>-30</v>
      </c>
      <c r="G296" s="1" t="s">
        <v>1784</v>
      </c>
    </row>
    <row r="297" spans="1:7" x14ac:dyDescent="0.2">
      <c r="C297" s="20"/>
      <c r="D297" s="218"/>
      <c r="E297" s="218"/>
      <c r="F297" s="362">
        <f>F295+F296</f>
        <v>70</v>
      </c>
      <c r="G297" s="1" t="s">
        <v>1785</v>
      </c>
    </row>
    <row r="299" spans="1:7" x14ac:dyDescent="0.2">
      <c r="A299" s="1" t="s">
        <v>1787</v>
      </c>
    </row>
    <row r="300" spans="1:7" x14ac:dyDescent="0.2">
      <c r="E300" s="68"/>
    </row>
    <row r="301" spans="1:7" x14ac:dyDescent="0.2">
      <c r="A301" s="1" t="s">
        <v>2472</v>
      </c>
      <c r="G301" s="1" t="s">
        <v>2469</v>
      </c>
    </row>
    <row r="302" spans="1:7" x14ac:dyDescent="0.2">
      <c r="A302" s="1" t="s">
        <v>2473</v>
      </c>
      <c r="D302" s="75">
        <f>100/70-1</f>
        <v>0.4285714285714286</v>
      </c>
      <c r="G302" s="1" t="s">
        <v>2470</v>
      </c>
    </row>
    <row r="303" spans="1:7" x14ac:dyDescent="0.2">
      <c r="A303" s="1" t="s">
        <v>2474</v>
      </c>
      <c r="G303" s="1" t="s">
        <v>2471</v>
      </c>
    </row>
    <row r="305" spans="1:6" x14ac:dyDescent="0.2">
      <c r="A305" s="1" t="s">
        <v>2479</v>
      </c>
    </row>
    <row r="306" spans="1:6" x14ac:dyDescent="0.2">
      <c r="A306" s="1" t="s">
        <v>2488</v>
      </c>
    </row>
    <row r="308" spans="1:6" x14ac:dyDescent="0.2">
      <c r="D308" s="203">
        <v>7.3899999999999993E-2</v>
      </c>
    </row>
    <row r="309" spans="1:6" x14ac:dyDescent="0.2">
      <c r="D309" s="1" t="s">
        <v>259</v>
      </c>
    </row>
    <row r="312" spans="1:6" x14ac:dyDescent="0.2">
      <c r="F312" s="1" t="s">
        <v>2480</v>
      </c>
    </row>
    <row r="313" spans="1:6" x14ac:dyDescent="0.2">
      <c r="F313" s="1" t="s">
        <v>2481</v>
      </c>
    </row>
    <row r="314" spans="1:6" x14ac:dyDescent="0.2">
      <c r="F314" s="1" t="s">
        <v>2482</v>
      </c>
    </row>
    <row r="315" spans="1:6" x14ac:dyDescent="0.2">
      <c r="F315" s="1" t="s">
        <v>2483</v>
      </c>
    </row>
    <row r="316" spans="1:6" x14ac:dyDescent="0.2">
      <c r="F316" s="1" t="s">
        <v>2484</v>
      </c>
    </row>
    <row r="317" spans="1:6" x14ac:dyDescent="0.2">
      <c r="F317" s="1" t="s">
        <v>2485</v>
      </c>
    </row>
    <row r="318" spans="1:6" x14ac:dyDescent="0.2">
      <c r="F318" s="1" t="s">
        <v>2486</v>
      </c>
    </row>
    <row r="319" spans="1:6" x14ac:dyDescent="0.2">
      <c r="F319" s="1" t="s">
        <v>2487</v>
      </c>
    </row>
    <row r="336" spans="1:1" x14ac:dyDescent="0.2">
      <c r="A336" s="1" t="s">
        <v>146</v>
      </c>
    </row>
    <row r="338" spans="1:18" x14ac:dyDescent="0.2">
      <c r="A338" s="1" t="s">
        <v>2650</v>
      </c>
      <c r="J338" s="1" t="s">
        <v>2652</v>
      </c>
    </row>
    <row r="339" spans="1:18" x14ac:dyDescent="0.2">
      <c r="A339" s="1" t="s">
        <v>2651</v>
      </c>
      <c r="P339" s="1" t="s">
        <v>2819</v>
      </c>
    </row>
    <row r="340" spans="1:18" x14ac:dyDescent="0.2">
      <c r="C340" s="20" t="s">
        <v>1079</v>
      </c>
      <c r="D340" s="20" t="s">
        <v>2662</v>
      </c>
      <c r="E340" s="20" t="s">
        <v>2664</v>
      </c>
      <c r="F340" s="20" t="s">
        <v>2661</v>
      </c>
    </row>
    <row r="341" spans="1:18" x14ac:dyDescent="0.2">
      <c r="C341" s="20" t="s">
        <v>2660</v>
      </c>
      <c r="D341" s="20" t="s">
        <v>2663</v>
      </c>
      <c r="E341" s="20" t="s">
        <v>2665</v>
      </c>
      <c r="F341" s="20" t="s">
        <v>2660</v>
      </c>
      <c r="R341" s="20" t="s">
        <v>2661</v>
      </c>
    </row>
    <row r="342" spans="1:18" x14ac:dyDescent="0.2">
      <c r="C342" s="27">
        <v>0</v>
      </c>
      <c r="D342" s="27" t="s">
        <v>1575</v>
      </c>
      <c r="E342" s="27" t="s">
        <v>2659</v>
      </c>
      <c r="F342" s="27">
        <v>10</v>
      </c>
      <c r="R342" s="20" t="s">
        <v>2660</v>
      </c>
    </row>
    <row r="343" spans="1:18" x14ac:dyDescent="0.2">
      <c r="A343" s="1" t="s">
        <v>1246</v>
      </c>
      <c r="D343" s="20">
        <v>250000</v>
      </c>
      <c r="E343" s="20">
        <v>250000</v>
      </c>
      <c r="F343" s="20">
        <v>250000</v>
      </c>
      <c r="R343" s="27">
        <v>10</v>
      </c>
    </row>
    <row r="344" spans="1:18" x14ac:dyDescent="0.2">
      <c r="A344" s="1" t="s">
        <v>2653</v>
      </c>
      <c r="D344" s="20">
        <v>-72000</v>
      </c>
      <c r="E344" s="20">
        <v>-72000</v>
      </c>
      <c r="F344" s="20">
        <v>-72000</v>
      </c>
      <c r="R344" s="20">
        <v>250000</v>
      </c>
    </row>
    <row r="345" spans="1:18" x14ac:dyDescent="0.2">
      <c r="A345" s="1" t="s">
        <v>2654</v>
      </c>
      <c r="D345" s="20">
        <v>-150000</v>
      </c>
      <c r="E345" s="20">
        <v>0</v>
      </c>
      <c r="F345" s="20">
        <v>0</v>
      </c>
      <c r="R345" s="20">
        <v>-72000</v>
      </c>
    </row>
    <row r="346" spans="1:18" x14ac:dyDescent="0.2">
      <c r="A346" s="1" t="s">
        <v>899</v>
      </c>
      <c r="D346" s="342">
        <f>SUM(D343:D345)</f>
        <v>28000</v>
      </c>
      <c r="E346" s="342">
        <f>SUM(E343:E345)</f>
        <v>178000</v>
      </c>
      <c r="F346" s="342">
        <f>SUM(F343:F345)</f>
        <v>178000</v>
      </c>
      <c r="R346" s="20">
        <v>0</v>
      </c>
    </row>
    <row r="347" spans="1:18" x14ac:dyDescent="0.2">
      <c r="A347" s="1" t="s">
        <v>2666</v>
      </c>
      <c r="D347" s="20">
        <f>-20%*D346</f>
        <v>-5600</v>
      </c>
      <c r="E347" s="20">
        <f>-20%*E346</f>
        <v>-35600</v>
      </c>
      <c r="F347" s="20">
        <f>-20%*F346</f>
        <v>-35600</v>
      </c>
      <c r="Q347" s="1" t="s">
        <v>1249</v>
      </c>
      <c r="R347" s="24">
        <f>H356</f>
        <v>100000</v>
      </c>
    </row>
    <row r="348" spans="1:18" x14ac:dyDescent="0.2">
      <c r="A348" s="1" t="s">
        <v>2667</v>
      </c>
      <c r="D348" s="343">
        <f>D346+D347</f>
        <v>22400</v>
      </c>
      <c r="E348" s="343">
        <f>E346+E347</f>
        <v>142400</v>
      </c>
      <c r="F348" s="343">
        <f>F346+F347</f>
        <v>142400</v>
      </c>
      <c r="R348" s="342">
        <f>SUM(R344:R347)</f>
        <v>278000</v>
      </c>
    </row>
    <row r="349" spans="1:18" x14ac:dyDescent="0.2">
      <c r="A349" s="1" t="s">
        <v>2655</v>
      </c>
      <c r="D349" s="20">
        <f>-D345</f>
        <v>150000</v>
      </c>
      <c r="E349" s="20">
        <v>0</v>
      </c>
      <c r="F349" s="20">
        <v>0</v>
      </c>
      <c r="R349" s="20">
        <f>-20%*R348</f>
        <v>-55600</v>
      </c>
    </row>
    <row r="350" spans="1:18" x14ac:dyDescent="0.2">
      <c r="A350" s="1" t="s">
        <v>2656</v>
      </c>
      <c r="C350" s="20">
        <v>-750000</v>
      </c>
      <c r="F350" s="20">
        <f>100000*(1-20%)</f>
        <v>80000</v>
      </c>
      <c r="R350" s="343">
        <f>R348+R349</f>
        <v>222400</v>
      </c>
    </row>
    <row r="351" spans="1:18" x14ac:dyDescent="0.2">
      <c r="A351" s="1" t="s">
        <v>2657</v>
      </c>
      <c r="C351" s="20">
        <v>0</v>
      </c>
      <c r="D351" s="20"/>
      <c r="E351" s="20"/>
      <c r="F351" s="20">
        <v>0</v>
      </c>
      <c r="G351" s="20"/>
      <c r="R351" s="20">
        <v>0</v>
      </c>
    </row>
    <row r="352" spans="1:18" x14ac:dyDescent="0.2">
      <c r="A352" s="18" t="s">
        <v>2658</v>
      </c>
      <c r="B352" s="18"/>
      <c r="C352" s="204">
        <f>SUM(C348:C351)</f>
        <v>-750000</v>
      </c>
      <c r="D352" s="204">
        <f>SUM(D348:D351)</f>
        <v>172400</v>
      </c>
      <c r="E352" s="204">
        <f>SUM(E348:E351)</f>
        <v>142400</v>
      </c>
      <c r="F352" s="204">
        <f>SUM(F348:F351)</f>
        <v>222400</v>
      </c>
      <c r="Q352" s="1" t="s">
        <v>1315</v>
      </c>
      <c r="R352" s="20">
        <v>0</v>
      </c>
    </row>
    <row r="353" spans="2:18" x14ac:dyDescent="0.2">
      <c r="G353" s="1" t="s">
        <v>2668</v>
      </c>
      <c r="R353" s="20">
        <v>0</v>
      </c>
    </row>
    <row r="354" spans="2:18" x14ac:dyDescent="0.2">
      <c r="G354" s="1" t="s">
        <v>2818</v>
      </c>
      <c r="H354" s="3">
        <v>100000</v>
      </c>
      <c r="R354" s="204">
        <f>SUM(R350:R353)</f>
        <v>222400</v>
      </c>
    </row>
    <row r="355" spans="2:18" x14ac:dyDescent="0.2">
      <c r="G355" s="1" t="s">
        <v>1315</v>
      </c>
      <c r="H355" s="1">
        <v>0</v>
      </c>
      <c r="K355" s="1" t="s">
        <v>2669</v>
      </c>
    </row>
    <row r="356" spans="2:18" x14ac:dyDescent="0.2">
      <c r="G356" s="1" t="s">
        <v>1249</v>
      </c>
      <c r="H356" s="3">
        <f>H354-H355</f>
        <v>100000</v>
      </c>
      <c r="I356" s="1" t="s">
        <v>2672</v>
      </c>
    </row>
    <row r="357" spans="2:18" x14ac:dyDescent="0.2">
      <c r="G357" s="1" t="s">
        <v>2670</v>
      </c>
      <c r="H357" s="1">
        <f>H356*20%</f>
        <v>20000</v>
      </c>
    </row>
    <row r="359" spans="2:18" x14ac:dyDescent="0.2">
      <c r="G359" s="1" t="s">
        <v>2671</v>
      </c>
    </row>
    <row r="361" spans="2:18" x14ac:dyDescent="0.2">
      <c r="F361" s="1" t="s">
        <v>955</v>
      </c>
    </row>
    <row r="362" spans="2:18" x14ac:dyDescent="0.2">
      <c r="B362" s="20" t="s">
        <v>87</v>
      </c>
      <c r="C362" s="20"/>
      <c r="E362" s="1">
        <v>12</v>
      </c>
      <c r="F362" s="1" t="s">
        <v>63</v>
      </c>
      <c r="G362" s="1" t="s">
        <v>2673</v>
      </c>
    </row>
    <row r="363" spans="2:18" x14ac:dyDescent="0.2">
      <c r="B363" s="20">
        <v>-750000</v>
      </c>
      <c r="C363" s="20">
        <v>1</v>
      </c>
    </row>
    <row r="364" spans="2:18" x14ac:dyDescent="0.2">
      <c r="B364" s="20">
        <v>172400</v>
      </c>
      <c r="C364" s="20">
        <v>2</v>
      </c>
    </row>
    <row r="365" spans="2:18" x14ac:dyDescent="0.2">
      <c r="B365" s="20">
        <v>172400</v>
      </c>
      <c r="C365" s="20">
        <v>3</v>
      </c>
    </row>
    <row r="366" spans="2:18" x14ac:dyDescent="0.2">
      <c r="B366" s="20">
        <v>172400</v>
      </c>
      <c r="C366" s="20">
        <v>4</v>
      </c>
    </row>
    <row r="367" spans="2:18" x14ac:dyDescent="0.2">
      <c r="B367" s="20">
        <v>172400</v>
      </c>
      <c r="C367" s="20">
        <v>5</v>
      </c>
    </row>
    <row r="368" spans="2:18" x14ac:dyDescent="0.2">
      <c r="B368" s="20">
        <v>172400</v>
      </c>
      <c r="C368" s="20">
        <v>6</v>
      </c>
    </row>
    <row r="369" spans="1:8" x14ac:dyDescent="0.2">
      <c r="B369" s="20">
        <v>142400</v>
      </c>
      <c r="C369" s="20">
        <v>7</v>
      </c>
    </row>
    <row r="370" spans="1:8" x14ac:dyDescent="0.2">
      <c r="B370" s="20">
        <v>142400</v>
      </c>
      <c r="C370" s="20">
        <v>8</v>
      </c>
    </row>
    <row r="371" spans="1:8" x14ac:dyDescent="0.2">
      <c r="B371" s="20">
        <v>142400</v>
      </c>
      <c r="C371" s="20">
        <v>9</v>
      </c>
    </row>
    <row r="372" spans="1:8" x14ac:dyDescent="0.2">
      <c r="B372" s="20">
        <v>142400</v>
      </c>
      <c r="C372" s="20">
        <v>10</v>
      </c>
    </row>
    <row r="373" spans="1:8" x14ac:dyDescent="0.2">
      <c r="B373" s="20">
        <f>F352</f>
        <v>222400</v>
      </c>
      <c r="C373" s="20">
        <v>11</v>
      </c>
    </row>
    <row r="375" spans="1:8" x14ac:dyDescent="0.2">
      <c r="D375" s="344">
        <f>NPV(E362/100,B364:B373)+B363</f>
        <v>188492.90424331254</v>
      </c>
      <c r="F375" s="1" t="s">
        <v>1266</v>
      </c>
    </row>
    <row r="376" spans="1:8" x14ac:dyDescent="0.2">
      <c r="D376" s="18" t="s">
        <v>245</v>
      </c>
    </row>
    <row r="382" spans="1:8" x14ac:dyDescent="0.2">
      <c r="A382" s="175" t="s">
        <v>1195</v>
      </c>
      <c r="B382" s="174"/>
      <c r="C382" s="174"/>
      <c r="D382" s="174"/>
      <c r="E382" s="174"/>
      <c r="F382" s="174"/>
      <c r="G382" s="174"/>
      <c r="H382" s="174"/>
    </row>
    <row r="384" spans="1:8" x14ac:dyDescent="0.2">
      <c r="A384" s="1" t="s">
        <v>1497</v>
      </c>
    </row>
    <row r="385" spans="1:7" x14ac:dyDescent="0.2">
      <c r="A385" s="1" t="s">
        <v>1498</v>
      </c>
      <c r="B385" s="1">
        <v>100</v>
      </c>
    </row>
    <row r="386" spans="1:7" x14ac:dyDescent="0.2">
      <c r="A386" s="1" t="s">
        <v>1499</v>
      </c>
      <c r="B386" s="37">
        <v>0.1</v>
      </c>
    </row>
    <row r="387" spans="1:7" x14ac:dyDescent="0.2">
      <c r="A387" s="1" t="s">
        <v>1500</v>
      </c>
    </row>
    <row r="388" spans="1:7" x14ac:dyDescent="0.2">
      <c r="A388" s="1" t="s">
        <v>1501</v>
      </c>
    </row>
    <row r="389" spans="1:7" x14ac:dyDescent="0.2">
      <c r="A389" s="1" t="s">
        <v>1502</v>
      </c>
    </row>
    <row r="391" spans="1:7" x14ac:dyDescent="0.2">
      <c r="A391" s="1" t="s">
        <v>1503</v>
      </c>
    </row>
    <row r="393" spans="1:7" x14ac:dyDescent="0.2">
      <c r="G393" s="1" t="s">
        <v>60</v>
      </c>
    </row>
    <row r="394" spans="1:7" x14ac:dyDescent="0.2">
      <c r="F394" s="1" t="s">
        <v>75</v>
      </c>
      <c r="G394" s="1" t="s">
        <v>111</v>
      </c>
    </row>
    <row r="395" spans="1:7" x14ac:dyDescent="0.2">
      <c r="A395" s="1" t="s">
        <v>1505</v>
      </c>
      <c r="F395" s="1">
        <f>5*4</f>
        <v>20</v>
      </c>
      <c r="G395" s="1" t="s">
        <v>62</v>
      </c>
    </row>
    <row r="396" spans="1:7" x14ac:dyDescent="0.2">
      <c r="A396" s="1" t="s">
        <v>1506</v>
      </c>
      <c r="F396" s="85">
        <f>((1+10.381%)^0.25-1)*100</f>
        <v>2.499932894117296</v>
      </c>
      <c r="G396" s="1" t="s">
        <v>63</v>
      </c>
    </row>
    <row r="397" spans="1:7" x14ac:dyDescent="0.2">
      <c r="A397" s="1" t="s">
        <v>1507</v>
      </c>
      <c r="F397" s="90">
        <f>PV(F396/100,F395,F398,F399)</f>
        <v>-100.00104613112713</v>
      </c>
      <c r="G397" s="1" t="s">
        <v>64</v>
      </c>
    </row>
    <row r="398" spans="1:7" x14ac:dyDescent="0.2">
      <c r="A398" s="1" t="s">
        <v>1504</v>
      </c>
      <c r="F398" s="1">
        <f>10%/4*100</f>
        <v>2.5</v>
      </c>
      <c r="G398" s="1" t="s">
        <v>65</v>
      </c>
    </row>
    <row r="399" spans="1:7" x14ac:dyDescent="0.2">
      <c r="F399" s="1">
        <v>100</v>
      </c>
      <c r="G399" s="1" t="s">
        <v>66</v>
      </c>
    </row>
    <row r="401" spans="1:8" x14ac:dyDescent="0.2">
      <c r="A401" s="1" t="s">
        <v>1508</v>
      </c>
    </row>
    <row r="402" spans="1:8" x14ac:dyDescent="0.2">
      <c r="A402" s="1" t="s">
        <v>1509</v>
      </c>
    </row>
    <row r="404" spans="1:8" x14ac:dyDescent="0.2">
      <c r="A404" s="175" t="s">
        <v>1200</v>
      </c>
      <c r="B404" s="174"/>
      <c r="C404" s="174"/>
      <c r="D404" s="174"/>
      <c r="E404" s="174"/>
      <c r="F404" s="174"/>
      <c r="G404" s="174"/>
      <c r="H404" s="174"/>
    </row>
    <row r="415" spans="1:8" x14ac:dyDescent="0.2">
      <c r="A415" s="1" t="s">
        <v>2489</v>
      </c>
    </row>
    <row r="416" spans="1:8" ht="17" thickBot="1" x14ac:dyDescent="0.25"/>
    <row r="417" spans="1:8" x14ac:dyDescent="0.2">
      <c r="A417" s="12" t="s">
        <v>2514</v>
      </c>
      <c r="B417" s="13" t="s">
        <v>2515</v>
      </c>
      <c r="C417" s="13"/>
      <c r="D417" s="13"/>
      <c r="E417" s="13"/>
      <c r="F417" s="13"/>
      <c r="G417" s="13"/>
      <c r="H417" s="14"/>
    </row>
    <row r="418" spans="1:8" x14ac:dyDescent="0.2">
      <c r="A418" s="72"/>
      <c r="H418" s="73"/>
    </row>
    <row r="419" spans="1:8" x14ac:dyDescent="0.2">
      <c r="A419" s="72"/>
      <c r="B419" s="1" t="s">
        <v>2516</v>
      </c>
      <c r="H419" s="73"/>
    </row>
    <row r="420" spans="1:8" x14ac:dyDescent="0.2">
      <c r="A420" s="72"/>
      <c r="B420" s="1" t="s">
        <v>2517</v>
      </c>
      <c r="H420" s="73"/>
    </row>
    <row r="421" spans="1:8" x14ac:dyDescent="0.2">
      <c r="A421" s="72"/>
      <c r="H421" s="73"/>
    </row>
    <row r="422" spans="1:8" x14ac:dyDescent="0.2">
      <c r="A422" s="72"/>
      <c r="B422" s="1" t="s">
        <v>2518</v>
      </c>
      <c r="H422" s="73"/>
    </row>
    <row r="423" spans="1:8" x14ac:dyDescent="0.2">
      <c r="A423" s="72"/>
      <c r="B423" s="1" t="s">
        <v>2519</v>
      </c>
      <c r="H423" s="73"/>
    </row>
    <row r="424" spans="1:8" x14ac:dyDescent="0.2">
      <c r="A424" s="72"/>
      <c r="H424" s="73"/>
    </row>
    <row r="425" spans="1:8" x14ac:dyDescent="0.2">
      <c r="A425" s="72"/>
      <c r="E425" s="331">
        <f>1.05^4-1</f>
        <v>0.21550625000000001</v>
      </c>
      <c r="H425" s="73"/>
    </row>
    <row r="426" spans="1:8" x14ac:dyDescent="0.2">
      <c r="A426" s="72"/>
      <c r="H426" s="73"/>
    </row>
    <row r="427" spans="1:8" x14ac:dyDescent="0.2">
      <c r="A427" s="72"/>
      <c r="E427" s="331">
        <f>1.05^4-1</f>
        <v>0.21550625000000001</v>
      </c>
      <c r="H427" s="73"/>
    </row>
    <row r="428" spans="1:8" ht="17" thickBot="1" x14ac:dyDescent="0.25">
      <c r="A428" s="15"/>
      <c r="B428" s="16"/>
      <c r="C428" s="16"/>
      <c r="D428" s="16"/>
      <c r="E428" s="16"/>
      <c r="F428" s="16"/>
      <c r="G428" s="16"/>
      <c r="H428" s="17"/>
    </row>
    <row r="429" spans="1:8" ht="17" thickBot="1" x14ac:dyDescent="0.25"/>
    <row r="430" spans="1:8" x14ac:dyDescent="0.2">
      <c r="A430" s="12" t="s">
        <v>2520</v>
      </c>
      <c r="B430" s="13" t="s">
        <v>2525</v>
      </c>
      <c r="C430" s="13"/>
      <c r="D430" s="13"/>
      <c r="E430" s="13"/>
      <c r="F430" s="13"/>
      <c r="G430" s="13"/>
      <c r="H430" s="14"/>
    </row>
    <row r="431" spans="1:8" x14ac:dyDescent="0.2">
      <c r="A431" s="72"/>
      <c r="H431" s="73"/>
    </row>
    <row r="432" spans="1:8" x14ac:dyDescent="0.2">
      <c r="A432" s="72"/>
      <c r="B432" s="1" t="s">
        <v>2521</v>
      </c>
      <c r="H432" s="73"/>
    </row>
    <row r="433" spans="1:9" x14ac:dyDescent="0.2">
      <c r="A433" s="72"/>
      <c r="B433" s="1" t="s">
        <v>2522</v>
      </c>
      <c r="H433" s="73"/>
    </row>
    <row r="434" spans="1:9" x14ac:dyDescent="0.2">
      <c r="A434" s="72"/>
      <c r="E434" s="1" t="s">
        <v>2524</v>
      </c>
      <c r="H434" s="73"/>
    </row>
    <row r="435" spans="1:9" x14ac:dyDescent="0.2">
      <c r="A435" s="72"/>
      <c r="H435" s="73"/>
    </row>
    <row r="436" spans="1:9" x14ac:dyDescent="0.2">
      <c r="A436" s="72"/>
      <c r="B436" s="1" t="s">
        <v>2518</v>
      </c>
      <c r="H436" s="73"/>
    </row>
    <row r="437" spans="1:9" x14ac:dyDescent="0.2">
      <c r="A437" s="72"/>
      <c r="B437" s="1" t="s">
        <v>2523</v>
      </c>
      <c r="H437" s="73"/>
    </row>
    <row r="438" spans="1:9" x14ac:dyDescent="0.2">
      <c r="A438" s="72"/>
      <c r="H438" s="73"/>
    </row>
    <row r="439" spans="1:9" x14ac:dyDescent="0.2">
      <c r="A439" s="72"/>
      <c r="E439" s="331">
        <v>0.24</v>
      </c>
      <c r="H439" s="73"/>
    </row>
    <row r="440" spans="1:9" x14ac:dyDescent="0.2">
      <c r="A440" s="72"/>
      <c r="H440" s="73"/>
    </row>
    <row r="441" spans="1:9" x14ac:dyDescent="0.2">
      <c r="A441" s="72"/>
      <c r="E441" s="331">
        <v>0.24</v>
      </c>
      <c r="H441" s="73"/>
    </row>
    <row r="442" spans="1:9" ht="17" thickBot="1" x14ac:dyDescent="0.25">
      <c r="A442" s="15"/>
      <c r="B442" s="16"/>
      <c r="C442" s="16"/>
      <c r="D442" s="16"/>
      <c r="E442" s="16"/>
      <c r="F442" s="16"/>
      <c r="G442" s="16"/>
      <c r="H442" s="17"/>
    </row>
    <row r="443" spans="1:9" ht="17" thickBot="1" x14ac:dyDescent="0.25"/>
    <row r="444" spans="1:9" x14ac:dyDescent="0.2">
      <c r="A444" s="12"/>
      <c r="B444" s="13"/>
      <c r="C444" s="13"/>
      <c r="D444" s="13"/>
      <c r="E444" s="13"/>
      <c r="F444" s="13"/>
      <c r="G444" s="13"/>
      <c r="H444" s="13"/>
      <c r="I444" s="14"/>
    </row>
    <row r="445" spans="1:9" x14ac:dyDescent="0.2">
      <c r="A445" s="72"/>
      <c r="I445" s="73"/>
    </row>
    <row r="446" spans="1:9" x14ac:dyDescent="0.2">
      <c r="A446" s="72" t="s">
        <v>2501</v>
      </c>
      <c r="I446" s="73"/>
    </row>
    <row r="447" spans="1:9" x14ac:dyDescent="0.2">
      <c r="A447" s="72"/>
      <c r="I447" s="73"/>
    </row>
    <row r="448" spans="1:9" x14ac:dyDescent="0.2">
      <c r="A448" s="72" t="s">
        <v>2503</v>
      </c>
      <c r="D448" s="1" t="s">
        <v>2508</v>
      </c>
      <c r="I448" s="73"/>
    </row>
    <row r="449" spans="1:9" x14ac:dyDescent="0.2">
      <c r="A449" s="72"/>
      <c r="I449" s="73"/>
    </row>
    <row r="450" spans="1:9" x14ac:dyDescent="0.2">
      <c r="A450" s="72" t="s">
        <v>2504</v>
      </c>
      <c r="I450" s="73"/>
    </row>
    <row r="451" spans="1:9" x14ac:dyDescent="0.2">
      <c r="A451" s="72" t="s">
        <v>2505</v>
      </c>
      <c r="I451" s="73"/>
    </row>
    <row r="452" spans="1:9" x14ac:dyDescent="0.2">
      <c r="A452" s="72"/>
      <c r="I452" s="73"/>
    </row>
    <row r="453" spans="1:9" x14ac:dyDescent="0.2">
      <c r="A453" s="72" t="s">
        <v>2506</v>
      </c>
      <c r="I453" s="73"/>
    </row>
    <row r="454" spans="1:9" x14ac:dyDescent="0.2">
      <c r="A454" s="72" t="s">
        <v>2507</v>
      </c>
      <c r="I454" s="73"/>
    </row>
    <row r="455" spans="1:9" x14ac:dyDescent="0.2">
      <c r="A455" s="72"/>
      <c r="I455" s="73"/>
    </row>
    <row r="456" spans="1:9" x14ac:dyDescent="0.2">
      <c r="A456" s="72"/>
      <c r="I456" s="73"/>
    </row>
    <row r="457" spans="1:9" x14ac:dyDescent="0.2">
      <c r="A457" s="72"/>
      <c r="I457" s="73"/>
    </row>
    <row r="458" spans="1:9" ht="17" thickBot="1" x14ac:dyDescent="0.25">
      <c r="A458" s="15"/>
      <c r="B458" s="16"/>
      <c r="C458" s="16"/>
      <c r="D458" s="16"/>
      <c r="E458" s="16"/>
      <c r="F458" s="16"/>
      <c r="G458" s="16"/>
      <c r="H458" s="16"/>
      <c r="I458" s="17"/>
    </row>
    <row r="460" spans="1:9" ht="17" thickBot="1" x14ac:dyDescent="0.25">
      <c r="A460" s="1" t="s">
        <v>2490</v>
      </c>
    </row>
    <row r="461" spans="1:9" x14ac:dyDescent="0.2">
      <c r="A461" s="12" t="s">
        <v>2462</v>
      </c>
      <c r="B461" s="13" t="s">
        <v>2463</v>
      </c>
      <c r="C461" s="13"/>
      <c r="D461" s="13"/>
      <c r="E461" s="13"/>
      <c r="F461" s="13"/>
      <c r="G461" s="13"/>
      <c r="H461" s="13" t="s">
        <v>2466</v>
      </c>
      <c r="I461" s="14"/>
    </row>
    <row r="462" spans="1:9" x14ac:dyDescent="0.2">
      <c r="A462" s="72"/>
      <c r="B462" s="1" t="s">
        <v>2464</v>
      </c>
      <c r="H462" s="1" t="s">
        <v>2502</v>
      </c>
      <c r="I462" s="73"/>
    </row>
    <row r="463" spans="1:9" x14ac:dyDescent="0.2">
      <c r="A463" s="72"/>
      <c r="B463" s="1" t="s">
        <v>2467</v>
      </c>
      <c r="I463" s="73"/>
    </row>
    <row r="464" spans="1:9" x14ac:dyDescent="0.2">
      <c r="A464" s="72"/>
      <c r="B464" s="1" t="s">
        <v>2468</v>
      </c>
      <c r="I464" s="73"/>
    </row>
    <row r="465" spans="1:9" x14ac:dyDescent="0.2">
      <c r="A465" s="72"/>
      <c r="I465" s="73"/>
    </row>
    <row r="466" spans="1:9" x14ac:dyDescent="0.2">
      <c r="A466" s="72"/>
      <c r="D466" s="27">
        <v>1</v>
      </c>
      <c r="E466" s="27"/>
      <c r="F466" s="27">
        <v>0</v>
      </c>
      <c r="I466" s="73"/>
    </row>
    <row r="467" spans="1:9" x14ac:dyDescent="0.2">
      <c r="A467" s="72"/>
      <c r="C467" s="1" t="s">
        <v>2492</v>
      </c>
      <c r="D467" s="69">
        <v>100</v>
      </c>
      <c r="E467" s="20"/>
      <c r="F467" s="20">
        <v>100</v>
      </c>
      <c r="G467" s="1" t="s">
        <v>1902</v>
      </c>
      <c r="I467" s="73"/>
    </row>
    <row r="468" spans="1:9" x14ac:dyDescent="0.2">
      <c r="A468" s="72"/>
      <c r="D468" s="20"/>
      <c r="E468" s="20"/>
      <c r="F468" s="20">
        <v>-17</v>
      </c>
      <c r="G468" s="1" t="s">
        <v>2491</v>
      </c>
      <c r="I468" s="73"/>
    </row>
    <row r="469" spans="1:9" x14ac:dyDescent="0.2">
      <c r="A469" s="72"/>
      <c r="D469" s="20"/>
      <c r="E469" s="20"/>
      <c r="F469" s="69">
        <f>F467+F468</f>
        <v>83</v>
      </c>
      <c r="G469" s="1" t="s">
        <v>1904</v>
      </c>
      <c r="I469" s="73"/>
    </row>
    <row r="470" spans="1:9" x14ac:dyDescent="0.2">
      <c r="A470" s="72"/>
      <c r="I470" s="73"/>
    </row>
    <row r="471" spans="1:9" x14ac:dyDescent="0.2">
      <c r="A471" s="72" t="s">
        <v>2493</v>
      </c>
      <c r="E471" s="526">
        <f>100/83-1</f>
        <v>0.20481927710843384</v>
      </c>
      <c r="I471" s="73"/>
    </row>
    <row r="472" spans="1:9" ht="17" thickBot="1" x14ac:dyDescent="0.25">
      <c r="A472" s="15"/>
      <c r="B472" s="16"/>
      <c r="C472" s="16"/>
      <c r="D472" s="16"/>
      <c r="E472" s="527"/>
      <c r="F472" s="16"/>
      <c r="G472" s="16"/>
      <c r="H472" s="16"/>
      <c r="I472" s="17"/>
    </row>
    <row r="474" spans="1:9" x14ac:dyDescent="0.2">
      <c r="A474" s="18" t="s">
        <v>2526</v>
      </c>
    </row>
    <row r="492" spans="1:8" x14ac:dyDescent="0.2">
      <c r="A492" s="175" t="s">
        <v>1446</v>
      </c>
      <c r="B492" s="174"/>
      <c r="C492" s="174"/>
      <c r="D492" s="174"/>
      <c r="E492" s="174"/>
      <c r="F492" s="174"/>
      <c r="G492" s="174"/>
      <c r="H492" s="174"/>
    </row>
    <row r="494" spans="1:8" x14ac:dyDescent="0.2">
      <c r="A494" s="1" t="s">
        <v>1513</v>
      </c>
    </row>
    <row r="496" spans="1:8" x14ac:dyDescent="0.2">
      <c r="A496" s="128" t="s">
        <v>1077</v>
      </c>
      <c r="B496" s="128">
        <v>0</v>
      </c>
      <c r="C496" s="128">
        <v>1</v>
      </c>
      <c r="D496" s="128">
        <v>2</v>
      </c>
    </row>
    <row r="497" spans="1:7" x14ac:dyDescent="0.2">
      <c r="A497" s="128" t="s">
        <v>1510</v>
      </c>
      <c r="B497" s="128">
        <v>-1000</v>
      </c>
      <c r="C497" s="128">
        <v>1200</v>
      </c>
      <c r="D497" s="128">
        <v>800</v>
      </c>
    </row>
    <row r="498" spans="1:7" x14ac:dyDescent="0.2">
      <c r="A498" s="128" t="s">
        <v>1511</v>
      </c>
      <c r="B498" s="128">
        <v>-1000</v>
      </c>
      <c r="C498" s="128">
        <v>500</v>
      </c>
      <c r="D498" s="128">
        <v>900</v>
      </c>
    </row>
    <row r="499" spans="1:7" x14ac:dyDescent="0.2">
      <c r="A499" s="128" t="s">
        <v>1512</v>
      </c>
      <c r="B499" s="128">
        <v>-1000</v>
      </c>
      <c r="C499" s="128">
        <v>200</v>
      </c>
      <c r="D499" s="128">
        <v>2000</v>
      </c>
    </row>
    <row r="501" spans="1:7" x14ac:dyDescent="0.2">
      <c r="A501" s="1" t="s">
        <v>1710</v>
      </c>
    </row>
    <row r="502" spans="1:7" x14ac:dyDescent="0.2">
      <c r="A502" s="1" t="s">
        <v>1514</v>
      </c>
    </row>
    <row r="504" spans="1:7" x14ac:dyDescent="0.2">
      <c r="A504" s="1" t="s">
        <v>1515</v>
      </c>
    </row>
    <row r="505" spans="1:7" x14ac:dyDescent="0.2">
      <c r="G505" s="1" t="s">
        <v>84</v>
      </c>
    </row>
    <row r="506" spans="1:7" x14ac:dyDescent="0.2">
      <c r="B506" s="20" t="s">
        <v>1512</v>
      </c>
      <c r="C506" s="20" t="s">
        <v>1511</v>
      </c>
      <c r="D506" s="20" t="s">
        <v>1510</v>
      </c>
      <c r="G506" s="1" t="s">
        <v>1711</v>
      </c>
    </row>
    <row r="507" spans="1:7" x14ac:dyDescent="0.2">
      <c r="B507" s="20">
        <f>B499</f>
        <v>-1000</v>
      </c>
      <c r="C507" s="20">
        <f>B498</f>
        <v>-1000</v>
      </c>
      <c r="D507" s="20">
        <f>B497</f>
        <v>-1000</v>
      </c>
      <c r="E507" s="1">
        <v>1</v>
      </c>
    </row>
    <row r="508" spans="1:7" x14ac:dyDescent="0.2">
      <c r="B508" s="20">
        <f>C499</f>
        <v>200</v>
      </c>
      <c r="C508" s="20">
        <f>C498</f>
        <v>500</v>
      </c>
      <c r="D508" s="20">
        <f>C497</f>
        <v>1200</v>
      </c>
      <c r="E508" s="1">
        <v>2</v>
      </c>
    </row>
    <row r="509" spans="1:7" x14ac:dyDescent="0.2">
      <c r="B509" s="20">
        <f>D499</f>
        <v>2000</v>
      </c>
      <c r="C509" s="20">
        <f>D498</f>
        <v>900</v>
      </c>
      <c r="D509" s="20">
        <f>D497</f>
        <v>800</v>
      </c>
      <c r="E509" s="1">
        <v>3</v>
      </c>
    </row>
    <row r="510" spans="1:7" x14ac:dyDescent="0.2">
      <c r="B510" s="20"/>
      <c r="C510" s="20"/>
      <c r="D510" s="20"/>
    </row>
    <row r="511" spans="1:7" x14ac:dyDescent="0.2">
      <c r="B511" s="67">
        <f>NPV(5%,B508:B509)+B507</f>
        <v>1004.5351473922899</v>
      </c>
      <c r="C511" s="24">
        <f>NPV(5%,C508:C509)+C507</f>
        <v>292.51700680272097</v>
      </c>
      <c r="D511" s="24">
        <f>NPV(5%,D508:D509)+D507</f>
        <v>868.48072562358266</v>
      </c>
      <c r="E511" s="1" t="s">
        <v>1516</v>
      </c>
      <c r="F511" s="1" t="s">
        <v>1712</v>
      </c>
    </row>
    <row r="512" spans="1:7" x14ac:dyDescent="0.2">
      <c r="C512" s="24"/>
      <c r="D512" s="24"/>
      <c r="F512" s="1" t="s">
        <v>1714</v>
      </c>
    </row>
    <row r="513" spans="1:6" x14ac:dyDescent="0.2">
      <c r="B513" s="67">
        <f>NPV(10%,B508:B509)+B507</f>
        <v>834.7107438016526</v>
      </c>
      <c r="C513" s="24">
        <f>NPV(10%,C508:C509)+C507</f>
        <v>198.34710743801634</v>
      </c>
      <c r="D513" s="24">
        <f>NPV(10%,D508:D509)+D507</f>
        <v>752.06611570247924</v>
      </c>
      <c r="E513" s="1" t="s">
        <v>1517</v>
      </c>
      <c r="F513" s="1" t="s">
        <v>1712</v>
      </c>
    </row>
    <row r="514" spans="1:6" x14ac:dyDescent="0.2">
      <c r="C514" s="24"/>
      <c r="D514" s="24"/>
      <c r="F514" s="1" t="s">
        <v>1714</v>
      </c>
    </row>
    <row r="515" spans="1:6" x14ac:dyDescent="0.2">
      <c r="B515" s="24">
        <f t="shared" ref="B515:C515" si="7">NPV(25%,B508:B509)+B507</f>
        <v>440</v>
      </c>
      <c r="C515" s="24">
        <f t="shared" si="7"/>
        <v>-24</v>
      </c>
      <c r="D515" s="67">
        <f>NPV(25%,D508:D509)+D507</f>
        <v>472</v>
      </c>
      <c r="E515" s="1" t="s">
        <v>1518</v>
      </c>
      <c r="F515" s="1" t="s">
        <v>1713</v>
      </c>
    </row>
    <row r="516" spans="1:6" x14ac:dyDescent="0.2">
      <c r="B516" s="24"/>
      <c r="C516" s="24"/>
      <c r="F516" s="1" t="s">
        <v>1715</v>
      </c>
    </row>
    <row r="518" spans="1:6" x14ac:dyDescent="0.2">
      <c r="A518" s="1" t="s">
        <v>1519</v>
      </c>
    </row>
    <row r="519" spans="1:6" x14ac:dyDescent="0.2">
      <c r="A519" s="1" t="s">
        <v>1520</v>
      </c>
    </row>
    <row r="520" spans="1:6" x14ac:dyDescent="0.2">
      <c r="A520" s="1" t="s">
        <v>1521</v>
      </c>
    </row>
    <row r="531" spans="1:8" x14ac:dyDescent="0.2">
      <c r="A531" s="1" t="s">
        <v>1716</v>
      </c>
    </row>
    <row r="534" spans="1:8" x14ac:dyDescent="0.2">
      <c r="A534" s="175" t="s">
        <v>1565</v>
      </c>
      <c r="B534" s="174"/>
      <c r="C534" s="174"/>
      <c r="D534" s="174"/>
      <c r="E534" s="174"/>
      <c r="F534" s="174"/>
      <c r="G534" s="174"/>
      <c r="H534" s="174"/>
    </row>
    <row r="548" spans="1:8" x14ac:dyDescent="0.2">
      <c r="A548" s="1" t="s">
        <v>2675</v>
      </c>
    </row>
    <row r="549" spans="1:8" x14ac:dyDescent="0.2">
      <c r="A549" s="1" t="s">
        <v>2676</v>
      </c>
    </row>
    <row r="550" spans="1:8" x14ac:dyDescent="0.2">
      <c r="A550" s="1" t="s">
        <v>2677</v>
      </c>
    </row>
    <row r="551" spans="1:8" x14ac:dyDescent="0.2">
      <c r="A551" s="1" t="s">
        <v>2678</v>
      </c>
    </row>
    <row r="552" spans="1:8" x14ac:dyDescent="0.2">
      <c r="A552" s="1" t="s">
        <v>2679</v>
      </c>
    </row>
    <row r="554" spans="1:8" x14ac:dyDescent="0.2">
      <c r="C554" s="20">
        <v>2.5</v>
      </c>
      <c r="G554" s="20">
        <v>0</v>
      </c>
    </row>
    <row r="555" spans="1:8" x14ac:dyDescent="0.2">
      <c r="C555" s="20"/>
      <c r="G555" s="20"/>
    </row>
    <row r="556" spans="1:8" x14ac:dyDescent="0.2">
      <c r="C556" s="24">
        <v>112000</v>
      </c>
      <c r="D556" s="1" t="s">
        <v>2674</v>
      </c>
      <c r="G556" s="24">
        <v>100000</v>
      </c>
      <c r="H556" s="1" t="s">
        <v>1902</v>
      </c>
    </row>
    <row r="558" spans="1:8" x14ac:dyDescent="0.2">
      <c r="D558" s="37">
        <v>0.12</v>
      </c>
      <c r="G558" s="1" t="s">
        <v>2680</v>
      </c>
    </row>
    <row r="560" spans="1:8" x14ac:dyDescent="0.2">
      <c r="A560" s="1" t="s">
        <v>2681</v>
      </c>
    </row>
    <row r="561" spans="1:8" x14ac:dyDescent="0.2">
      <c r="A561" s="1" t="s">
        <v>2682</v>
      </c>
    </row>
    <row r="563" spans="1:8" x14ac:dyDescent="0.2">
      <c r="D563" s="345">
        <f>(1+12%)^(1/2.5)-1</f>
        <v>4.6374648548560771E-2</v>
      </c>
    </row>
    <row r="567" spans="1:8" x14ac:dyDescent="0.2">
      <c r="A567" s="175" t="s">
        <v>1473</v>
      </c>
      <c r="B567" s="174"/>
      <c r="C567" s="174"/>
      <c r="D567" s="174"/>
      <c r="E567" s="174"/>
      <c r="F567" s="174"/>
      <c r="G567" s="174"/>
      <c r="H567" s="174"/>
    </row>
    <row r="582" spans="1:12" x14ac:dyDescent="0.2">
      <c r="A582" s="1" t="s">
        <v>1474</v>
      </c>
    </row>
    <row r="583" spans="1:12" x14ac:dyDescent="0.2">
      <c r="A583" s="1" t="s">
        <v>1475</v>
      </c>
    </row>
    <row r="584" spans="1:12" x14ac:dyDescent="0.2">
      <c r="A584" s="1" t="s">
        <v>1476</v>
      </c>
      <c r="H584" s="1" t="s">
        <v>19</v>
      </c>
    </row>
    <row r="585" spans="1:12" x14ac:dyDescent="0.2">
      <c r="A585" s="1" t="s">
        <v>2786</v>
      </c>
      <c r="H585" s="1" t="s">
        <v>362</v>
      </c>
      <c r="L585" s="1" t="s">
        <v>2789</v>
      </c>
    </row>
    <row r="586" spans="1:12" x14ac:dyDescent="0.2">
      <c r="L586" s="1" t="s">
        <v>2790</v>
      </c>
    </row>
    <row r="587" spans="1:12" x14ac:dyDescent="0.2">
      <c r="C587" s="1" t="s">
        <v>1720</v>
      </c>
      <c r="I587" s="1" t="s">
        <v>1719</v>
      </c>
    </row>
    <row r="589" spans="1:12" x14ac:dyDescent="0.2">
      <c r="B589" s="20" t="s">
        <v>1717</v>
      </c>
      <c r="C589" s="20">
        <v>13</v>
      </c>
      <c r="D589" s="20">
        <v>11</v>
      </c>
      <c r="E589" s="20">
        <v>9</v>
      </c>
      <c r="F589" s="20">
        <v>7</v>
      </c>
      <c r="G589" s="20">
        <v>5</v>
      </c>
      <c r="H589" s="20">
        <v>4</v>
      </c>
      <c r="I589" s="46">
        <v>3</v>
      </c>
      <c r="J589" s="20">
        <v>2</v>
      </c>
      <c r="K589" s="20">
        <v>1</v>
      </c>
      <c r="L589" s="20">
        <v>0</v>
      </c>
    </row>
    <row r="592" spans="1:12" x14ac:dyDescent="0.2">
      <c r="D592" s="20" t="s">
        <v>75</v>
      </c>
      <c r="E592" s="20" t="s">
        <v>61</v>
      </c>
      <c r="I592" s="20" t="s">
        <v>75</v>
      </c>
      <c r="J592" s="1" t="s">
        <v>61</v>
      </c>
      <c r="L592" s="20" t="s">
        <v>64</v>
      </c>
    </row>
    <row r="593" spans="1:12" x14ac:dyDescent="0.2">
      <c r="D593" s="20">
        <v>9999</v>
      </c>
      <c r="E593" s="20" t="s">
        <v>62</v>
      </c>
      <c r="F593" s="1" t="s">
        <v>1718</v>
      </c>
      <c r="I593" s="20">
        <v>4</v>
      </c>
      <c r="J593" s="1" t="s">
        <v>62</v>
      </c>
      <c r="L593" s="20" t="s">
        <v>2787</v>
      </c>
    </row>
    <row r="594" spans="1:12" x14ac:dyDescent="0.2">
      <c r="C594" s="1" t="s">
        <v>1721</v>
      </c>
      <c r="D594" s="20">
        <v>25.44</v>
      </c>
      <c r="E594" s="20" t="s">
        <v>63</v>
      </c>
      <c r="I594" s="20">
        <v>12</v>
      </c>
      <c r="J594" s="1" t="s">
        <v>63</v>
      </c>
      <c r="L594" s="20" t="s">
        <v>1928</v>
      </c>
    </row>
    <row r="595" spans="1:12" x14ac:dyDescent="0.2">
      <c r="D595" s="50">
        <f>-5000/0.2544</f>
        <v>-19654.088050314465</v>
      </c>
      <c r="E595" s="20" t="s">
        <v>64</v>
      </c>
      <c r="F595" s="1" t="s">
        <v>1152</v>
      </c>
      <c r="I595" s="20" t="s">
        <v>306</v>
      </c>
      <c r="J595" s="1" t="s">
        <v>64</v>
      </c>
      <c r="L595" s="20" t="s">
        <v>2788</v>
      </c>
    </row>
    <row r="596" spans="1:12" x14ac:dyDescent="0.2">
      <c r="D596" s="20">
        <v>5000</v>
      </c>
      <c r="E596" s="20" t="s">
        <v>65</v>
      </c>
      <c r="I596" s="20">
        <v>7000</v>
      </c>
      <c r="J596" s="1" t="s">
        <v>65</v>
      </c>
    </row>
    <row r="597" spans="1:12" x14ac:dyDescent="0.2">
      <c r="I597" s="20"/>
    </row>
    <row r="598" spans="1:12" x14ac:dyDescent="0.2">
      <c r="I598" s="20"/>
    </row>
    <row r="599" spans="1:12" x14ac:dyDescent="0.2">
      <c r="A599" s="1" t="s">
        <v>1477</v>
      </c>
    </row>
    <row r="600" spans="1:12" x14ac:dyDescent="0.2">
      <c r="A600" s="1" t="s">
        <v>1478</v>
      </c>
    </row>
    <row r="601" spans="1:12" x14ac:dyDescent="0.2">
      <c r="A601" s="1" t="s">
        <v>1479</v>
      </c>
    </row>
    <row r="602" spans="1:12" x14ac:dyDescent="0.2">
      <c r="A602" s="1" t="s">
        <v>1480</v>
      </c>
    </row>
    <row r="603" spans="1:12" x14ac:dyDescent="0.2">
      <c r="A603" s="1" t="s">
        <v>1481</v>
      </c>
    </row>
    <row r="604" spans="1:12" x14ac:dyDescent="0.2">
      <c r="A604" s="1" t="s">
        <v>1484</v>
      </c>
    </row>
    <row r="605" spans="1:12" x14ac:dyDescent="0.2">
      <c r="A605" s="1" t="s">
        <v>1485</v>
      </c>
    </row>
    <row r="606" spans="1:12" x14ac:dyDescent="0.2">
      <c r="A606" s="1" t="s">
        <v>1486</v>
      </c>
    </row>
    <row r="607" spans="1:12" x14ac:dyDescent="0.2">
      <c r="A607" s="1" t="s">
        <v>1487</v>
      </c>
    </row>
    <row r="608" spans="1:12" x14ac:dyDescent="0.2">
      <c r="A608" s="1" t="s">
        <v>1488</v>
      </c>
    </row>
    <row r="610" spans="1:9" x14ac:dyDescent="0.2">
      <c r="C610" s="1" t="s">
        <v>1734</v>
      </c>
      <c r="F610" s="1" t="s">
        <v>1722</v>
      </c>
    </row>
    <row r="611" spans="1:9" x14ac:dyDescent="0.2">
      <c r="C611" s="1" t="s">
        <v>1735</v>
      </c>
      <c r="F611" s="1" t="s">
        <v>1723</v>
      </c>
    </row>
    <row r="613" spans="1:9" ht="17" thickBot="1" x14ac:dyDescent="0.25">
      <c r="F613" s="20" t="s">
        <v>1482</v>
      </c>
      <c r="G613" s="20" t="s">
        <v>1482</v>
      </c>
      <c r="H613" s="20"/>
    </row>
    <row r="614" spans="1:9" x14ac:dyDescent="0.2">
      <c r="C614" s="20" t="s">
        <v>1483</v>
      </c>
      <c r="D614" s="1" t="s">
        <v>60</v>
      </c>
      <c r="F614" s="195" t="s">
        <v>1489</v>
      </c>
      <c r="G614" s="196" t="s">
        <v>2791</v>
      </c>
      <c r="H614" s="20" t="s">
        <v>60</v>
      </c>
    </row>
    <row r="615" spans="1:9" x14ac:dyDescent="0.2">
      <c r="C615" s="20" t="s">
        <v>75</v>
      </c>
      <c r="D615" s="1" t="s">
        <v>111</v>
      </c>
      <c r="F615" s="20" t="s">
        <v>75</v>
      </c>
      <c r="G615" s="20" t="s">
        <v>75</v>
      </c>
      <c r="H615" s="20" t="s">
        <v>111</v>
      </c>
    </row>
    <row r="616" spans="1:9" x14ac:dyDescent="0.2">
      <c r="C616" s="20">
        <v>4</v>
      </c>
      <c r="D616" s="1" t="s">
        <v>62</v>
      </c>
      <c r="F616" s="20">
        <v>3</v>
      </c>
      <c r="G616" s="20">
        <v>999</v>
      </c>
      <c r="H616" s="20" t="s">
        <v>62</v>
      </c>
    </row>
    <row r="617" spans="1:9" x14ac:dyDescent="0.2">
      <c r="C617" s="20">
        <v>12</v>
      </c>
      <c r="D617" s="1" t="s">
        <v>63</v>
      </c>
      <c r="F617" s="20">
        <v>12</v>
      </c>
      <c r="G617" s="20">
        <f>(1.12^2-1)*100</f>
        <v>25.440000000000019</v>
      </c>
      <c r="H617" s="20" t="s">
        <v>63</v>
      </c>
    </row>
    <row r="618" spans="1:9" x14ac:dyDescent="0.2">
      <c r="C618" s="54">
        <f>PV(C617/100,C616,C619,C620)</f>
        <v>-21261.445426384849</v>
      </c>
      <c r="D618" s="1" t="s">
        <v>64</v>
      </c>
      <c r="F618" s="199">
        <f>PV(F617/100,F616,F619,F620)</f>
        <v>-13989.39166299942</v>
      </c>
      <c r="G618" s="197">
        <f>PV(G617/100,G616,G619,G620)</f>
        <v>-19654.088050314454</v>
      </c>
      <c r="H618" s="20" t="s">
        <v>64</v>
      </c>
      <c r="I618" s="1" t="s">
        <v>456</v>
      </c>
    </row>
    <row r="619" spans="1:9" x14ac:dyDescent="0.2">
      <c r="A619" s="1" t="s">
        <v>1736</v>
      </c>
      <c r="C619" s="20">
        <v>7000</v>
      </c>
      <c r="D619" s="1" t="s">
        <v>65</v>
      </c>
      <c r="F619" s="20">
        <v>0</v>
      </c>
      <c r="G619" s="20">
        <v>5000</v>
      </c>
      <c r="H619" s="20" t="s">
        <v>65</v>
      </c>
    </row>
    <row r="620" spans="1:9" x14ac:dyDescent="0.2">
      <c r="A620" s="1" t="s">
        <v>1737</v>
      </c>
      <c r="C620" s="30">
        <v>0</v>
      </c>
      <c r="D620" s="1" t="s">
        <v>66</v>
      </c>
      <c r="F620" s="198">
        <f>-G618</f>
        <v>19654.088050314454</v>
      </c>
      <c r="G620" s="20">
        <v>0</v>
      </c>
      <c r="H620" s="20" t="s">
        <v>66</v>
      </c>
    </row>
    <row r="621" spans="1:9" x14ac:dyDescent="0.2">
      <c r="A621" s="1" t="s">
        <v>1738</v>
      </c>
    </row>
    <row r="622" spans="1:9" x14ac:dyDescent="0.2">
      <c r="A622" s="1" t="s">
        <v>1739</v>
      </c>
    </row>
    <row r="623" spans="1:9" x14ac:dyDescent="0.2">
      <c r="A623" s="1" t="s">
        <v>1740</v>
      </c>
      <c r="F623" s="1" t="s">
        <v>1728</v>
      </c>
      <c r="G623" s="1" t="s">
        <v>1724</v>
      </c>
    </row>
    <row r="624" spans="1:9" x14ac:dyDescent="0.2">
      <c r="F624" s="1" t="s">
        <v>1729</v>
      </c>
      <c r="G624" s="1" t="s">
        <v>1725</v>
      </c>
    </row>
    <row r="625" spans="1:8" x14ac:dyDescent="0.2">
      <c r="F625" s="1" t="s">
        <v>489</v>
      </c>
      <c r="G625" s="1" t="s">
        <v>1726</v>
      </c>
    </row>
    <row r="626" spans="1:8" x14ac:dyDescent="0.2">
      <c r="F626" s="1" t="s">
        <v>1730</v>
      </c>
      <c r="G626" s="1" t="s">
        <v>1727</v>
      </c>
    </row>
    <row r="627" spans="1:8" x14ac:dyDescent="0.2">
      <c r="A627" s="1" t="s">
        <v>1490</v>
      </c>
      <c r="F627" s="1" t="s">
        <v>1731</v>
      </c>
    </row>
    <row r="628" spans="1:8" x14ac:dyDescent="0.2">
      <c r="B628" s="1" t="s">
        <v>362</v>
      </c>
      <c r="D628" s="363">
        <f>-F618</f>
        <v>13989.39166299942</v>
      </c>
      <c r="F628" s="1" t="s">
        <v>1732</v>
      </c>
    </row>
    <row r="629" spans="1:8" ht="17" thickBot="1" x14ac:dyDescent="0.25">
      <c r="B629" s="1" t="s">
        <v>1491</v>
      </c>
      <c r="D629" s="363">
        <f>-C618</f>
        <v>21261.445426384849</v>
      </c>
      <c r="F629" s="1" t="s">
        <v>1733</v>
      </c>
    </row>
    <row r="630" spans="1:8" ht="17" thickBot="1" x14ac:dyDescent="0.25">
      <c r="B630" s="1" t="s">
        <v>259</v>
      </c>
      <c r="D630" s="200">
        <f>D628+D629</f>
        <v>35250.837089384266</v>
      </c>
    </row>
    <row r="632" spans="1:8" x14ac:dyDescent="0.2">
      <c r="A632" s="18" t="s">
        <v>1492</v>
      </c>
    </row>
    <row r="633" spans="1:8" x14ac:dyDescent="0.2">
      <c r="A633" s="1" t="s">
        <v>1493</v>
      </c>
    </row>
    <row r="634" spans="1:8" x14ac:dyDescent="0.2">
      <c r="A634" s="1" t="s">
        <v>1494</v>
      </c>
    </row>
    <row r="635" spans="1:8" x14ac:dyDescent="0.2">
      <c r="A635" s="1" t="s">
        <v>1495</v>
      </c>
    </row>
    <row r="636" spans="1:8" x14ac:dyDescent="0.2">
      <c r="A636" s="1" t="s">
        <v>1496</v>
      </c>
    </row>
    <row r="639" spans="1:8" x14ac:dyDescent="0.2">
      <c r="A639" s="175" t="s">
        <v>1214</v>
      </c>
      <c r="B639" s="174"/>
      <c r="C639" s="174"/>
      <c r="D639" s="174"/>
      <c r="E639" s="174"/>
      <c r="F639" s="174"/>
      <c r="G639" s="174"/>
      <c r="H639" s="174"/>
    </row>
    <row r="641" spans="1:13" x14ac:dyDescent="0.2">
      <c r="A641" s="1" t="s">
        <v>1535</v>
      </c>
    </row>
    <row r="642" spans="1:13" x14ac:dyDescent="0.2">
      <c r="A642" s="1" t="s">
        <v>1536</v>
      </c>
    </row>
    <row r="643" spans="1:13" x14ac:dyDescent="0.2">
      <c r="A643" s="1" t="s">
        <v>1537</v>
      </c>
    </row>
    <row r="645" spans="1:13" x14ac:dyDescent="0.2">
      <c r="A645" s="1" t="s">
        <v>146</v>
      </c>
    </row>
    <row r="647" spans="1:13" x14ac:dyDescent="0.2">
      <c r="A647" s="1" t="s">
        <v>1543</v>
      </c>
    </row>
    <row r="648" spans="1:13" x14ac:dyDescent="0.2">
      <c r="A648" s="1" t="s">
        <v>1544</v>
      </c>
    </row>
    <row r="649" spans="1:13" x14ac:dyDescent="0.2">
      <c r="A649" s="1" t="s">
        <v>1538</v>
      </c>
    </row>
    <row r="650" spans="1:13" x14ac:dyDescent="0.2">
      <c r="A650" s="1" t="s">
        <v>1545</v>
      </c>
      <c r="J650" s="1" t="s">
        <v>739</v>
      </c>
      <c r="K650" s="1" t="s">
        <v>216</v>
      </c>
      <c r="L650" s="1" t="s">
        <v>1743</v>
      </c>
      <c r="M650" s="1" t="s">
        <v>1742</v>
      </c>
    </row>
    <row r="651" spans="1:13" ht="17" thickBot="1" x14ac:dyDescent="0.25">
      <c r="J651" s="1">
        <v>0</v>
      </c>
      <c r="M651" s="3">
        <v>5000</v>
      </c>
    </row>
    <row r="652" spans="1:13" ht="17" thickBot="1" x14ac:dyDescent="0.25">
      <c r="A652" s="1" t="s">
        <v>1539</v>
      </c>
      <c r="J652" s="1">
        <v>1</v>
      </c>
      <c r="K652" s="1">
        <f>M651*6%</f>
        <v>300</v>
      </c>
      <c r="L652" s="1">
        <f>1000-K652</f>
        <v>700</v>
      </c>
      <c r="M652" s="201">
        <f>M651-L652</f>
        <v>4300</v>
      </c>
    </row>
    <row r="653" spans="1:13" x14ac:dyDescent="0.2">
      <c r="A653" s="1" t="s">
        <v>1741</v>
      </c>
    </row>
    <row r="654" spans="1:13" x14ac:dyDescent="0.2">
      <c r="A654" s="1" t="s">
        <v>1540</v>
      </c>
      <c r="F654" s="1">
        <f>5000*(1+6%)</f>
        <v>5300</v>
      </c>
    </row>
    <row r="655" spans="1:13" x14ac:dyDescent="0.2">
      <c r="A655" s="1" t="s">
        <v>1541</v>
      </c>
      <c r="F655" s="1">
        <f>F654-1000</f>
        <v>4300</v>
      </c>
    </row>
    <row r="656" spans="1:13" x14ac:dyDescent="0.2">
      <c r="A656" s="1" t="s">
        <v>1542</v>
      </c>
      <c r="M656" s="1" t="s">
        <v>1744</v>
      </c>
    </row>
    <row r="657" spans="1:13" x14ac:dyDescent="0.2">
      <c r="M657" s="1" t="s">
        <v>1745</v>
      </c>
    </row>
    <row r="658" spans="1:13" x14ac:dyDescent="0.2">
      <c r="E658" s="20"/>
      <c r="F658" s="20" t="s">
        <v>60</v>
      </c>
    </row>
    <row r="659" spans="1:13" x14ac:dyDescent="0.2">
      <c r="E659" s="20" t="s">
        <v>75</v>
      </c>
      <c r="F659" s="20" t="s">
        <v>111</v>
      </c>
    </row>
    <row r="660" spans="1:13" x14ac:dyDescent="0.2">
      <c r="E660" s="20">
        <v>9</v>
      </c>
      <c r="F660" s="20" t="s">
        <v>62</v>
      </c>
      <c r="G660" s="1" t="s">
        <v>1746</v>
      </c>
    </row>
    <row r="661" spans="1:13" x14ac:dyDescent="0.2">
      <c r="E661" s="20">
        <v>6</v>
      </c>
      <c r="F661" s="20" t="s">
        <v>63</v>
      </c>
      <c r="G661" s="1" t="s">
        <v>513</v>
      </c>
    </row>
    <row r="662" spans="1:13" x14ac:dyDescent="0.2">
      <c r="E662" s="20">
        <f>F655</f>
        <v>4300</v>
      </c>
      <c r="F662" s="20" t="s">
        <v>64</v>
      </c>
      <c r="G662" s="1" t="s">
        <v>1747</v>
      </c>
    </row>
    <row r="663" spans="1:13" x14ac:dyDescent="0.2">
      <c r="E663" s="202">
        <f>PMT(E661/100,E660,E662,E664)</f>
        <v>-632.19561051317396</v>
      </c>
      <c r="F663" s="20" t="s">
        <v>65</v>
      </c>
      <c r="G663" s="1" t="s">
        <v>77</v>
      </c>
    </row>
    <row r="664" spans="1:13" x14ac:dyDescent="0.2">
      <c r="E664" s="20">
        <v>0</v>
      </c>
      <c r="F664" s="20" t="s">
        <v>66</v>
      </c>
      <c r="G664" s="1" t="s">
        <v>1748</v>
      </c>
    </row>
    <row r="666" spans="1:13" x14ac:dyDescent="0.2">
      <c r="A666" s="175" t="s">
        <v>1228</v>
      </c>
      <c r="B666" s="174"/>
      <c r="C666" s="174"/>
      <c r="D666" s="174"/>
      <c r="E666" s="174"/>
      <c r="F666" s="174"/>
      <c r="G666" s="174"/>
      <c r="H666" s="174"/>
    </row>
    <row r="668" spans="1:13" x14ac:dyDescent="0.2">
      <c r="A668" s="1" t="s">
        <v>1546</v>
      </c>
    </row>
    <row r="669" spans="1:13" x14ac:dyDescent="0.2">
      <c r="A669" s="1" t="s">
        <v>1548</v>
      </c>
    </row>
    <row r="671" spans="1:13" x14ac:dyDescent="0.2">
      <c r="A671" s="1" t="s">
        <v>1547</v>
      </c>
    </row>
    <row r="672" spans="1:13" x14ac:dyDescent="0.2">
      <c r="E672" s="178">
        <f>(1+6.12%)^(1/3)-1</f>
        <v>1.9997436876809216E-2</v>
      </c>
    </row>
    <row r="674" spans="1:6" x14ac:dyDescent="0.2">
      <c r="A674" s="1" t="s">
        <v>1549</v>
      </c>
    </row>
    <row r="675" spans="1:6" x14ac:dyDescent="0.2">
      <c r="A675" s="1" t="s">
        <v>1550</v>
      </c>
    </row>
    <row r="676" spans="1:6" x14ac:dyDescent="0.2">
      <c r="A676" s="1" t="s">
        <v>1551</v>
      </c>
    </row>
    <row r="679" spans="1:6" x14ac:dyDescent="0.2">
      <c r="D679" s="20" t="s">
        <v>1556</v>
      </c>
      <c r="E679" s="20" t="s">
        <v>1555</v>
      </c>
      <c r="F679" s="1" t="s">
        <v>60</v>
      </c>
    </row>
    <row r="680" spans="1:6" x14ac:dyDescent="0.2">
      <c r="D680" s="20" t="s">
        <v>75</v>
      </c>
      <c r="E680" s="20" t="s">
        <v>75</v>
      </c>
      <c r="F680" s="1" t="s">
        <v>111</v>
      </c>
    </row>
    <row r="681" spans="1:6" x14ac:dyDescent="0.2">
      <c r="D681" s="20">
        <v>1</v>
      </c>
      <c r="E681" s="20">
        <v>36</v>
      </c>
      <c r="F681" s="1" t="s">
        <v>62</v>
      </c>
    </row>
    <row r="682" spans="1:6" x14ac:dyDescent="0.2">
      <c r="D682" s="20">
        <f>E682</f>
        <v>2</v>
      </c>
      <c r="E682" s="20">
        <v>2</v>
      </c>
      <c r="F682" s="1" t="s">
        <v>63</v>
      </c>
    </row>
    <row r="683" spans="1:6" x14ac:dyDescent="0.2">
      <c r="D683" s="20">
        <v>0</v>
      </c>
      <c r="E683" s="20">
        <v>-1000</v>
      </c>
      <c r="F683" s="1" t="s">
        <v>1552</v>
      </c>
    </row>
    <row r="684" spans="1:6" x14ac:dyDescent="0.2">
      <c r="D684" s="67">
        <f>PV(D682/100,D681,D683,D685)</f>
        <v>24989.061257242531</v>
      </c>
      <c r="E684" s="24">
        <f>PV(E682/100,E681,E683,E685)</f>
        <v>25488.842482387383</v>
      </c>
      <c r="F684" s="1" t="s">
        <v>1553</v>
      </c>
    </row>
    <row r="685" spans="1:6" x14ac:dyDescent="0.2">
      <c r="D685" s="24">
        <f>-E684</f>
        <v>-25488.842482387383</v>
      </c>
      <c r="E685" s="24">
        <v>0</v>
      </c>
      <c r="F685" s="1" t="s">
        <v>1554</v>
      </c>
    </row>
    <row r="705" spans="1:9" x14ac:dyDescent="0.2">
      <c r="A705" s="1" t="s">
        <v>146</v>
      </c>
    </row>
    <row r="706" spans="1:9" x14ac:dyDescent="0.2">
      <c r="A706" s="1" t="s">
        <v>2683</v>
      </c>
    </row>
    <row r="707" spans="1:9" x14ac:dyDescent="0.2">
      <c r="A707" s="1" t="s">
        <v>2684</v>
      </c>
    </row>
    <row r="708" spans="1:9" x14ac:dyDescent="0.2">
      <c r="A708" s="1" t="s">
        <v>2685</v>
      </c>
    </row>
    <row r="709" spans="1:9" x14ac:dyDescent="0.2">
      <c r="A709" s="1" t="s">
        <v>2686</v>
      </c>
    </row>
    <row r="711" spans="1:9" x14ac:dyDescent="0.2">
      <c r="A711" s="1" t="s">
        <v>2687</v>
      </c>
    </row>
    <row r="713" spans="1:9" x14ac:dyDescent="0.2">
      <c r="B713" s="1" t="s">
        <v>2688</v>
      </c>
    </row>
    <row r="714" spans="1:9" x14ac:dyDescent="0.2">
      <c r="B714" s="1" t="s">
        <v>2689</v>
      </c>
      <c r="H714" s="37">
        <v>0.05</v>
      </c>
      <c r="I714" s="1" t="s">
        <v>2690</v>
      </c>
    </row>
    <row r="716" spans="1:9" x14ac:dyDescent="0.2">
      <c r="B716" s="1" t="s">
        <v>2691</v>
      </c>
    </row>
    <row r="717" spans="1:9" x14ac:dyDescent="0.2">
      <c r="G717" s="168">
        <f>1.05^4-1</f>
        <v>0.21550625000000001</v>
      </c>
      <c r="I717" s="1" t="s">
        <v>2692</v>
      </c>
    </row>
    <row r="719" spans="1:9" x14ac:dyDescent="0.2">
      <c r="A719" s="1" t="s">
        <v>2693</v>
      </c>
    </row>
    <row r="727" spans="3:3" x14ac:dyDescent="0.2">
      <c r="C727" s="234">
        <f>(1.21551/1.15)-1</f>
        <v>5.6965217391304446E-2</v>
      </c>
    </row>
    <row r="745" spans="1:2" x14ac:dyDescent="0.2">
      <c r="A745" s="1" t="s">
        <v>2694</v>
      </c>
    </row>
    <row r="746" spans="1:2" x14ac:dyDescent="0.2">
      <c r="A746" s="1" t="s">
        <v>2695</v>
      </c>
      <c r="B746" s="1" t="s">
        <v>2696</v>
      </c>
    </row>
    <row r="747" spans="1:2" x14ac:dyDescent="0.2">
      <c r="B747" s="1" t="s">
        <v>2697</v>
      </c>
    </row>
    <row r="748" spans="1:2" x14ac:dyDescent="0.2">
      <c r="B748" s="1" t="s">
        <v>2698</v>
      </c>
    </row>
    <row r="749" spans="1:2" x14ac:dyDescent="0.2">
      <c r="B749" s="1" t="s">
        <v>2699</v>
      </c>
    </row>
    <row r="750" spans="1:2" x14ac:dyDescent="0.2">
      <c r="B750" s="1" t="s">
        <v>2700</v>
      </c>
    </row>
    <row r="765" spans="1:9" ht="17" thickBot="1" x14ac:dyDescent="0.25"/>
    <row r="766" spans="1:9" x14ac:dyDescent="0.2">
      <c r="A766" s="12" t="s">
        <v>2462</v>
      </c>
      <c r="B766" s="13" t="s">
        <v>2463</v>
      </c>
      <c r="C766" s="13"/>
      <c r="D766" s="13"/>
      <c r="E766" s="13"/>
      <c r="F766" s="13"/>
      <c r="G766" s="13"/>
      <c r="H766" s="13" t="s">
        <v>2466</v>
      </c>
      <c r="I766" s="14"/>
    </row>
    <row r="767" spans="1:9" x14ac:dyDescent="0.2">
      <c r="A767" s="72"/>
      <c r="B767" s="1" t="s">
        <v>2464</v>
      </c>
      <c r="H767" s="18" t="s">
        <v>2500</v>
      </c>
      <c r="I767" s="73"/>
    </row>
    <row r="768" spans="1:9" x14ac:dyDescent="0.2">
      <c r="A768" s="72"/>
      <c r="B768" s="1" t="s">
        <v>2467</v>
      </c>
      <c r="I768" s="73"/>
    </row>
    <row r="769" spans="1:9" x14ac:dyDescent="0.2">
      <c r="A769" s="72"/>
      <c r="B769" s="1" t="s">
        <v>2468</v>
      </c>
      <c r="I769" s="73"/>
    </row>
    <row r="770" spans="1:9" x14ac:dyDescent="0.2">
      <c r="A770" s="72"/>
      <c r="I770" s="73"/>
    </row>
    <row r="771" spans="1:9" x14ac:dyDescent="0.2">
      <c r="A771" s="72" t="s">
        <v>2465</v>
      </c>
      <c r="B771" s="1" t="s">
        <v>2475</v>
      </c>
      <c r="H771" s="1" t="s">
        <v>2478</v>
      </c>
      <c r="I771" s="73"/>
    </row>
    <row r="772" spans="1:9" x14ac:dyDescent="0.2">
      <c r="A772" s="72"/>
      <c r="B772" s="1" t="s">
        <v>2476</v>
      </c>
      <c r="I772" s="73"/>
    </row>
    <row r="773" spans="1:9" x14ac:dyDescent="0.2">
      <c r="A773" s="72"/>
      <c r="B773" s="1" t="s">
        <v>2477</v>
      </c>
      <c r="I773" s="73"/>
    </row>
    <row r="774" spans="1:9" x14ac:dyDescent="0.2">
      <c r="A774" s="72"/>
      <c r="I774" s="73"/>
    </row>
    <row r="775" spans="1:9" x14ac:dyDescent="0.2">
      <c r="A775" s="72" t="s">
        <v>2494</v>
      </c>
      <c r="B775" s="1" t="s">
        <v>2495</v>
      </c>
      <c r="I775" s="73"/>
    </row>
    <row r="776" spans="1:9" x14ac:dyDescent="0.2">
      <c r="A776" s="72"/>
      <c r="B776" s="1" t="s">
        <v>2496</v>
      </c>
      <c r="I776" s="73"/>
    </row>
    <row r="777" spans="1:9" x14ac:dyDescent="0.2">
      <c r="A777" s="72"/>
      <c r="B777" s="1" t="s">
        <v>2497</v>
      </c>
      <c r="I777" s="73"/>
    </row>
    <row r="778" spans="1:9" x14ac:dyDescent="0.2">
      <c r="A778" s="72"/>
      <c r="B778" s="1" t="s">
        <v>2498</v>
      </c>
      <c r="I778" s="73"/>
    </row>
    <row r="779" spans="1:9" x14ac:dyDescent="0.2">
      <c r="A779" s="72"/>
      <c r="B779" s="1" t="s">
        <v>2499</v>
      </c>
      <c r="I779" s="73"/>
    </row>
    <row r="780" spans="1:9" x14ac:dyDescent="0.2">
      <c r="A780" s="72"/>
      <c r="I780" s="73"/>
    </row>
    <row r="781" spans="1:9" x14ac:dyDescent="0.2">
      <c r="A781" s="72" t="s">
        <v>2509</v>
      </c>
      <c r="B781" s="1" t="s">
        <v>2510</v>
      </c>
      <c r="I781" s="73"/>
    </row>
    <row r="782" spans="1:9" x14ac:dyDescent="0.2">
      <c r="A782" s="72"/>
      <c r="B782" s="1" t="s">
        <v>2511</v>
      </c>
      <c r="I782" s="73"/>
    </row>
    <row r="783" spans="1:9" x14ac:dyDescent="0.2">
      <c r="A783" s="72"/>
      <c r="B783" s="1" t="s">
        <v>2512</v>
      </c>
      <c r="I783" s="73"/>
    </row>
    <row r="784" spans="1:9" ht="17" thickBot="1" x14ac:dyDescent="0.25">
      <c r="A784" s="15"/>
      <c r="B784" s="16" t="s">
        <v>2513</v>
      </c>
      <c r="C784" s="16"/>
      <c r="D784" s="16"/>
      <c r="E784" s="16"/>
      <c r="F784" s="16"/>
      <c r="G784" s="16"/>
      <c r="H784" s="16"/>
      <c r="I784" s="17"/>
    </row>
    <row r="785" spans="1:9" x14ac:dyDescent="0.2">
      <c r="A785" s="72"/>
      <c r="I785" s="73"/>
    </row>
    <row r="786" spans="1:9" x14ac:dyDescent="0.2">
      <c r="A786" s="72" t="s">
        <v>2529</v>
      </c>
      <c r="B786" s="1" t="s">
        <v>2530</v>
      </c>
      <c r="I786" s="73"/>
    </row>
    <row r="787" spans="1:9" x14ac:dyDescent="0.2">
      <c r="A787" s="72"/>
      <c r="B787" s="1" t="s">
        <v>2531</v>
      </c>
      <c r="I787" s="73"/>
    </row>
    <row r="788" spans="1:9" x14ac:dyDescent="0.2">
      <c r="A788" s="72"/>
      <c r="B788" s="18" t="s">
        <v>2532</v>
      </c>
      <c r="I788" s="73"/>
    </row>
    <row r="789" spans="1:9" x14ac:dyDescent="0.2">
      <c r="A789" s="72"/>
      <c r="B789" s="18" t="s">
        <v>2533</v>
      </c>
      <c r="I789" s="73"/>
    </row>
    <row r="790" spans="1:9" ht="17" thickBot="1" x14ac:dyDescent="0.25">
      <c r="A790" s="15"/>
      <c r="B790" s="332" t="s">
        <v>2534</v>
      </c>
      <c r="C790" s="16"/>
      <c r="D790" s="16"/>
      <c r="E790" s="16"/>
      <c r="F790" s="16"/>
      <c r="G790" s="16"/>
      <c r="H790" s="16"/>
      <c r="I790" s="17"/>
    </row>
  </sheetData>
  <mergeCells count="2">
    <mergeCell ref="A1:H1"/>
    <mergeCell ref="E471:E472"/>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35816-0616-354C-956A-735F0B5C23AC}">
  <dimension ref="A1:J319"/>
  <sheetViews>
    <sheetView rightToLeft="1" zoomScale="232" zoomScaleNormal="350" workbookViewId="0">
      <selection activeCell="L193" sqref="L193"/>
    </sheetView>
  </sheetViews>
  <sheetFormatPr baseColWidth="10" defaultRowHeight="16" x14ac:dyDescent="0.2"/>
  <cols>
    <col min="1" max="1" width="10.83203125" style="1"/>
    <col min="2" max="2" width="11.5" style="1" customWidth="1"/>
    <col min="3" max="6" width="10.83203125" style="1"/>
    <col min="7" max="7" width="11.83203125" style="1" customWidth="1"/>
    <col min="8" max="16384" width="10.83203125" style="1"/>
  </cols>
  <sheetData>
    <row r="1" spans="1:8" x14ac:dyDescent="0.2">
      <c r="A1" s="505" t="s">
        <v>1415</v>
      </c>
      <c r="B1" s="505"/>
      <c r="C1" s="505"/>
      <c r="D1" s="505"/>
      <c r="E1" s="505"/>
      <c r="F1" s="505"/>
      <c r="G1" s="505"/>
      <c r="H1" s="505"/>
    </row>
    <row r="3" spans="1:8" x14ac:dyDescent="0.2">
      <c r="A3" s="18" t="s">
        <v>1179</v>
      </c>
    </row>
    <row r="16" spans="1:8" x14ac:dyDescent="0.2">
      <c r="D16" s="20" t="s">
        <v>1924</v>
      </c>
      <c r="E16" s="26">
        <v>16</v>
      </c>
      <c r="F16" s="20">
        <v>15</v>
      </c>
      <c r="G16" s="20">
        <v>1</v>
      </c>
      <c r="H16" s="20">
        <v>0</v>
      </c>
    </row>
    <row r="17" spans="2:8" x14ac:dyDescent="0.2">
      <c r="F17" s="20"/>
      <c r="G17" s="20"/>
      <c r="H17" s="20"/>
    </row>
    <row r="18" spans="2:8" x14ac:dyDescent="0.2">
      <c r="F18" s="20"/>
      <c r="G18" s="20"/>
      <c r="H18" s="20">
        <v>-1500</v>
      </c>
    </row>
    <row r="19" spans="2:8" x14ac:dyDescent="0.2">
      <c r="D19" s="20" t="s">
        <v>75</v>
      </c>
      <c r="E19" s="20" t="s">
        <v>111</v>
      </c>
      <c r="F19" s="20" t="s">
        <v>75</v>
      </c>
      <c r="G19" s="20" t="s">
        <v>111</v>
      </c>
      <c r="H19" s="20"/>
    </row>
    <row r="20" spans="2:8" x14ac:dyDescent="0.2">
      <c r="D20" s="20">
        <v>999999</v>
      </c>
      <c r="E20" s="20" t="s">
        <v>62</v>
      </c>
      <c r="F20" s="20">
        <v>15</v>
      </c>
      <c r="G20" s="20" t="s">
        <v>62</v>
      </c>
      <c r="H20" s="20"/>
    </row>
    <row r="21" spans="2:8" x14ac:dyDescent="0.2">
      <c r="D21" s="20">
        <v>8</v>
      </c>
      <c r="E21" s="20" t="s">
        <v>63</v>
      </c>
      <c r="F21" s="20">
        <v>8</v>
      </c>
      <c r="G21" s="20" t="s">
        <v>63</v>
      </c>
      <c r="H21" s="20"/>
    </row>
    <row r="22" spans="2:8" x14ac:dyDescent="0.2">
      <c r="D22" s="20"/>
      <c r="E22" s="20" t="s">
        <v>64</v>
      </c>
      <c r="F22" s="20"/>
      <c r="G22" s="20" t="s">
        <v>64</v>
      </c>
      <c r="H22" s="20"/>
    </row>
    <row r="23" spans="2:8" x14ac:dyDescent="0.2">
      <c r="D23" s="20">
        <f>175*0.8</f>
        <v>140</v>
      </c>
      <c r="E23" s="20" t="s">
        <v>65</v>
      </c>
      <c r="F23" s="20">
        <f>130*0.8</f>
        <v>104</v>
      </c>
      <c r="G23" s="20" t="s">
        <v>65</v>
      </c>
      <c r="H23" s="20"/>
    </row>
    <row r="24" spans="2:8" x14ac:dyDescent="0.2">
      <c r="D24" s="20">
        <v>0</v>
      </c>
      <c r="E24" s="20" t="s">
        <v>66</v>
      </c>
      <c r="F24" s="20">
        <v>0</v>
      </c>
      <c r="G24" s="20" t="s">
        <v>66</v>
      </c>
      <c r="H24" s="20"/>
    </row>
    <row r="25" spans="2:8" x14ac:dyDescent="0.2">
      <c r="F25" s="20"/>
      <c r="G25" s="20"/>
      <c r="H25" s="20"/>
    </row>
    <row r="26" spans="2:8" x14ac:dyDescent="0.2">
      <c r="B26" s="1" t="s">
        <v>2820</v>
      </c>
      <c r="F26" s="20"/>
      <c r="G26" s="20"/>
      <c r="H26" s="20"/>
    </row>
    <row r="27" spans="2:8" x14ac:dyDescent="0.2">
      <c r="B27" s="1" t="s">
        <v>2821</v>
      </c>
      <c r="F27" s="20"/>
      <c r="G27" s="20"/>
      <c r="H27" s="20"/>
    </row>
    <row r="28" spans="2:8" x14ac:dyDescent="0.2">
      <c r="F28" s="20"/>
      <c r="G28" s="20"/>
      <c r="H28" s="20"/>
    </row>
    <row r="29" spans="2:8" x14ac:dyDescent="0.2">
      <c r="E29" s="20" t="s">
        <v>2822</v>
      </c>
      <c r="F29" s="20" t="s">
        <v>2822</v>
      </c>
      <c r="G29" s="20"/>
      <c r="H29" s="20"/>
    </row>
    <row r="30" spans="2:8" x14ac:dyDescent="0.2">
      <c r="E30" s="20" t="s">
        <v>2823</v>
      </c>
      <c r="F30" s="20" t="s">
        <v>1718</v>
      </c>
      <c r="G30" s="20"/>
      <c r="H30" s="20"/>
    </row>
    <row r="31" spans="2:8" x14ac:dyDescent="0.2">
      <c r="E31" s="20" t="s">
        <v>2825</v>
      </c>
      <c r="F31" s="20" t="s">
        <v>2824</v>
      </c>
      <c r="G31" s="20"/>
      <c r="H31" s="20"/>
    </row>
    <row r="32" spans="2:8" x14ac:dyDescent="0.2">
      <c r="E32" s="20" t="s">
        <v>75</v>
      </c>
      <c r="F32" s="20" t="s">
        <v>75</v>
      </c>
      <c r="G32" s="20" t="s">
        <v>111</v>
      </c>
      <c r="H32" s="20"/>
    </row>
    <row r="33" spans="2:8" x14ac:dyDescent="0.2">
      <c r="E33" s="20">
        <v>15</v>
      </c>
      <c r="F33" s="20">
        <v>9999999</v>
      </c>
      <c r="G33" s="20" t="s">
        <v>62</v>
      </c>
      <c r="H33" s="20"/>
    </row>
    <row r="34" spans="2:8" x14ac:dyDescent="0.2">
      <c r="B34" s="1" t="s">
        <v>2826</v>
      </c>
      <c r="E34" s="20">
        <v>8</v>
      </c>
      <c r="F34" s="20">
        <v>8</v>
      </c>
      <c r="G34" s="20" t="s">
        <v>63</v>
      </c>
      <c r="H34" s="20"/>
    </row>
    <row r="35" spans="2:8" x14ac:dyDescent="0.2">
      <c r="B35" s="1" t="s">
        <v>2827</v>
      </c>
      <c r="E35" s="364">
        <f>PV(E34/100,E33,E36,E37)</f>
        <v>-1441.8587672346505</v>
      </c>
      <c r="F35" s="69">
        <f>-140/8%</f>
        <v>-1750</v>
      </c>
      <c r="G35" s="20" t="s">
        <v>64</v>
      </c>
      <c r="H35" s="20"/>
    </row>
    <row r="36" spans="2:8" x14ac:dyDescent="0.2">
      <c r="B36" s="1" t="s">
        <v>2828</v>
      </c>
      <c r="E36" s="20">
        <v>104</v>
      </c>
      <c r="F36" s="20">
        <v>140</v>
      </c>
      <c r="G36" s="20" t="s">
        <v>65</v>
      </c>
      <c r="H36" s="20"/>
    </row>
    <row r="37" spans="2:8" x14ac:dyDescent="0.2">
      <c r="B37" s="1" t="s">
        <v>2829</v>
      </c>
      <c r="E37" s="69">
        <f>-F35</f>
        <v>1750</v>
      </c>
      <c r="F37" s="20">
        <v>0</v>
      </c>
      <c r="G37" s="20" t="s">
        <v>66</v>
      </c>
      <c r="H37" s="20"/>
    </row>
    <row r="38" spans="2:8" x14ac:dyDescent="0.2">
      <c r="B38" s="1" t="s">
        <v>2830</v>
      </c>
      <c r="F38" s="20"/>
      <c r="G38" s="20"/>
      <c r="H38" s="20"/>
    </row>
    <row r="39" spans="2:8" x14ac:dyDescent="0.2">
      <c r="F39" s="20"/>
      <c r="G39" s="20"/>
      <c r="H39" s="20"/>
    </row>
    <row r="40" spans="2:8" x14ac:dyDescent="0.2">
      <c r="B40" s="1" t="s">
        <v>2831</v>
      </c>
      <c r="F40" s="20"/>
      <c r="G40" s="20"/>
      <c r="H40" s="20"/>
    </row>
    <row r="41" spans="2:8" x14ac:dyDescent="0.2">
      <c r="B41" s="1" t="s">
        <v>2832</v>
      </c>
      <c r="F41" s="20"/>
      <c r="G41" s="20"/>
      <c r="H41" s="20"/>
    </row>
    <row r="42" spans="2:8" x14ac:dyDescent="0.2">
      <c r="F42" s="20"/>
      <c r="G42" s="20"/>
      <c r="H42" s="20"/>
    </row>
    <row r="43" spans="2:8" x14ac:dyDescent="0.2">
      <c r="C43" s="1" t="s">
        <v>64</v>
      </c>
      <c r="D43" s="1" t="s">
        <v>1246</v>
      </c>
      <c r="E43" s="32">
        <f>-E35</f>
        <v>1441.8587672346505</v>
      </c>
      <c r="F43" s="20"/>
      <c r="G43" s="20"/>
      <c r="H43" s="20"/>
    </row>
    <row r="44" spans="2:8" x14ac:dyDescent="0.2">
      <c r="C44" s="1" t="s">
        <v>64</v>
      </c>
      <c r="D44" s="1" t="s">
        <v>874</v>
      </c>
      <c r="E44" s="1">
        <f>H18</f>
        <v>-1500</v>
      </c>
      <c r="F44" s="29" t="s">
        <v>2833</v>
      </c>
      <c r="G44" s="20"/>
      <c r="H44" s="20"/>
    </row>
    <row r="45" spans="2:8" x14ac:dyDescent="0.2">
      <c r="C45" s="1" t="s">
        <v>1027</v>
      </c>
      <c r="D45" s="1" t="s">
        <v>2834</v>
      </c>
      <c r="E45" s="365">
        <f>E43+E44</f>
        <v>-58.141232765349514</v>
      </c>
      <c r="F45" s="20"/>
      <c r="G45" s="20"/>
      <c r="H45" s="20"/>
    </row>
    <row r="52" spans="1:8" x14ac:dyDescent="0.2">
      <c r="B52" s="18" t="s">
        <v>2550</v>
      </c>
    </row>
    <row r="54" spans="1:8" x14ac:dyDescent="0.2">
      <c r="A54" s="324" t="s">
        <v>2384</v>
      </c>
      <c r="B54" s="324"/>
      <c r="C54" s="324"/>
      <c r="D54" s="324"/>
      <c r="E54" s="324"/>
      <c r="F54" s="324"/>
      <c r="G54" s="324"/>
      <c r="H54" s="324"/>
    </row>
    <row r="66" spans="1:10" x14ac:dyDescent="0.2">
      <c r="C66" s="20" t="s">
        <v>739</v>
      </c>
      <c r="D66" s="20"/>
    </row>
    <row r="67" spans="1:10" x14ac:dyDescent="0.2">
      <c r="A67" s="10" t="s">
        <v>895</v>
      </c>
      <c r="B67" s="10"/>
      <c r="C67" s="27">
        <v>0</v>
      </c>
      <c r="D67" s="27">
        <v>1</v>
      </c>
      <c r="E67" s="27">
        <v>2</v>
      </c>
    </row>
    <row r="68" spans="1:10" x14ac:dyDescent="0.2">
      <c r="A68" s="116" t="s">
        <v>896</v>
      </c>
      <c r="B68" s="116"/>
      <c r="C68" s="48"/>
      <c r="D68" s="503">
        <v>80000</v>
      </c>
      <c r="E68" s="503">
        <v>80000</v>
      </c>
      <c r="G68" s="1" t="s">
        <v>2386</v>
      </c>
    </row>
    <row r="69" spans="1:10" x14ac:dyDescent="0.2">
      <c r="A69" s="116" t="s">
        <v>967</v>
      </c>
      <c r="B69" s="116"/>
      <c r="C69" s="48"/>
      <c r="D69" s="504"/>
      <c r="E69" s="504"/>
      <c r="G69" s="1" t="s">
        <v>2387</v>
      </c>
    </row>
    <row r="70" spans="1:10" x14ac:dyDescent="0.2">
      <c r="A70" s="116" t="s">
        <v>2230</v>
      </c>
      <c r="B70" s="116"/>
      <c r="C70" s="48"/>
      <c r="D70" s="295">
        <f>-100000*70%</f>
        <v>-70000</v>
      </c>
      <c r="E70" s="295">
        <f>-100000*30%</f>
        <v>-30000</v>
      </c>
      <c r="G70" s="1" t="s">
        <v>2388</v>
      </c>
    </row>
    <row r="71" spans="1:10" x14ac:dyDescent="0.2">
      <c r="A71" s="116" t="s">
        <v>899</v>
      </c>
      <c r="B71" s="116"/>
      <c r="C71" s="48"/>
      <c r="D71" s="296">
        <f>D68+D70</f>
        <v>10000</v>
      </c>
      <c r="E71" s="296">
        <f>E68+E70</f>
        <v>50000</v>
      </c>
      <c r="G71" s="1" t="s">
        <v>2389</v>
      </c>
    </row>
    <row r="72" spans="1:10" x14ac:dyDescent="0.2">
      <c r="A72" s="116" t="s">
        <v>2391</v>
      </c>
      <c r="B72" s="116"/>
      <c r="C72" s="48"/>
      <c r="D72" s="295">
        <f>-35%*D71</f>
        <v>-3500</v>
      </c>
      <c r="E72" s="295">
        <f>-35%*E71</f>
        <v>-17500</v>
      </c>
      <c r="G72" s="1" t="s">
        <v>2390</v>
      </c>
    </row>
    <row r="73" spans="1:10" x14ac:dyDescent="0.2">
      <c r="A73" s="116" t="s">
        <v>971</v>
      </c>
      <c r="B73" s="116"/>
      <c r="C73" s="48"/>
      <c r="D73" s="296">
        <f>D71+D72</f>
        <v>6500</v>
      </c>
      <c r="E73" s="296">
        <f>E71+E72</f>
        <v>32500</v>
      </c>
    </row>
    <row r="74" spans="1:10" x14ac:dyDescent="0.2">
      <c r="A74" s="116" t="s">
        <v>2395</v>
      </c>
      <c r="B74" s="116"/>
      <c r="C74" s="171">
        <v>-100000</v>
      </c>
      <c r="D74" s="48"/>
      <c r="E74" s="48"/>
      <c r="G74" s="1" t="s">
        <v>2392</v>
      </c>
    </row>
    <row r="75" spans="1:10" x14ac:dyDescent="0.2">
      <c r="A75" s="116" t="s">
        <v>934</v>
      </c>
      <c r="B75" s="116"/>
      <c r="C75" s="48"/>
      <c r="D75" s="48"/>
      <c r="E75" s="48">
        <v>0</v>
      </c>
    </row>
    <row r="76" spans="1:10" x14ac:dyDescent="0.2">
      <c r="A76" s="116" t="s">
        <v>2385</v>
      </c>
      <c r="B76" s="116"/>
      <c r="C76" s="48"/>
      <c r="D76" s="171">
        <f>-D70</f>
        <v>70000</v>
      </c>
      <c r="E76" s="171">
        <f>-E70</f>
        <v>30000</v>
      </c>
      <c r="H76" s="20"/>
      <c r="I76" s="20" t="s">
        <v>84</v>
      </c>
    </row>
    <row r="77" spans="1:10" x14ac:dyDescent="0.2">
      <c r="A77" s="134" t="s">
        <v>903</v>
      </c>
      <c r="B77" s="134"/>
      <c r="C77" s="303">
        <f>C74</f>
        <v>-100000</v>
      </c>
      <c r="D77" s="303">
        <f>D73+D76</f>
        <v>76500</v>
      </c>
      <c r="E77" s="303">
        <f>E73+E76</f>
        <v>62500</v>
      </c>
      <c r="G77" s="1" t="s">
        <v>2393</v>
      </c>
      <c r="H77" s="20">
        <v>10</v>
      </c>
      <c r="I77" s="20" t="s">
        <v>63</v>
      </c>
      <c r="J77" s="1" t="s">
        <v>2186</v>
      </c>
    </row>
    <row r="78" spans="1:10" x14ac:dyDescent="0.2">
      <c r="H78" s="20"/>
      <c r="I78" s="20"/>
    </row>
    <row r="79" spans="1:10" x14ac:dyDescent="0.2">
      <c r="G79" s="20" t="s">
        <v>87</v>
      </c>
      <c r="H79" s="20"/>
      <c r="I79" s="20" t="s">
        <v>995</v>
      </c>
    </row>
    <row r="80" spans="1:10" x14ac:dyDescent="0.2">
      <c r="G80" s="171">
        <v>-100000</v>
      </c>
      <c r="H80" s="20">
        <v>1</v>
      </c>
      <c r="I80" s="20"/>
    </row>
    <row r="81" spans="1:9" x14ac:dyDescent="0.2">
      <c r="G81" s="171">
        <v>76500</v>
      </c>
      <c r="H81" s="20">
        <v>2</v>
      </c>
      <c r="I81" s="20"/>
    </row>
    <row r="82" spans="1:9" x14ac:dyDescent="0.2">
      <c r="G82" s="171">
        <v>62500</v>
      </c>
      <c r="H82" s="20">
        <v>3</v>
      </c>
      <c r="I82" s="20"/>
    </row>
    <row r="83" spans="1:9" x14ac:dyDescent="0.2">
      <c r="H83" s="20"/>
      <c r="I83" s="20"/>
    </row>
    <row r="84" spans="1:9" x14ac:dyDescent="0.2">
      <c r="C84" s="18" t="s">
        <v>2396</v>
      </c>
      <c r="G84" s="325">
        <f>NPV(10%,G81:G82)+G80</f>
        <v>21198.347107438007</v>
      </c>
      <c r="H84" s="20" t="s">
        <v>2394</v>
      </c>
      <c r="I84" s="20" t="s">
        <v>456</v>
      </c>
    </row>
    <row r="86" spans="1:9" x14ac:dyDescent="0.2">
      <c r="C86" s="1" t="s">
        <v>2397</v>
      </c>
      <c r="G86" s="51">
        <f>IRR(G80:G82)</f>
        <v>0.26074042835660904</v>
      </c>
      <c r="H86" s="20" t="s">
        <v>2398</v>
      </c>
      <c r="I86" s="1" t="s">
        <v>456</v>
      </c>
    </row>
    <row r="87" spans="1:9" x14ac:dyDescent="0.2">
      <c r="C87" s="1" t="s">
        <v>2399</v>
      </c>
    </row>
    <row r="89" spans="1:9" x14ac:dyDescent="0.2">
      <c r="A89" s="324" t="s">
        <v>2400</v>
      </c>
      <c r="B89" s="324"/>
      <c r="C89" s="324"/>
      <c r="D89" s="324"/>
      <c r="E89" s="324"/>
      <c r="F89" s="324"/>
      <c r="G89" s="324"/>
      <c r="H89" s="324"/>
    </row>
    <row r="95" spans="1:9" x14ac:dyDescent="0.2">
      <c r="A95" s="1" t="s">
        <v>146</v>
      </c>
    </row>
    <row r="97" spans="1:3" x14ac:dyDescent="0.2">
      <c r="A97" s="1" t="s">
        <v>2402</v>
      </c>
    </row>
    <row r="98" spans="1:3" x14ac:dyDescent="0.2">
      <c r="A98" s="1" t="s">
        <v>2401</v>
      </c>
    </row>
    <row r="102" spans="1:3" x14ac:dyDescent="0.2">
      <c r="A102" s="1" t="s">
        <v>2403</v>
      </c>
    </row>
    <row r="103" spans="1:3" x14ac:dyDescent="0.2">
      <c r="B103" s="1" t="s">
        <v>2404</v>
      </c>
    </row>
    <row r="104" spans="1:3" x14ac:dyDescent="0.2">
      <c r="C104" s="1" t="s">
        <v>2405</v>
      </c>
    </row>
    <row r="106" spans="1:3" x14ac:dyDescent="0.2">
      <c r="B106" s="1" t="s">
        <v>2406</v>
      </c>
    </row>
    <row r="107" spans="1:3" x14ac:dyDescent="0.2">
      <c r="C107" s="1" t="s">
        <v>2407</v>
      </c>
    </row>
    <row r="109" spans="1:3" x14ac:dyDescent="0.2">
      <c r="A109" s="18" t="s">
        <v>2408</v>
      </c>
    </row>
    <row r="113" spans="1:8" x14ac:dyDescent="0.2">
      <c r="A113" s="18" t="s">
        <v>2409</v>
      </c>
    </row>
    <row r="115" spans="1:8" x14ac:dyDescent="0.2">
      <c r="A115" s="324" t="s">
        <v>1446</v>
      </c>
      <c r="B115" s="324"/>
      <c r="C115" s="324"/>
      <c r="D115" s="324"/>
      <c r="E115" s="324"/>
      <c r="F115" s="324"/>
      <c r="G115" s="324"/>
      <c r="H115" s="324"/>
    </row>
    <row r="121" spans="1:8" ht="17" thickBot="1" x14ac:dyDescent="0.25"/>
    <row r="122" spans="1:8" x14ac:dyDescent="0.2">
      <c r="A122" s="18" t="s">
        <v>146</v>
      </c>
      <c r="D122" s="20" t="s">
        <v>2414</v>
      </c>
      <c r="E122" s="12"/>
      <c r="F122" s="13" t="s">
        <v>2410</v>
      </c>
      <c r="G122" s="14"/>
    </row>
    <row r="123" spans="1:8" x14ac:dyDescent="0.2">
      <c r="E123" s="72"/>
      <c r="G123" s="73"/>
    </row>
    <row r="124" spans="1:8" x14ac:dyDescent="0.2">
      <c r="C124" s="20">
        <v>12</v>
      </c>
      <c r="D124" s="20"/>
      <c r="E124" s="160">
        <v>5.5</v>
      </c>
      <c r="G124" s="161">
        <v>1</v>
      </c>
    </row>
    <row r="125" spans="1:8" x14ac:dyDescent="0.2">
      <c r="A125" s="1" t="s">
        <v>503</v>
      </c>
      <c r="C125" s="20"/>
      <c r="D125" s="20"/>
      <c r="E125" s="160"/>
      <c r="F125" s="20"/>
      <c r="G125" s="73"/>
    </row>
    <row r="126" spans="1:8" x14ac:dyDescent="0.2">
      <c r="D126" s="20"/>
      <c r="E126" s="326">
        <v>8000</v>
      </c>
      <c r="G126" s="327">
        <v>7500</v>
      </c>
    </row>
    <row r="127" spans="1:8" ht="17" thickBot="1" x14ac:dyDescent="0.25">
      <c r="E127" s="15"/>
      <c r="F127" s="16"/>
      <c r="G127" s="17"/>
    </row>
    <row r="128" spans="1:8" x14ac:dyDescent="0.2">
      <c r="A128" s="1" t="s">
        <v>1837</v>
      </c>
    </row>
    <row r="129" spans="1:8" x14ac:dyDescent="0.2">
      <c r="G129" s="1" t="s">
        <v>60</v>
      </c>
    </row>
    <row r="130" spans="1:8" x14ac:dyDescent="0.2">
      <c r="F130" s="20" t="s">
        <v>75</v>
      </c>
      <c r="G130" s="1" t="s">
        <v>111</v>
      </c>
    </row>
    <row r="131" spans="1:8" x14ac:dyDescent="0.2">
      <c r="F131" s="20">
        <v>4.5</v>
      </c>
      <c r="G131" s="1" t="s">
        <v>62</v>
      </c>
    </row>
    <row r="132" spans="1:8" x14ac:dyDescent="0.2">
      <c r="F132" s="259">
        <f>RATE(F131,F134,F133,F135)</f>
        <v>1.444523197366495E-2</v>
      </c>
      <c r="G132" s="1" t="s">
        <v>63</v>
      </c>
      <c r="H132" s="1" t="s">
        <v>227</v>
      </c>
    </row>
    <row r="133" spans="1:8" x14ac:dyDescent="0.2">
      <c r="A133" s="1" t="s">
        <v>2411</v>
      </c>
      <c r="F133" s="20">
        <v>7500</v>
      </c>
      <c r="G133" s="1" t="s">
        <v>64</v>
      </c>
    </row>
    <row r="134" spans="1:8" x14ac:dyDescent="0.2">
      <c r="A134" s="1" t="s">
        <v>2412</v>
      </c>
      <c r="F134" s="20">
        <v>0</v>
      </c>
      <c r="G134" s="1" t="s">
        <v>65</v>
      </c>
    </row>
    <row r="135" spans="1:8" x14ac:dyDescent="0.2">
      <c r="A135" s="1" t="s">
        <v>2413</v>
      </c>
      <c r="F135" s="20">
        <v>-8000</v>
      </c>
      <c r="G135" s="1" t="s">
        <v>66</v>
      </c>
    </row>
    <row r="137" spans="1:8" x14ac:dyDescent="0.2">
      <c r="A137" s="1" t="s">
        <v>2415</v>
      </c>
    </row>
    <row r="139" spans="1:8" x14ac:dyDescent="0.2">
      <c r="G139" s="1" t="s">
        <v>60</v>
      </c>
    </row>
    <row r="140" spans="1:8" x14ac:dyDescent="0.2">
      <c r="F140" s="20" t="s">
        <v>75</v>
      </c>
      <c r="G140" s="1" t="s">
        <v>111</v>
      </c>
    </row>
    <row r="141" spans="1:8" x14ac:dyDescent="0.2">
      <c r="F141" s="20">
        <v>6.5</v>
      </c>
      <c r="G141" s="1" t="s">
        <v>62</v>
      </c>
    </row>
    <row r="142" spans="1:8" x14ac:dyDescent="0.2">
      <c r="F142" s="328">
        <f>F132*100</f>
        <v>1.4445231973664949</v>
      </c>
      <c r="G142" s="1" t="s">
        <v>63</v>
      </c>
    </row>
    <row r="143" spans="1:8" x14ac:dyDescent="0.2">
      <c r="F143" s="20">
        <v>8000</v>
      </c>
      <c r="G143" s="1" t="s">
        <v>64</v>
      </c>
    </row>
    <row r="144" spans="1:8" x14ac:dyDescent="0.2">
      <c r="F144" s="20">
        <v>0</v>
      </c>
      <c r="G144" s="1" t="s">
        <v>65</v>
      </c>
    </row>
    <row r="145" spans="1:8" x14ac:dyDescent="0.2">
      <c r="A145" s="1" t="s">
        <v>2416</v>
      </c>
      <c r="F145" s="329">
        <f>FV(F142/100,F141,F144,F143)</f>
        <v>-8781.6458980190109</v>
      </c>
      <c r="G145" s="1" t="s">
        <v>66</v>
      </c>
      <c r="H145" s="1" t="s">
        <v>227</v>
      </c>
    </row>
    <row r="146" spans="1:8" x14ac:dyDescent="0.2">
      <c r="A146" s="18" t="s">
        <v>2417</v>
      </c>
    </row>
    <row r="158" spans="1:8" x14ac:dyDescent="0.2">
      <c r="A158" s="151" t="s">
        <v>1416</v>
      </c>
      <c r="B158" s="152"/>
      <c r="C158" s="152"/>
      <c r="D158" s="152"/>
      <c r="E158" s="152"/>
      <c r="F158" s="152"/>
      <c r="G158" s="152"/>
      <c r="H158" s="152"/>
    </row>
    <row r="159" spans="1:8" x14ac:dyDescent="0.2">
      <c r="A159" s="151"/>
      <c r="B159" s="152"/>
      <c r="C159" s="152"/>
      <c r="D159" s="152"/>
      <c r="E159" s="152"/>
      <c r="F159" s="152"/>
      <c r="G159" s="152"/>
      <c r="H159" s="152"/>
    </row>
    <row r="160" spans="1:8" x14ac:dyDescent="0.2">
      <c r="A160" s="151"/>
      <c r="B160" s="152"/>
      <c r="C160" s="152"/>
      <c r="D160" s="152"/>
      <c r="E160" s="152"/>
      <c r="F160" s="152"/>
      <c r="G160" s="152"/>
      <c r="H160" s="152"/>
    </row>
    <row r="161" spans="1:8" x14ac:dyDescent="0.2">
      <c r="A161" s="151"/>
      <c r="B161" s="152"/>
      <c r="C161" s="152"/>
      <c r="D161" s="152"/>
      <c r="E161" s="152"/>
      <c r="F161" s="152"/>
      <c r="G161" s="152"/>
      <c r="H161" s="152"/>
    </row>
    <row r="162" spans="1:8" x14ac:dyDescent="0.2">
      <c r="A162" s="151"/>
      <c r="B162" s="152"/>
      <c r="C162" s="152"/>
      <c r="D162" s="152"/>
      <c r="E162" s="152"/>
      <c r="F162" s="152"/>
      <c r="G162" s="152"/>
      <c r="H162" s="152"/>
    </row>
    <row r="163" spans="1:8" x14ac:dyDescent="0.2">
      <c r="A163" s="151"/>
      <c r="B163" s="152"/>
      <c r="C163" s="152"/>
      <c r="D163" s="152"/>
      <c r="E163" s="152"/>
      <c r="F163" s="152"/>
      <c r="G163" s="152"/>
      <c r="H163" s="152"/>
    </row>
    <row r="164" spans="1:8" x14ac:dyDescent="0.2">
      <c r="A164" s="151"/>
      <c r="B164" s="152"/>
      <c r="C164" s="152"/>
      <c r="D164" s="152"/>
      <c r="E164" s="152"/>
      <c r="F164" s="152"/>
      <c r="G164" s="152"/>
      <c r="H164" s="152"/>
    </row>
    <row r="165" spans="1:8" x14ac:dyDescent="0.2">
      <c r="A165" s="151"/>
      <c r="B165" s="152"/>
      <c r="C165" s="152"/>
      <c r="D165" s="152"/>
      <c r="E165" s="152"/>
      <c r="F165" s="152"/>
      <c r="G165" s="152"/>
      <c r="H165" s="152"/>
    </row>
    <row r="166" spans="1:8" x14ac:dyDescent="0.2">
      <c r="A166" s="151"/>
      <c r="B166" s="152"/>
      <c r="C166" s="152"/>
      <c r="D166" s="152"/>
      <c r="E166" s="152"/>
      <c r="F166" s="152"/>
      <c r="G166" s="152"/>
      <c r="H166" s="152"/>
    </row>
    <row r="167" spans="1:8" x14ac:dyDescent="0.2">
      <c r="A167" s="151"/>
      <c r="B167" s="152"/>
      <c r="C167" s="152"/>
      <c r="D167" s="152"/>
      <c r="E167" s="152"/>
      <c r="F167" s="152"/>
      <c r="G167" s="152"/>
      <c r="H167" s="152"/>
    </row>
    <row r="168" spans="1:8" x14ac:dyDescent="0.2">
      <c r="A168" s="151"/>
      <c r="B168" s="152"/>
      <c r="C168" s="152"/>
      <c r="D168" s="152"/>
      <c r="E168" s="152"/>
      <c r="F168" s="152"/>
      <c r="G168" s="152"/>
      <c r="H168" s="152"/>
    </row>
    <row r="169" spans="1:8" x14ac:dyDescent="0.2">
      <c r="A169" s="151"/>
      <c r="B169" s="152"/>
      <c r="C169" s="152"/>
      <c r="D169" s="152"/>
      <c r="E169" s="152"/>
      <c r="F169" s="152"/>
      <c r="G169" s="152"/>
      <c r="H169" s="152"/>
    </row>
    <row r="170" spans="1:8" x14ac:dyDescent="0.2">
      <c r="A170" s="151"/>
      <c r="B170" s="152"/>
      <c r="C170" s="152"/>
      <c r="D170" s="152"/>
      <c r="E170" s="152"/>
      <c r="F170" s="152"/>
      <c r="G170" s="152"/>
      <c r="H170" s="152"/>
    </row>
    <row r="171" spans="1:8" x14ac:dyDescent="0.2">
      <c r="A171" s="1" t="s">
        <v>1396</v>
      </c>
    </row>
    <row r="172" spans="1:8" x14ac:dyDescent="0.2">
      <c r="A172" s="1" t="s">
        <v>1397</v>
      </c>
    </row>
    <row r="173" spans="1:8" x14ac:dyDescent="0.2">
      <c r="A173" s="1" t="s">
        <v>1398</v>
      </c>
    </row>
    <row r="174" spans="1:8" x14ac:dyDescent="0.2">
      <c r="A174" s="1" t="s">
        <v>1399</v>
      </c>
    </row>
    <row r="175" spans="1:8" x14ac:dyDescent="0.2">
      <c r="A175" s="1" t="s">
        <v>1400</v>
      </c>
    </row>
    <row r="176" spans="1:8" x14ac:dyDescent="0.2">
      <c r="A176" s="1" t="s">
        <v>1401</v>
      </c>
    </row>
    <row r="177" spans="1:8" x14ac:dyDescent="0.2">
      <c r="A177" s="1" t="s">
        <v>1402</v>
      </c>
    </row>
    <row r="181" spans="1:8" x14ac:dyDescent="0.2">
      <c r="B181" s="168">
        <f>1.07^3-1</f>
        <v>0.2250430000000001</v>
      </c>
      <c r="G181" s="139" t="s">
        <v>2835</v>
      </c>
      <c r="H181" s="139"/>
    </row>
    <row r="183" spans="1:8" x14ac:dyDescent="0.2">
      <c r="A183" s="1" t="s">
        <v>1403</v>
      </c>
    </row>
    <row r="185" spans="1:8" x14ac:dyDescent="0.2">
      <c r="A185" s="1" t="s">
        <v>1404</v>
      </c>
    </row>
    <row r="187" spans="1:8" x14ac:dyDescent="0.2">
      <c r="B187" s="168">
        <f>1.05*1.03-1</f>
        <v>8.1500000000000128E-2</v>
      </c>
      <c r="G187" s="139" t="s">
        <v>2836</v>
      </c>
      <c r="H187" s="139"/>
    </row>
    <row r="189" spans="1:8" x14ac:dyDescent="0.2">
      <c r="A189" s="1" t="s">
        <v>1405</v>
      </c>
    </row>
    <row r="190" spans="1:8" x14ac:dyDescent="0.2">
      <c r="B190" s="1" t="s">
        <v>850</v>
      </c>
    </row>
    <row r="191" spans="1:8" x14ac:dyDescent="0.2">
      <c r="B191" s="1" t="s">
        <v>843</v>
      </c>
    </row>
    <row r="192" spans="1:8" x14ac:dyDescent="0.2">
      <c r="B192" s="1" t="s">
        <v>845</v>
      </c>
    </row>
    <row r="193" spans="1:8" x14ac:dyDescent="0.2">
      <c r="A193" s="1" t="s">
        <v>1406</v>
      </c>
    </row>
    <row r="195" spans="1:8" x14ac:dyDescent="0.2">
      <c r="A195" s="1" t="s">
        <v>1407</v>
      </c>
    </row>
    <row r="197" spans="1:8" x14ac:dyDescent="0.2">
      <c r="A197" s="1" t="s">
        <v>1408</v>
      </c>
      <c r="G197" s="139" t="s">
        <v>2837</v>
      </c>
      <c r="H197" s="139"/>
    </row>
    <row r="198" spans="1:8" x14ac:dyDescent="0.2">
      <c r="G198" s="139" t="s">
        <v>2838</v>
      </c>
      <c r="H198" s="139"/>
    </row>
    <row r="199" spans="1:8" x14ac:dyDescent="0.2">
      <c r="A199" s="1" t="s">
        <v>1143</v>
      </c>
    </row>
    <row r="200" spans="1:8" x14ac:dyDescent="0.2">
      <c r="B200" s="168">
        <f>(1+B181)/(1+B187)-1</f>
        <v>0.13272584373555252</v>
      </c>
      <c r="G200" s="1" t="s">
        <v>2839</v>
      </c>
    </row>
    <row r="201" spans="1:8" x14ac:dyDescent="0.2">
      <c r="G201" s="1" t="s">
        <v>2840</v>
      </c>
    </row>
    <row r="202" spans="1:8" x14ac:dyDescent="0.2">
      <c r="A202" s="1" t="s">
        <v>2841</v>
      </c>
    </row>
    <row r="204" spans="1:8" x14ac:dyDescent="0.2">
      <c r="A204" s="215" t="s">
        <v>2842</v>
      </c>
      <c r="B204" s="366">
        <f>(1+B200)^(1/3)-1</f>
        <v>4.2417282622745578E-2</v>
      </c>
    </row>
    <row r="205" spans="1:8" ht="17" thickBot="1" x14ac:dyDescent="0.25"/>
    <row r="206" spans="1:8" x14ac:dyDescent="0.2">
      <c r="A206" s="132" t="s">
        <v>1409</v>
      </c>
      <c r="B206" s="13"/>
      <c r="C206" s="13"/>
      <c r="D206" s="13"/>
      <c r="E206" s="13"/>
      <c r="F206" s="13"/>
      <c r="G206" s="13"/>
      <c r="H206" s="14"/>
    </row>
    <row r="207" spans="1:8" x14ac:dyDescent="0.2">
      <c r="A207" s="72" t="s">
        <v>1410</v>
      </c>
      <c r="H207" s="73"/>
    </row>
    <row r="208" spans="1:8" x14ac:dyDescent="0.2">
      <c r="A208" s="72" t="s">
        <v>1411</v>
      </c>
      <c r="H208" s="73"/>
    </row>
    <row r="209" spans="1:8" x14ac:dyDescent="0.2">
      <c r="A209" s="72" t="s">
        <v>1412</v>
      </c>
      <c r="H209" s="73"/>
    </row>
    <row r="210" spans="1:8" x14ac:dyDescent="0.2">
      <c r="A210" s="72" t="s">
        <v>1413</v>
      </c>
      <c r="H210" s="73"/>
    </row>
    <row r="211" spans="1:8" ht="17" thickBot="1" x14ac:dyDescent="0.25">
      <c r="A211" s="15" t="s">
        <v>1414</v>
      </c>
      <c r="B211" s="16"/>
      <c r="C211" s="16"/>
      <c r="D211" s="16"/>
      <c r="E211" s="16"/>
      <c r="F211" s="16"/>
      <c r="G211" s="16"/>
      <c r="H211" s="17"/>
    </row>
    <row r="216" spans="1:8" x14ac:dyDescent="0.2">
      <c r="A216" s="151" t="s">
        <v>2421</v>
      </c>
      <c r="B216" s="152"/>
      <c r="C216" s="152"/>
      <c r="D216" s="152"/>
      <c r="E216" s="152"/>
      <c r="F216" s="152"/>
      <c r="G216" s="152"/>
      <c r="H216" s="152"/>
    </row>
    <row r="227" spans="1:8" x14ac:dyDescent="0.2">
      <c r="A227" s="18" t="s">
        <v>146</v>
      </c>
    </row>
    <row r="229" spans="1:8" x14ac:dyDescent="0.2">
      <c r="A229" s="1" t="s">
        <v>2418</v>
      </c>
    </row>
    <row r="230" spans="1:8" x14ac:dyDescent="0.2">
      <c r="A230" s="1" t="s">
        <v>2419</v>
      </c>
    </row>
    <row r="231" spans="1:8" x14ac:dyDescent="0.2">
      <c r="A231" s="1" t="s">
        <v>2420</v>
      </c>
    </row>
    <row r="233" spans="1:8" x14ac:dyDescent="0.2">
      <c r="G233" s="1" t="s">
        <v>60</v>
      </c>
    </row>
    <row r="234" spans="1:8" x14ac:dyDescent="0.2">
      <c r="F234" s="1" t="s">
        <v>75</v>
      </c>
      <c r="G234" s="1" t="s">
        <v>111</v>
      </c>
    </row>
    <row r="235" spans="1:8" x14ac:dyDescent="0.2">
      <c r="A235" s="1" t="s">
        <v>2422</v>
      </c>
      <c r="F235" s="20">
        <v>99999999999</v>
      </c>
      <c r="G235" s="1" t="s">
        <v>62</v>
      </c>
    </row>
    <row r="236" spans="1:8" x14ac:dyDescent="0.2">
      <c r="A236" s="1" t="s">
        <v>2423</v>
      </c>
      <c r="F236" s="69">
        <v>7.5</v>
      </c>
      <c r="G236" s="1" t="s">
        <v>63</v>
      </c>
      <c r="H236" s="1" t="s">
        <v>227</v>
      </c>
    </row>
    <row r="237" spans="1:8" x14ac:dyDescent="0.2">
      <c r="A237" s="1" t="s">
        <v>2424</v>
      </c>
      <c r="F237" s="20">
        <v>-300000</v>
      </c>
      <c r="G237" s="1" t="s">
        <v>64</v>
      </c>
    </row>
    <row r="238" spans="1:8" x14ac:dyDescent="0.2">
      <c r="A238" s="1" t="s">
        <v>2425</v>
      </c>
      <c r="F238" s="20">
        <v>22500</v>
      </c>
      <c r="G238" s="1" t="s">
        <v>65</v>
      </c>
    </row>
    <row r="239" spans="1:8" x14ac:dyDescent="0.2">
      <c r="F239" s="20">
        <v>0</v>
      </c>
      <c r="G239" s="1" t="s">
        <v>66</v>
      </c>
    </row>
    <row r="241" spans="1:8" x14ac:dyDescent="0.2">
      <c r="E241" s="1" t="s">
        <v>2426</v>
      </c>
    </row>
    <row r="242" spans="1:8" x14ac:dyDescent="0.2">
      <c r="E242" s="1" t="s">
        <v>2427</v>
      </c>
    </row>
    <row r="243" spans="1:8" x14ac:dyDescent="0.2">
      <c r="E243" s="1" t="s">
        <v>2428</v>
      </c>
    </row>
    <row r="244" spans="1:8" x14ac:dyDescent="0.2">
      <c r="E244" s="1" t="s">
        <v>2429</v>
      </c>
    </row>
    <row r="246" spans="1:8" x14ac:dyDescent="0.2">
      <c r="E246" s="1" t="s">
        <v>2430</v>
      </c>
    </row>
    <row r="248" spans="1:8" x14ac:dyDescent="0.2">
      <c r="A248" s="1" t="s">
        <v>99</v>
      </c>
      <c r="B248" s="20" t="s">
        <v>171</v>
      </c>
      <c r="D248" s="330">
        <f>(1+7.5%)^(12/7)-1</f>
        <v>0.13199128047830611</v>
      </c>
      <c r="F248" s="1" t="s">
        <v>2431</v>
      </c>
    </row>
    <row r="250" spans="1:8" x14ac:dyDescent="0.2">
      <c r="E250" s="1" t="s">
        <v>2432</v>
      </c>
    </row>
    <row r="251" spans="1:8" x14ac:dyDescent="0.2">
      <c r="E251" s="1" t="s">
        <v>2433</v>
      </c>
    </row>
    <row r="252" spans="1:8" x14ac:dyDescent="0.2">
      <c r="E252" s="1" t="s">
        <v>2434</v>
      </c>
    </row>
    <row r="253" spans="1:8" x14ac:dyDescent="0.2">
      <c r="E253" s="1" t="s">
        <v>2435</v>
      </c>
    </row>
    <row r="256" spans="1:8" x14ac:dyDescent="0.2">
      <c r="A256" s="151" t="s">
        <v>2436</v>
      </c>
      <c r="B256" s="152"/>
      <c r="C256" s="152"/>
      <c r="D256" s="152"/>
      <c r="E256" s="152"/>
      <c r="F256" s="152"/>
      <c r="G256" s="152"/>
      <c r="H256" s="152"/>
    </row>
    <row r="267" spans="1:1" x14ac:dyDescent="0.2">
      <c r="A267" s="1" t="s">
        <v>146</v>
      </c>
    </row>
    <row r="269" spans="1:1" x14ac:dyDescent="0.2">
      <c r="A269" s="1" t="s">
        <v>2437</v>
      </c>
    </row>
    <row r="270" spans="1:1" x14ac:dyDescent="0.2">
      <c r="A270" s="1" t="s">
        <v>2438</v>
      </c>
    </row>
    <row r="271" spans="1:1" x14ac:dyDescent="0.2">
      <c r="A271" s="18" t="s">
        <v>2439</v>
      </c>
    </row>
    <row r="273" spans="1:8" x14ac:dyDescent="0.2">
      <c r="A273" s="1" t="s">
        <v>2440</v>
      </c>
    </row>
    <row r="275" spans="1:8" x14ac:dyDescent="0.2">
      <c r="A275" s="1" t="s">
        <v>2441</v>
      </c>
      <c r="B275" s="1" t="s">
        <v>2442</v>
      </c>
    </row>
    <row r="276" spans="1:8" x14ac:dyDescent="0.2">
      <c r="B276" s="1" t="s">
        <v>2443</v>
      </c>
    </row>
    <row r="278" spans="1:8" x14ac:dyDescent="0.2">
      <c r="A278" s="1" t="s">
        <v>2444</v>
      </c>
    </row>
    <row r="280" spans="1:8" x14ac:dyDescent="0.2">
      <c r="A280" s="151" t="s">
        <v>2445</v>
      </c>
      <c r="B280" s="152"/>
      <c r="C280" s="152"/>
      <c r="D280" s="152"/>
      <c r="E280" s="152"/>
      <c r="F280" s="152"/>
      <c r="G280" s="152"/>
      <c r="H280" s="152"/>
    </row>
    <row r="293" spans="1:8" x14ac:dyDescent="0.2">
      <c r="G293" s="1" t="s">
        <v>60</v>
      </c>
    </row>
    <row r="294" spans="1:8" x14ac:dyDescent="0.2">
      <c r="F294" s="20" t="s">
        <v>75</v>
      </c>
      <c r="G294" s="1" t="s">
        <v>111</v>
      </c>
    </row>
    <row r="295" spans="1:8" x14ac:dyDescent="0.2">
      <c r="A295" s="1" t="s">
        <v>2446</v>
      </c>
      <c r="F295" s="20">
        <v>10</v>
      </c>
      <c r="G295" s="1" t="s">
        <v>62</v>
      </c>
    </row>
    <row r="296" spans="1:8" x14ac:dyDescent="0.2">
      <c r="F296" s="20">
        <v>5.5</v>
      </c>
      <c r="G296" s="1" t="s">
        <v>63</v>
      </c>
    </row>
    <row r="297" spans="1:8" x14ac:dyDescent="0.2">
      <c r="F297" s="50">
        <f>PV(F296/100,F295,F298,F299)</f>
        <v>-96.231187085705514</v>
      </c>
      <c r="G297" s="1" t="s">
        <v>64</v>
      </c>
    </row>
    <row r="298" spans="1:8" x14ac:dyDescent="0.2">
      <c r="F298" s="20">
        <f>5%*100</f>
        <v>5</v>
      </c>
      <c r="G298" s="1" t="s">
        <v>65</v>
      </c>
    </row>
    <row r="299" spans="1:8" x14ac:dyDescent="0.2">
      <c r="F299" s="20">
        <v>100</v>
      </c>
      <c r="G299" s="1" t="s">
        <v>66</v>
      </c>
    </row>
    <row r="301" spans="1:8" x14ac:dyDescent="0.2">
      <c r="A301" s="151" t="s">
        <v>2447</v>
      </c>
      <c r="B301" s="152"/>
      <c r="C301" s="152"/>
      <c r="D301" s="152"/>
      <c r="E301" s="152"/>
      <c r="F301" s="152"/>
      <c r="G301" s="152"/>
      <c r="H301" s="152"/>
    </row>
    <row r="311" spans="1:6" x14ac:dyDescent="0.2">
      <c r="F311" s="1" t="s">
        <v>60</v>
      </c>
    </row>
    <row r="312" spans="1:6" x14ac:dyDescent="0.2">
      <c r="A312" s="1" t="s">
        <v>2448</v>
      </c>
      <c r="E312" s="20" t="s">
        <v>75</v>
      </c>
      <c r="F312" s="1" t="s">
        <v>111</v>
      </c>
    </row>
    <row r="313" spans="1:6" x14ac:dyDescent="0.2">
      <c r="A313" s="1" t="s">
        <v>2449</v>
      </c>
      <c r="E313" s="20">
        <f>3*2</f>
        <v>6</v>
      </c>
      <c r="F313" s="1" t="s">
        <v>62</v>
      </c>
    </row>
    <row r="314" spans="1:6" x14ac:dyDescent="0.2">
      <c r="A314" s="1" t="s">
        <v>2450</v>
      </c>
      <c r="E314" s="30">
        <f>((1+15.56%)^(1/2)-1)*100</f>
        <v>7.4988372030134975</v>
      </c>
      <c r="F314" s="1" t="s">
        <v>63</v>
      </c>
    </row>
    <row r="315" spans="1:6" x14ac:dyDescent="0.2">
      <c r="E315" s="50">
        <f>PV(E314/100,E313,E316,E317)</f>
        <v>-1000.0545818469651</v>
      </c>
      <c r="F315" s="1" t="s">
        <v>64</v>
      </c>
    </row>
    <row r="316" spans="1:6" x14ac:dyDescent="0.2">
      <c r="A316" s="1" t="s">
        <v>2451</v>
      </c>
      <c r="E316" s="20">
        <f>15%/2*1000</f>
        <v>75</v>
      </c>
      <c r="F316" s="1" t="s">
        <v>65</v>
      </c>
    </row>
    <row r="317" spans="1:6" x14ac:dyDescent="0.2">
      <c r="A317" s="1" t="s">
        <v>2452</v>
      </c>
      <c r="E317" s="20">
        <v>1000</v>
      </c>
      <c r="F317" s="1" t="s">
        <v>66</v>
      </c>
    </row>
    <row r="319" spans="1:6" x14ac:dyDescent="0.2">
      <c r="C319" s="1" t="s">
        <v>2453</v>
      </c>
    </row>
  </sheetData>
  <mergeCells count="3">
    <mergeCell ref="A1:H1"/>
    <mergeCell ref="D68:D69"/>
    <mergeCell ref="E68:E69"/>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2CCE1-C2F0-5B40-9E86-8542ACD8E473}">
  <dimension ref="A1:K465"/>
  <sheetViews>
    <sheetView rightToLeft="1" topLeftCell="A493" zoomScale="269" workbookViewId="0">
      <selection activeCell="H230" sqref="H230"/>
    </sheetView>
  </sheetViews>
  <sheetFormatPr baseColWidth="10" defaultRowHeight="16" x14ac:dyDescent="0.2"/>
  <cols>
    <col min="3" max="3" width="11.1640625" bestFit="1" customWidth="1"/>
    <col min="4" max="4" width="11.6640625" bestFit="1" customWidth="1"/>
  </cols>
  <sheetData>
    <row r="1" spans="1:8" x14ac:dyDescent="0.2">
      <c r="A1" s="505" t="s">
        <v>1088</v>
      </c>
      <c r="B1" s="505"/>
      <c r="C1" s="505"/>
      <c r="D1" s="505"/>
      <c r="E1" s="505"/>
      <c r="F1" s="505"/>
      <c r="G1" s="505"/>
      <c r="H1" s="505"/>
    </row>
    <row r="3" spans="1:8" s="1" customFormat="1" x14ac:dyDescent="0.2">
      <c r="A3" s="139" t="s">
        <v>909</v>
      </c>
      <c r="B3" s="139"/>
      <c r="C3" s="139"/>
      <c r="D3" s="139"/>
      <c r="E3" s="139"/>
      <c r="F3" s="139"/>
      <c r="G3" s="139"/>
      <c r="H3" s="139"/>
    </row>
    <row r="4" spans="1:8" s="1" customFormat="1" x14ac:dyDescent="0.2"/>
    <row r="5" spans="1:8" s="1" customFormat="1" x14ac:dyDescent="0.2">
      <c r="A5" s="1" t="s">
        <v>1089</v>
      </c>
    </row>
    <row r="6" spans="1:8" s="1" customFormat="1" x14ac:dyDescent="0.2">
      <c r="A6" s="1" t="s">
        <v>1090</v>
      </c>
    </row>
    <row r="7" spans="1:8" s="1" customFormat="1" x14ac:dyDescent="0.2">
      <c r="A7" s="1" t="s">
        <v>1091</v>
      </c>
    </row>
    <row r="8" spans="1:8" s="1" customFormat="1" x14ac:dyDescent="0.2">
      <c r="A8" s="1" t="s">
        <v>1092</v>
      </c>
    </row>
    <row r="9" spans="1:8" s="1" customFormat="1" x14ac:dyDescent="0.2">
      <c r="A9" s="1" t="s">
        <v>1093</v>
      </c>
    </row>
    <row r="10" spans="1:8" s="1" customFormat="1" x14ac:dyDescent="0.2">
      <c r="A10" s="1" t="s">
        <v>1094</v>
      </c>
    </row>
    <row r="11" spans="1:8" s="1" customFormat="1" x14ac:dyDescent="0.2">
      <c r="A11" s="1" t="s">
        <v>1095</v>
      </c>
    </row>
    <row r="12" spans="1:8" s="1" customFormat="1" x14ac:dyDescent="0.2"/>
    <row r="13" spans="1:8" s="1" customFormat="1" x14ac:dyDescent="0.2">
      <c r="A13" s="1" t="s">
        <v>1096</v>
      </c>
    </row>
    <row r="14" spans="1:8" s="1" customFormat="1" ht="17" thickBot="1" x14ac:dyDescent="0.25"/>
    <row r="15" spans="1:8" s="1" customFormat="1" ht="17" thickBot="1" x14ac:dyDescent="0.25">
      <c r="A15" s="60" t="s">
        <v>1097</v>
      </c>
      <c r="B15" s="8"/>
      <c r="C15" s="8"/>
      <c r="D15" s="8"/>
      <c r="E15" s="8"/>
      <c r="F15" s="8"/>
      <c r="G15" s="8"/>
      <c r="H15" s="9"/>
    </row>
    <row r="16" spans="1:8" s="1" customFormat="1" x14ac:dyDescent="0.2">
      <c r="A16" s="1" t="s">
        <v>1098</v>
      </c>
    </row>
    <row r="17" spans="1:8" s="1" customFormat="1" x14ac:dyDescent="0.2"/>
    <row r="18" spans="1:8" s="1" customFormat="1" x14ac:dyDescent="0.2"/>
    <row r="19" spans="1:8" s="1" customFormat="1" x14ac:dyDescent="0.2"/>
    <row r="20" spans="1:8" s="1" customFormat="1" x14ac:dyDescent="0.2"/>
    <row r="21" spans="1:8" s="1" customFormat="1" x14ac:dyDescent="0.2"/>
    <row r="22" spans="1:8" s="1" customFormat="1" ht="17" thickBot="1" x14ac:dyDescent="0.25"/>
    <row r="23" spans="1:8" s="1" customFormat="1" ht="17" thickBot="1" x14ac:dyDescent="0.25">
      <c r="A23" s="60" t="s">
        <v>1099</v>
      </c>
      <c r="B23" s="8"/>
      <c r="C23" s="8"/>
      <c r="D23" s="8"/>
      <c r="E23" s="8"/>
      <c r="F23" s="8"/>
      <c r="G23" s="8"/>
      <c r="H23" s="9"/>
    </row>
    <row r="24" spans="1:8" s="1" customFormat="1" x14ac:dyDescent="0.2">
      <c r="A24" s="1" t="s">
        <v>1100</v>
      </c>
    </row>
    <row r="25" spans="1:8" s="1" customFormat="1" x14ac:dyDescent="0.2"/>
    <row r="26" spans="1:8" s="1" customFormat="1" x14ac:dyDescent="0.2"/>
    <row r="27" spans="1:8" s="1" customFormat="1" x14ac:dyDescent="0.2"/>
    <row r="28" spans="1:8" s="1" customFormat="1" ht="17" thickBot="1" x14ac:dyDescent="0.25"/>
    <row r="29" spans="1:8" s="1" customFormat="1" ht="17" thickBot="1" x14ac:dyDescent="0.25">
      <c r="A29" s="60" t="s">
        <v>1101</v>
      </c>
      <c r="B29" s="8"/>
      <c r="C29" s="8"/>
      <c r="D29" s="8"/>
      <c r="E29" s="8"/>
      <c r="F29" s="8"/>
      <c r="G29" s="8"/>
      <c r="H29" s="9"/>
    </row>
    <row r="30" spans="1:8" s="1" customFormat="1" x14ac:dyDescent="0.2">
      <c r="A30" s="1" t="s">
        <v>1102</v>
      </c>
    </row>
    <row r="31" spans="1:8" s="1" customFormat="1" x14ac:dyDescent="0.2">
      <c r="A31" s="1" t="s">
        <v>1103</v>
      </c>
    </row>
    <row r="32" spans="1:8" s="1" customFormat="1" x14ac:dyDescent="0.2"/>
    <row r="33" spans="1:8" s="1" customFormat="1" x14ac:dyDescent="0.2"/>
    <row r="34" spans="1:8" s="1" customFormat="1" ht="17" thickBot="1" x14ac:dyDescent="0.25"/>
    <row r="35" spans="1:8" s="1" customFormat="1" ht="17" thickBot="1" x14ac:dyDescent="0.25">
      <c r="A35" s="60" t="s">
        <v>1104</v>
      </c>
      <c r="B35" s="8"/>
      <c r="C35" s="8"/>
      <c r="D35" s="8"/>
      <c r="E35" s="8"/>
      <c r="F35" s="8"/>
      <c r="G35" s="8"/>
      <c r="H35" s="9"/>
    </row>
    <row r="36" spans="1:8" s="1" customFormat="1" x14ac:dyDescent="0.2">
      <c r="A36" s="1" t="s">
        <v>1105</v>
      </c>
    </row>
    <row r="37" spans="1:8" s="1" customFormat="1" x14ac:dyDescent="0.2">
      <c r="A37" s="1" t="s">
        <v>1106</v>
      </c>
    </row>
    <row r="38" spans="1:8" s="1" customFormat="1" x14ac:dyDescent="0.2"/>
    <row r="39" spans="1:8" s="1" customFormat="1" x14ac:dyDescent="0.2"/>
    <row r="40" spans="1:8" s="1" customFormat="1" x14ac:dyDescent="0.2"/>
    <row r="41" spans="1:8" s="1" customFormat="1" x14ac:dyDescent="0.2"/>
    <row r="42" spans="1:8" s="1" customFormat="1" x14ac:dyDescent="0.2"/>
    <row r="43" spans="1:8" s="1" customFormat="1" x14ac:dyDescent="0.2"/>
    <row r="44" spans="1:8" s="1" customFormat="1" x14ac:dyDescent="0.2">
      <c r="A44" s="18" t="s">
        <v>1107</v>
      </c>
    </row>
    <row r="45" spans="1:8" s="1" customFormat="1" x14ac:dyDescent="0.2"/>
    <row r="46" spans="1:8" s="1" customFormat="1" x14ac:dyDescent="0.2">
      <c r="A46" s="139" t="s">
        <v>919</v>
      </c>
      <c r="B46" s="139"/>
      <c r="C46" s="139"/>
      <c r="D46" s="139"/>
      <c r="E46" s="139"/>
      <c r="F46" s="139"/>
      <c r="G46" s="139"/>
      <c r="H46" s="139"/>
    </row>
    <row r="47" spans="1:8" s="1" customFormat="1" x14ac:dyDescent="0.2">
      <c r="B47" s="1" t="s">
        <v>1108</v>
      </c>
      <c r="E47" s="20" t="s">
        <v>1109</v>
      </c>
    </row>
    <row r="48" spans="1:8" s="1" customFormat="1" x14ac:dyDescent="0.2">
      <c r="B48" s="20">
        <v>36</v>
      </c>
      <c r="D48" s="20">
        <v>13</v>
      </c>
      <c r="E48" s="20">
        <v>12</v>
      </c>
      <c r="F48" s="20">
        <v>1</v>
      </c>
      <c r="G48" s="20">
        <v>0</v>
      </c>
    </row>
    <row r="49" spans="1:6" s="1" customFormat="1" x14ac:dyDescent="0.2"/>
    <row r="50" spans="1:6" s="1" customFormat="1" x14ac:dyDescent="0.2">
      <c r="A50" s="1" t="s">
        <v>1110</v>
      </c>
    </row>
    <row r="51" spans="1:6" s="1" customFormat="1" x14ac:dyDescent="0.2">
      <c r="C51" s="1" t="s">
        <v>1111</v>
      </c>
      <c r="F51" s="1" t="s">
        <v>1112</v>
      </c>
    </row>
    <row r="52" spans="1:6" s="1" customFormat="1" x14ac:dyDescent="0.2">
      <c r="C52" s="1" t="s">
        <v>1113</v>
      </c>
      <c r="F52" s="1" t="s">
        <v>1114</v>
      </c>
    </row>
    <row r="53" spans="1:6" s="1" customFormat="1" x14ac:dyDescent="0.2">
      <c r="C53" s="1" t="s">
        <v>1115</v>
      </c>
      <c r="F53" s="1" t="s">
        <v>1115</v>
      </c>
    </row>
    <row r="54" spans="1:6" s="1" customFormat="1" x14ac:dyDescent="0.2"/>
    <row r="55" spans="1:6" s="1" customFormat="1" x14ac:dyDescent="0.2"/>
    <row r="56" spans="1:6" s="1" customFormat="1" x14ac:dyDescent="0.2">
      <c r="A56" s="1" t="s">
        <v>1116</v>
      </c>
    </row>
    <row r="57" spans="1:6" s="1" customFormat="1" x14ac:dyDescent="0.2">
      <c r="A57" s="1" t="s">
        <v>1117</v>
      </c>
    </row>
    <row r="58" spans="1:6" s="1" customFormat="1" x14ac:dyDescent="0.2"/>
    <row r="59" spans="1:6" s="1" customFormat="1" x14ac:dyDescent="0.2"/>
    <row r="60" spans="1:6" s="1" customFormat="1" x14ac:dyDescent="0.2"/>
    <row r="61" spans="1:6" s="1" customFormat="1" x14ac:dyDescent="0.2">
      <c r="A61" s="1" t="s">
        <v>1118</v>
      </c>
    </row>
    <row r="62" spans="1:6" s="1" customFormat="1" x14ac:dyDescent="0.2">
      <c r="A62" s="1" t="s">
        <v>1119</v>
      </c>
    </row>
    <row r="63" spans="1:6" s="1" customFormat="1" x14ac:dyDescent="0.2">
      <c r="A63" s="1" t="s">
        <v>1120</v>
      </c>
    </row>
    <row r="64" spans="1:6" s="1" customFormat="1" x14ac:dyDescent="0.2"/>
    <row r="65" spans="1:8" s="1" customFormat="1" x14ac:dyDescent="0.2">
      <c r="E65" s="27" t="s">
        <v>1121</v>
      </c>
      <c r="F65" s="27" t="s">
        <v>1122</v>
      </c>
      <c r="G65" s="27" t="s">
        <v>60</v>
      </c>
    </row>
    <row r="66" spans="1:8" s="1" customFormat="1" x14ac:dyDescent="0.2">
      <c r="A66" s="1" t="s">
        <v>660</v>
      </c>
      <c r="E66" s="20" t="s">
        <v>75</v>
      </c>
      <c r="F66" s="20" t="s">
        <v>75</v>
      </c>
      <c r="G66" s="20" t="s">
        <v>111</v>
      </c>
    </row>
    <row r="67" spans="1:8" s="1" customFormat="1" x14ac:dyDescent="0.2">
      <c r="A67" s="1" t="s">
        <v>1123</v>
      </c>
      <c r="E67" s="20">
        <v>24</v>
      </c>
      <c r="F67" s="20">
        <v>12</v>
      </c>
      <c r="G67" s="20" t="s">
        <v>62</v>
      </c>
    </row>
    <row r="68" spans="1:8" s="1" customFormat="1" x14ac:dyDescent="0.2">
      <c r="A68" s="1" t="s">
        <v>1124</v>
      </c>
      <c r="B68" s="140">
        <f>E71</f>
        <v>19092.268456084465</v>
      </c>
      <c r="C68" s="1" t="s">
        <v>1125</v>
      </c>
      <c r="E68" s="20">
        <v>1.25</v>
      </c>
      <c r="F68" s="20">
        <v>1.25</v>
      </c>
      <c r="G68" s="20" t="s">
        <v>63</v>
      </c>
    </row>
    <row r="69" spans="1:8" s="1" customFormat="1" x14ac:dyDescent="0.2">
      <c r="A69" s="1" t="s">
        <v>1126</v>
      </c>
      <c r="E69" s="50">
        <f>-F71</f>
        <v>-3858.1084253519648</v>
      </c>
      <c r="F69" s="20">
        <v>0</v>
      </c>
      <c r="G69" s="20" t="s">
        <v>64</v>
      </c>
    </row>
    <row r="70" spans="1:8" s="1" customFormat="1" x14ac:dyDescent="0.2">
      <c r="E70" s="20">
        <v>-500</v>
      </c>
      <c r="F70" s="20">
        <v>-300</v>
      </c>
      <c r="G70" s="20" t="s">
        <v>65</v>
      </c>
    </row>
    <row r="71" spans="1:8" s="1" customFormat="1" x14ac:dyDescent="0.2">
      <c r="E71" s="141">
        <f>FV(E68/100,E67,E70,E69)</f>
        <v>19092.268456084465</v>
      </c>
      <c r="F71" s="50">
        <f>FV(F68/100,F67,F70,F69)</f>
        <v>3858.1084253519648</v>
      </c>
      <c r="G71" s="20" t="s">
        <v>66</v>
      </c>
      <c r="H71" s="20" t="s">
        <v>227</v>
      </c>
    </row>
    <row r="72" spans="1:8" s="1" customFormat="1" x14ac:dyDescent="0.2"/>
    <row r="73" spans="1:8" s="1" customFormat="1" x14ac:dyDescent="0.2">
      <c r="A73" s="139" t="s">
        <v>927</v>
      </c>
      <c r="B73" s="139"/>
      <c r="C73" s="139"/>
      <c r="D73" s="139"/>
      <c r="E73" s="139"/>
      <c r="F73" s="139"/>
      <c r="G73" s="139"/>
      <c r="H73" s="139"/>
    </row>
    <row r="74" spans="1:8" s="1" customFormat="1" x14ac:dyDescent="0.2"/>
    <row r="75" spans="1:8" s="1" customFormat="1" x14ac:dyDescent="0.2">
      <c r="F75" s="1" t="s">
        <v>1127</v>
      </c>
    </row>
    <row r="76" spans="1:8" s="1" customFormat="1" x14ac:dyDescent="0.2">
      <c r="D76" s="20">
        <v>2</v>
      </c>
      <c r="E76" s="46">
        <v>1.5</v>
      </c>
      <c r="F76" s="20"/>
      <c r="G76" s="20">
        <v>0</v>
      </c>
    </row>
    <row r="77" spans="1:8" s="1" customFormat="1" x14ac:dyDescent="0.2">
      <c r="D77" s="20"/>
      <c r="E77" s="20"/>
      <c r="F77" s="20"/>
      <c r="G77" s="20"/>
    </row>
    <row r="78" spans="1:8" s="1" customFormat="1" x14ac:dyDescent="0.2">
      <c r="A78" s="1" t="s">
        <v>29</v>
      </c>
      <c r="D78" s="20"/>
      <c r="E78" s="20"/>
      <c r="F78" s="20"/>
      <c r="G78" s="20" t="s">
        <v>1128</v>
      </c>
    </row>
    <row r="79" spans="1:8" s="1" customFormat="1" x14ac:dyDescent="0.2">
      <c r="D79" s="20"/>
      <c r="E79" s="20"/>
      <c r="F79" s="20"/>
      <c r="G79" s="20"/>
    </row>
    <row r="80" spans="1:8" s="1" customFormat="1" x14ac:dyDescent="0.2">
      <c r="C80" s="1" t="s">
        <v>1129</v>
      </c>
      <c r="E80" s="1" t="s">
        <v>1130</v>
      </c>
    </row>
    <row r="81" spans="1:5" s="1" customFormat="1" x14ac:dyDescent="0.2">
      <c r="C81" s="1" t="s">
        <v>1131</v>
      </c>
      <c r="E81" s="1" t="s">
        <v>1132</v>
      </c>
    </row>
    <row r="82" spans="1:5" s="1" customFormat="1" x14ac:dyDescent="0.2">
      <c r="B82" s="1" t="s">
        <v>1133</v>
      </c>
      <c r="E82" s="1" t="s">
        <v>1134</v>
      </c>
    </row>
    <row r="83" spans="1:5" s="1" customFormat="1" x14ac:dyDescent="0.2">
      <c r="C83" s="1" t="s">
        <v>1135</v>
      </c>
      <c r="E83" s="1" t="s">
        <v>1136</v>
      </c>
    </row>
    <row r="84" spans="1:5" s="1" customFormat="1" x14ac:dyDescent="0.2"/>
    <row r="85" spans="1:5" s="1" customFormat="1" x14ac:dyDescent="0.2"/>
    <row r="86" spans="1:5" s="1" customFormat="1" x14ac:dyDescent="0.2">
      <c r="B86" s="1" t="s">
        <v>1137</v>
      </c>
    </row>
    <row r="87" spans="1:5" s="1" customFormat="1" x14ac:dyDescent="0.2">
      <c r="B87" s="1" t="s">
        <v>1138</v>
      </c>
    </row>
    <row r="88" spans="1:5" s="1" customFormat="1" x14ac:dyDescent="0.2"/>
    <row r="89" spans="1:5" s="1" customFormat="1" x14ac:dyDescent="0.2"/>
    <row r="90" spans="1:5" s="1" customFormat="1" x14ac:dyDescent="0.2">
      <c r="B90" s="1" t="s">
        <v>1139</v>
      </c>
    </row>
    <row r="91" spans="1:5" s="1" customFormat="1" x14ac:dyDescent="0.2">
      <c r="B91" s="1" t="s">
        <v>1140</v>
      </c>
    </row>
    <row r="92" spans="1:5" s="1" customFormat="1" x14ac:dyDescent="0.2">
      <c r="B92" s="1" t="s">
        <v>1141</v>
      </c>
    </row>
    <row r="93" spans="1:5" s="1" customFormat="1" x14ac:dyDescent="0.2"/>
    <row r="94" spans="1:5" s="1" customFormat="1" x14ac:dyDescent="0.2"/>
    <row r="95" spans="1:5" s="1" customFormat="1" x14ac:dyDescent="0.2"/>
    <row r="96" spans="1:5" s="1" customFormat="1" x14ac:dyDescent="0.2">
      <c r="A96" s="18" t="s">
        <v>1142</v>
      </c>
    </row>
    <row r="97" spans="1:6" s="1" customFormat="1" x14ac:dyDescent="0.2"/>
    <row r="98" spans="1:6" s="1" customFormat="1" x14ac:dyDescent="0.2"/>
    <row r="99" spans="1:6" s="1" customFormat="1" x14ac:dyDescent="0.2"/>
    <row r="100" spans="1:6" s="1" customFormat="1" x14ac:dyDescent="0.2">
      <c r="A100" s="1" t="s">
        <v>1143</v>
      </c>
    </row>
    <row r="101" spans="1:6" s="1" customFormat="1" x14ac:dyDescent="0.2"/>
    <row r="102" spans="1:6" s="1" customFormat="1" x14ac:dyDescent="0.2"/>
    <row r="103" spans="1:6" s="1" customFormat="1" x14ac:dyDescent="0.2">
      <c r="A103" s="1" t="s">
        <v>1144</v>
      </c>
    </row>
    <row r="104" spans="1:6" s="1" customFormat="1" x14ac:dyDescent="0.2"/>
    <row r="105" spans="1:6" s="1" customFormat="1" x14ac:dyDescent="0.2">
      <c r="D105" s="27" t="s">
        <v>1145</v>
      </c>
      <c r="E105" s="27" t="s">
        <v>60</v>
      </c>
    </row>
    <row r="106" spans="1:6" s="1" customFormat="1" x14ac:dyDescent="0.2">
      <c r="D106" s="20" t="s">
        <v>75</v>
      </c>
      <c r="E106" s="20" t="s">
        <v>111</v>
      </c>
    </row>
    <row r="107" spans="1:6" s="1" customFormat="1" x14ac:dyDescent="0.2">
      <c r="A107" s="1" t="s">
        <v>489</v>
      </c>
      <c r="D107" s="20">
        <v>1.5</v>
      </c>
      <c r="E107" s="20" t="s">
        <v>62</v>
      </c>
    </row>
    <row r="108" spans="1:6" s="1" customFormat="1" x14ac:dyDescent="0.2">
      <c r="A108" s="1" t="s">
        <v>1146</v>
      </c>
      <c r="D108" s="20">
        <v>6.09</v>
      </c>
      <c r="E108" s="20" t="s">
        <v>63</v>
      </c>
    </row>
    <row r="109" spans="1:6" s="1" customFormat="1" x14ac:dyDescent="0.2">
      <c r="A109" s="1" t="s">
        <v>1147</v>
      </c>
      <c r="D109" s="142">
        <f>PV(D108/100,D107,D110,D111)</f>
        <v>-457570.8296765798</v>
      </c>
      <c r="E109" s="20" t="s">
        <v>64</v>
      </c>
      <c r="F109" s="1" t="s">
        <v>77</v>
      </c>
    </row>
    <row r="110" spans="1:6" s="1" customFormat="1" x14ac:dyDescent="0.2">
      <c r="D110" s="20">
        <v>0</v>
      </c>
      <c r="E110" s="20" t="s">
        <v>65</v>
      </c>
    </row>
    <row r="111" spans="1:6" s="1" customFormat="1" x14ac:dyDescent="0.2">
      <c r="A111" s="1" t="s">
        <v>1148</v>
      </c>
      <c r="D111" s="57">
        <v>500000</v>
      </c>
      <c r="E111" s="20" t="s">
        <v>66</v>
      </c>
    </row>
    <row r="112" spans="1:6" s="1" customFormat="1" x14ac:dyDescent="0.2"/>
    <row r="113" spans="1:8" s="1" customFormat="1" x14ac:dyDescent="0.2">
      <c r="A113" s="1" t="s">
        <v>1149</v>
      </c>
    </row>
    <row r="114" spans="1:8" s="1" customFormat="1" x14ac:dyDescent="0.2"/>
    <row r="115" spans="1:8" s="1" customFormat="1" x14ac:dyDescent="0.2">
      <c r="A115" s="18" t="s">
        <v>1150</v>
      </c>
    </row>
    <row r="116" spans="1:8" s="1" customFormat="1" x14ac:dyDescent="0.2">
      <c r="A116" s="1" t="s">
        <v>1151</v>
      </c>
    </row>
    <row r="117" spans="1:8" s="1" customFormat="1" x14ac:dyDescent="0.2"/>
    <row r="118" spans="1:8" s="1" customFormat="1" x14ac:dyDescent="0.2">
      <c r="C118" s="27" t="s">
        <v>1145</v>
      </c>
      <c r="D118" s="10" t="s">
        <v>362</v>
      </c>
      <c r="E118" s="27" t="s">
        <v>60</v>
      </c>
    </row>
    <row r="119" spans="1:8" s="1" customFormat="1" x14ac:dyDescent="0.2">
      <c r="C119" s="20" t="s">
        <v>75</v>
      </c>
      <c r="D119" s="20" t="s">
        <v>75</v>
      </c>
      <c r="E119" s="20" t="s">
        <v>111</v>
      </c>
    </row>
    <row r="120" spans="1:8" s="1" customFormat="1" x14ac:dyDescent="0.2">
      <c r="C120" s="20">
        <v>1.5</v>
      </c>
      <c r="D120" s="20">
        <v>9999</v>
      </c>
      <c r="E120" s="20" t="s">
        <v>62</v>
      </c>
    </row>
    <row r="121" spans="1:8" s="1" customFormat="1" x14ac:dyDescent="0.2">
      <c r="C121" s="20">
        <v>6.09</v>
      </c>
      <c r="D121" s="20">
        <v>3</v>
      </c>
      <c r="E121" s="20" t="s">
        <v>63</v>
      </c>
    </row>
    <row r="122" spans="1:8" s="1" customFormat="1" x14ac:dyDescent="0.2">
      <c r="C122" s="142">
        <f>PV(C121/100,C120,C123,C124)</f>
        <v>-457570.82967657986</v>
      </c>
      <c r="D122" s="57">
        <f>PV(D121/100,D120,D123,D124)</f>
        <v>-500000.00000000006</v>
      </c>
      <c r="E122" s="20" t="s">
        <v>64</v>
      </c>
      <c r="F122" s="1" t="s">
        <v>1152</v>
      </c>
    </row>
    <row r="123" spans="1:8" s="1" customFormat="1" x14ac:dyDescent="0.2">
      <c r="C123" s="20">
        <v>0</v>
      </c>
      <c r="D123" s="20">
        <v>15000</v>
      </c>
      <c r="E123" s="20" t="s">
        <v>65</v>
      </c>
    </row>
    <row r="124" spans="1:8" s="1" customFormat="1" x14ac:dyDescent="0.2">
      <c r="C124" s="57">
        <f>-D122</f>
        <v>500000.00000000006</v>
      </c>
      <c r="D124" s="20">
        <v>0</v>
      </c>
      <c r="E124" s="20" t="s">
        <v>66</v>
      </c>
    </row>
    <row r="125" spans="1:8" s="1" customFormat="1" x14ac:dyDescent="0.2"/>
    <row r="126" spans="1:8" s="1" customFormat="1" x14ac:dyDescent="0.2">
      <c r="A126" s="139" t="s">
        <v>1153</v>
      </c>
      <c r="B126" s="139"/>
      <c r="C126" s="139"/>
      <c r="D126" s="139"/>
      <c r="E126" s="139"/>
      <c r="F126" s="139"/>
      <c r="G126" s="139"/>
      <c r="H126" s="139"/>
    </row>
    <row r="127" spans="1:8" s="1" customFormat="1" x14ac:dyDescent="0.2">
      <c r="A127" s="1" t="s">
        <v>1154</v>
      </c>
    </row>
    <row r="128" spans="1:8" s="1" customFormat="1" x14ac:dyDescent="0.2">
      <c r="A128" s="1" t="s">
        <v>1155</v>
      </c>
    </row>
    <row r="129" spans="1:6" s="1" customFormat="1" x14ac:dyDescent="0.2">
      <c r="A129" s="1" t="s">
        <v>1156</v>
      </c>
    </row>
    <row r="130" spans="1:6" s="1" customFormat="1" x14ac:dyDescent="0.2">
      <c r="A130" s="1" t="s">
        <v>1157</v>
      </c>
    </row>
    <row r="131" spans="1:6" s="1" customFormat="1" x14ac:dyDescent="0.2"/>
    <row r="132" spans="1:6" s="1" customFormat="1" x14ac:dyDescent="0.2">
      <c r="A132" s="1" t="s">
        <v>1158</v>
      </c>
    </row>
    <row r="133" spans="1:6" s="1" customFormat="1" x14ac:dyDescent="0.2">
      <c r="F133" s="1" t="s">
        <v>60</v>
      </c>
    </row>
    <row r="134" spans="1:6" s="1" customFormat="1" x14ac:dyDescent="0.2">
      <c r="E134" s="20" t="s">
        <v>75</v>
      </c>
      <c r="F134" s="1" t="s">
        <v>111</v>
      </c>
    </row>
    <row r="135" spans="1:6" s="1" customFormat="1" x14ac:dyDescent="0.2">
      <c r="E135" s="20">
        <f>20-10</f>
        <v>10</v>
      </c>
      <c r="F135" s="1" t="s">
        <v>62</v>
      </c>
    </row>
    <row r="136" spans="1:6" s="1" customFormat="1" x14ac:dyDescent="0.2">
      <c r="E136" s="20">
        <v>5</v>
      </c>
      <c r="F136" s="1" t="s">
        <v>63</v>
      </c>
    </row>
    <row r="137" spans="1:6" s="1" customFormat="1" x14ac:dyDescent="0.2">
      <c r="E137" s="20">
        <v>100000</v>
      </c>
      <c r="F137" s="1" t="s">
        <v>64</v>
      </c>
    </row>
    <row r="138" spans="1:6" s="1" customFormat="1" x14ac:dyDescent="0.2">
      <c r="E138" s="50">
        <f>PMT(E136/100,E135,E137,E139)</f>
        <v>-12950.457496545667</v>
      </c>
      <c r="F138" s="1" t="s">
        <v>65</v>
      </c>
    </row>
    <row r="139" spans="1:6" s="1" customFormat="1" x14ac:dyDescent="0.2">
      <c r="E139" s="20">
        <v>0</v>
      </c>
      <c r="F139" s="1" t="s">
        <v>66</v>
      </c>
    </row>
    <row r="140" spans="1:6" s="1" customFormat="1" x14ac:dyDescent="0.2"/>
    <row r="141" spans="1:6" s="1" customFormat="1" x14ac:dyDescent="0.2">
      <c r="A141" s="1" t="s">
        <v>1159</v>
      </c>
    </row>
    <row r="142" spans="1:6" s="1" customFormat="1" x14ac:dyDescent="0.2">
      <c r="F142" s="1" t="s">
        <v>436</v>
      </c>
    </row>
    <row r="143" spans="1:6" s="1" customFormat="1" x14ac:dyDescent="0.2">
      <c r="E143" s="20">
        <v>6</v>
      </c>
      <c r="F143" s="1" t="s">
        <v>437</v>
      </c>
    </row>
    <row r="144" spans="1:6" s="1" customFormat="1" x14ac:dyDescent="0.2">
      <c r="E144" s="20">
        <v>6</v>
      </c>
      <c r="F144" s="1" t="s">
        <v>438</v>
      </c>
    </row>
    <row r="145" spans="1:8" s="1" customFormat="1" x14ac:dyDescent="0.2">
      <c r="E145" s="20"/>
      <c r="F145" s="1" t="s">
        <v>1160</v>
      </c>
    </row>
    <row r="146" spans="1:8" s="1" customFormat="1" x14ac:dyDescent="0.2">
      <c r="E146" s="20"/>
      <c r="F146" s="1" t="s">
        <v>1160</v>
      </c>
    </row>
    <row r="147" spans="1:8" s="1" customFormat="1" x14ac:dyDescent="0.2">
      <c r="A147" s="1" t="s">
        <v>1161</v>
      </c>
      <c r="E147" s="143">
        <f>E138*PV(5%,4,-1)</f>
        <v>-45921.681289009328</v>
      </c>
      <c r="F147" s="1" t="s">
        <v>1162</v>
      </c>
      <c r="G147" s="1" t="s">
        <v>227</v>
      </c>
    </row>
    <row r="148" spans="1:8" s="1" customFormat="1" x14ac:dyDescent="0.2"/>
    <row r="149" spans="1:8" s="1" customFormat="1" x14ac:dyDescent="0.2">
      <c r="A149" s="1" t="s">
        <v>1163</v>
      </c>
    </row>
    <row r="150" spans="1:8" s="1" customFormat="1" x14ac:dyDescent="0.2">
      <c r="A150" s="1" t="s">
        <v>1164</v>
      </c>
    </row>
    <row r="151" spans="1:8" s="1" customFormat="1" x14ac:dyDescent="0.2"/>
    <row r="152" spans="1:8" s="1" customFormat="1" x14ac:dyDescent="0.2"/>
    <row r="153" spans="1:8" s="1" customFormat="1" x14ac:dyDescent="0.2">
      <c r="B153" s="142">
        <f>-E147*1.08^6</f>
        <v>72871.936903946858</v>
      </c>
    </row>
    <row r="154" spans="1:8" s="1" customFormat="1" x14ac:dyDescent="0.2"/>
    <row r="155" spans="1:8" s="1" customFormat="1" x14ac:dyDescent="0.2">
      <c r="A155" s="1" t="s">
        <v>1165</v>
      </c>
    </row>
    <row r="156" spans="1:8" s="1" customFormat="1" x14ac:dyDescent="0.2"/>
    <row r="157" spans="1:8" s="1" customFormat="1" x14ac:dyDescent="0.2"/>
    <row r="158" spans="1:8" s="1" customFormat="1" x14ac:dyDescent="0.2">
      <c r="A158" s="139" t="s">
        <v>1166</v>
      </c>
      <c r="B158" s="139"/>
      <c r="C158" s="139"/>
      <c r="D158" s="139"/>
      <c r="E158" s="139"/>
      <c r="F158" s="139"/>
      <c r="G158" s="139"/>
      <c r="H158" s="139"/>
    </row>
    <row r="159" spans="1:8" s="1" customFormat="1" x14ac:dyDescent="0.2"/>
    <row r="160" spans="1:8" s="1" customFormat="1" x14ac:dyDescent="0.2">
      <c r="F160" s="20">
        <v>0</v>
      </c>
    </row>
    <row r="161" spans="1:6" s="1" customFormat="1" x14ac:dyDescent="0.2"/>
    <row r="162" spans="1:6" s="1" customFormat="1" x14ac:dyDescent="0.2">
      <c r="F162" s="1" t="s">
        <v>1167</v>
      </c>
    </row>
    <row r="163" spans="1:6" s="1" customFormat="1" x14ac:dyDescent="0.2">
      <c r="D163" s="1" t="s">
        <v>1168</v>
      </c>
    </row>
    <row r="164" spans="1:6" s="1" customFormat="1" x14ac:dyDescent="0.2">
      <c r="D164" s="1" t="s">
        <v>1131</v>
      </c>
    </row>
    <row r="165" spans="1:6" s="1" customFormat="1" x14ac:dyDescent="0.2">
      <c r="D165" s="1" t="s">
        <v>1169</v>
      </c>
    </row>
    <row r="166" spans="1:6" s="1" customFormat="1" x14ac:dyDescent="0.2"/>
    <row r="167" spans="1:6" s="1" customFormat="1" x14ac:dyDescent="0.2">
      <c r="A167" s="1" t="s">
        <v>1170</v>
      </c>
    </row>
    <row r="168" spans="1:6" s="1" customFormat="1" x14ac:dyDescent="0.2">
      <c r="A168" s="1" t="s">
        <v>1171</v>
      </c>
    </row>
    <row r="169" spans="1:6" s="1" customFormat="1" x14ac:dyDescent="0.2">
      <c r="A169" s="1" t="s">
        <v>1172</v>
      </c>
    </row>
    <row r="170" spans="1:6" s="1" customFormat="1" x14ac:dyDescent="0.2">
      <c r="A170" s="1" t="s">
        <v>1173</v>
      </c>
    </row>
    <row r="171" spans="1:6" s="1" customFormat="1" x14ac:dyDescent="0.2"/>
    <row r="172" spans="1:6" s="1" customFormat="1" x14ac:dyDescent="0.2">
      <c r="E172" s="20">
        <v>1</v>
      </c>
      <c r="F172" s="20">
        <v>0</v>
      </c>
    </row>
    <row r="173" spans="1:6" s="1" customFormat="1" x14ac:dyDescent="0.2"/>
    <row r="174" spans="1:6" s="1" customFormat="1" x14ac:dyDescent="0.2">
      <c r="F174" s="1" t="s">
        <v>1174</v>
      </c>
    </row>
    <row r="175" spans="1:6" s="1" customFormat="1" x14ac:dyDescent="0.2">
      <c r="D175" s="1" t="s">
        <v>1168</v>
      </c>
      <c r="F175" s="1" t="s">
        <v>1167</v>
      </c>
    </row>
    <row r="176" spans="1:6" s="1" customFormat="1" x14ac:dyDescent="0.2">
      <c r="D176" s="1" t="s">
        <v>1131</v>
      </c>
    </row>
    <row r="177" spans="1:6" s="1" customFormat="1" x14ac:dyDescent="0.2">
      <c r="D177" s="1" t="s">
        <v>1169</v>
      </c>
    </row>
    <row r="178" spans="1:6" s="1" customFormat="1" x14ac:dyDescent="0.2"/>
    <row r="179" spans="1:6" s="1" customFormat="1" x14ac:dyDescent="0.2"/>
    <row r="180" spans="1:6" s="1" customFormat="1" x14ac:dyDescent="0.2">
      <c r="A180" s="1" t="s">
        <v>1175</v>
      </c>
    </row>
    <row r="181" spans="1:6" s="1" customFormat="1" x14ac:dyDescent="0.2">
      <c r="A181" s="1" t="s">
        <v>1176</v>
      </c>
    </row>
    <row r="182" spans="1:6" s="1" customFormat="1" x14ac:dyDescent="0.2"/>
    <row r="183" spans="1:6" s="1" customFormat="1" x14ac:dyDescent="0.2"/>
    <row r="184" spans="1:6" s="1" customFormat="1" x14ac:dyDescent="0.2"/>
    <row r="185" spans="1:6" s="1" customFormat="1" x14ac:dyDescent="0.2">
      <c r="A185" s="18" t="s">
        <v>1177</v>
      </c>
    </row>
    <row r="186" spans="1:6" s="1" customFormat="1" x14ac:dyDescent="0.2">
      <c r="A186" s="18" t="s">
        <v>1178</v>
      </c>
    </row>
    <row r="187" spans="1:6" s="1" customFormat="1" x14ac:dyDescent="0.2"/>
    <row r="188" spans="1:6" s="1" customFormat="1" x14ac:dyDescent="0.2">
      <c r="E188" s="1" t="s">
        <v>60</v>
      </c>
    </row>
    <row r="189" spans="1:6" s="1" customFormat="1" x14ac:dyDescent="0.2">
      <c r="D189" s="20" t="s">
        <v>152</v>
      </c>
      <c r="E189" s="1" t="s">
        <v>111</v>
      </c>
    </row>
    <row r="190" spans="1:6" s="1" customFormat="1" x14ac:dyDescent="0.2">
      <c r="D190" s="20">
        <v>99999</v>
      </c>
      <c r="E190" s="1" t="s">
        <v>62</v>
      </c>
    </row>
    <row r="191" spans="1:6" s="1" customFormat="1" x14ac:dyDescent="0.2">
      <c r="D191" s="144">
        <v>6.8400000000000002E-2</v>
      </c>
      <c r="E191" s="1" t="s">
        <v>63</v>
      </c>
      <c r="F191" s="1" t="s">
        <v>227</v>
      </c>
    </row>
    <row r="192" spans="1:6" s="1" customFormat="1" x14ac:dyDescent="0.2">
      <c r="D192" s="20">
        <v>18750</v>
      </c>
      <c r="E192" s="1" t="s">
        <v>64</v>
      </c>
    </row>
    <row r="193" spans="1:8" s="1" customFormat="1" x14ac:dyDescent="0.2">
      <c r="D193" s="20">
        <v>-1200</v>
      </c>
      <c r="E193" s="1" t="s">
        <v>65</v>
      </c>
    </row>
    <row r="194" spans="1:8" s="1" customFormat="1" x14ac:dyDescent="0.2">
      <c r="D194" s="20">
        <v>0</v>
      </c>
      <c r="E194" s="1" t="s">
        <v>66</v>
      </c>
    </row>
    <row r="195" spans="1:8" s="1" customFormat="1" x14ac:dyDescent="0.2"/>
    <row r="196" spans="1:8" s="1" customFormat="1" x14ac:dyDescent="0.2">
      <c r="A196" s="139" t="s">
        <v>1179</v>
      </c>
      <c r="B196" s="139" t="s">
        <v>1180</v>
      </c>
      <c r="C196" s="139"/>
      <c r="D196" s="139"/>
      <c r="E196" s="139"/>
      <c r="F196" s="139"/>
      <c r="G196" s="139"/>
      <c r="H196" s="139"/>
    </row>
    <row r="197" spans="1:8" s="1" customFormat="1" x14ac:dyDescent="0.2"/>
    <row r="198" spans="1:8" s="1" customFormat="1" x14ac:dyDescent="0.2"/>
    <row r="199" spans="1:8" s="1" customFormat="1" x14ac:dyDescent="0.2"/>
    <row r="200" spans="1:8" s="1" customFormat="1" x14ac:dyDescent="0.2"/>
    <row r="201" spans="1:8" s="1" customFormat="1" x14ac:dyDescent="0.2"/>
    <row r="202" spans="1:8" s="1" customFormat="1" x14ac:dyDescent="0.2"/>
    <row r="203" spans="1:8" s="1" customFormat="1" x14ac:dyDescent="0.2"/>
    <row r="204" spans="1:8" s="1" customFormat="1" x14ac:dyDescent="0.2"/>
    <row r="205" spans="1:8" s="1" customFormat="1" x14ac:dyDescent="0.2"/>
    <row r="206" spans="1:8" s="1" customFormat="1" x14ac:dyDescent="0.2"/>
    <row r="207" spans="1:8" s="1" customFormat="1" x14ac:dyDescent="0.2"/>
    <row r="208" spans="1:8" s="1" customFormat="1" x14ac:dyDescent="0.2"/>
    <row r="209" spans="1:7" s="1" customFormat="1" x14ac:dyDescent="0.2"/>
    <row r="210" spans="1:7" s="1" customFormat="1" x14ac:dyDescent="0.2">
      <c r="A210" s="1" t="s">
        <v>146</v>
      </c>
    </row>
    <row r="211" spans="1:7" s="1" customFormat="1" x14ac:dyDescent="0.2"/>
    <row r="212" spans="1:7" s="1" customFormat="1" x14ac:dyDescent="0.2">
      <c r="A212" s="18" t="s">
        <v>2807</v>
      </c>
    </row>
    <row r="213" spans="1:7" s="1" customFormat="1" x14ac:dyDescent="0.2">
      <c r="A213" s="18" t="s">
        <v>2808</v>
      </c>
    </row>
    <row r="214" spans="1:7" s="1" customFormat="1" x14ac:dyDescent="0.2">
      <c r="A214" s="18"/>
    </row>
    <row r="215" spans="1:7" s="1" customFormat="1" x14ac:dyDescent="0.2"/>
    <row r="216" spans="1:7" s="1" customFormat="1" x14ac:dyDescent="0.2">
      <c r="F216" s="1" t="s">
        <v>1127</v>
      </c>
    </row>
    <row r="217" spans="1:7" s="1" customFormat="1" x14ac:dyDescent="0.2">
      <c r="D217" s="20">
        <v>3</v>
      </c>
      <c r="E217" s="46">
        <v>2</v>
      </c>
      <c r="F217" s="20"/>
      <c r="G217" s="20">
        <v>0</v>
      </c>
    </row>
    <row r="218" spans="1:7" s="1" customFormat="1" x14ac:dyDescent="0.2">
      <c r="D218" s="20"/>
      <c r="E218" s="20"/>
      <c r="F218" s="20"/>
      <c r="G218" s="20"/>
    </row>
    <row r="219" spans="1:7" s="1" customFormat="1" x14ac:dyDescent="0.2">
      <c r="A219" s="1" t="s">
        <v>29</v>
      </c>
      <c r="D219" s="20"/>
      <c r="E219" s="20"/>
      <c r="F219" s="20"/>
      <c r="G219" s="20" t="s">
        <v>1128</v>
      </c>
    </row>
    <row r="220" spans="1:7" s="1" customFormat="1" x14ac:dyDescent="0.2">
      <c r="D220" s="20"/>
      <c r="E220" s="20"/>
      <c r="F220" s="20"/>
      <c r="G220" s="20"/>
    </row>
    <row r="221" spans="1:7" s="1" customFormat="1" x14ac:dyDescent="0.2">
      <c r="B221" s="20" t="s">
        <v>75</v>
      </c>
      <c r="C221" s="20" t="s">
        <v>61</v>
      </c>
      <c r="E221" s="1" t="s">
        <v>1130</v>
      </c>
    </row>
    <row r="222" spans="1:7" s="1" customFormat="1" x14ac:dyDescent="0.2">
      <c r="B222" s="20">
        <v>35</v>
      </c>
      <c r="C222" s="20" t="s">
        <v>62</v>
      </c>
      <c r="E222" s="1" t="s">
        <v>1132</v>
      </c>
    </row>
    <row r="223" spans="1:7" s="1" customFormat="1" x14ac:dyDescent="0.2">
      <c r="B223" s="20">
        <v>5</v>
      </c>
      <c r="C223" s="20" t="s">
        <v>63</v>
      </c>
      <c r="E223" s="1" t="s">
        <v>1134</v>
      </c>
    </row>
    <row r="224" spans="1:7" s="1" customFormat="1" x14ac:dyDescent="0.2">
      <c r="B224" s="50">
        <f>PV(B223/100,B222,B225,B226)</f>
        <v>-81870.971464742281</v>
      </c>
      <c r="C224" s="20" t="s">
        <v>64</v>
      </c>
      <c r="D224" s="29" t="s">
        <v>227</v>
      </c>
      <c r="E224" s="1" t="s">
        <v>1182</v>
      </c>
    </row>
    <row r="225" spans="1:8" s="1" customFormat="1" x14ac:dyDescent="0.2">
      <c r="B225" s="20">
        <v>5000</v>
      </c>
      <c r="C225" s="20" t="s">
        <v>65</v>
      </c>
    </row>
    <row r="226" spans="1:8" s="1" customFormat="1" x14ac:dyDescent="0.2">
      <c r="B226" s="20">
        <v>0</v>
      </c>
      <c r="C226" s="20" t="s">
        <v>66</v>
      </c>
    </row>
    <row r="227" spans="1:8" s="1" customFormat="1" x14ac:dyDescent="0.2"/>
    <row r="228" spans="1:8" s="1" customFormat="1" x14ac:dyDescent="0.2"/>
    <row r="229" spans="1:8" s="1" customFormat="1" x14ac:dyDescent="0.2">
      <c r="D229" s="27" t="s">
        <v>1145</v>
      </c>
      <c r="E229" s="27" t="s">
        <v>364</v>
      </c>
      <c r="F229" s="27" t="s">
        <v>60</v>
      </c>
    </row>
    <row r="230" spans="1:8" s="1" customFormat="1" x14ac:dyDescent="0.2">
      <c r="D230" s="20" t="s">
        <v>75</v>
      </c>
      <c r="E230" s="20" t="s">
        <v>75</v>
      </c>
      <c r="F230" s="20" t="s">
        <v>111</v>
      </c>
    </row>
    <row r="231" spans="1:8" s="1" customFormat="1" x14ac:dyDescent="0.2">
      <c r="D231" s="20">
        <v>2</v>
      </c>
      <c r="E231" s="20">
        <v>35</v>
      </c>
      <c r="F231" s="20" t="s">
        <v>62</v>
      </c>
    </row>
    <row r="232" spans="1:8" s="1" customFormat="1" ht="17" thickBot="1" x14ac:dyDescent="0.25">
      <c r="D232" s="20">
        <f>E232</f>
        <v>5</v>
      </c>
      <c r="E232" s="20">
        <v>5</v>
      </c>
      <c r="F232" s="20" t="s">
        <v>63</v>
      </c>
    </row>
    <row r="233" spans="1:8" s="1" customFormat="1" ht="17" thickBot="1" x14ac:dyDescent="0.25">
      <c r="D233" s="145">
        <f>PV(D232/100,D231,D234,D235)</f>
        <v>-74259.384548519069</v>
      </c>
      <c r="E233" s="57">
        <f>PV(E232/100,E231,E234,E235)</f>
        <v>-81870.971464742281</v>
      </c>
      <c r="F233" s="20" t="s">
        <v>64</v>
      </c>
      <c r="G233" s="1" t="s">
        <v>1152</v>
      </c>
    </row>
    <row r="234" spans="1:8" s="1" customFormat="1" x14ac:dyDescent="0.2">
      <c r="D234" s="20">
        <v>0</v>
      </c>
      <c r="E234" s="20">
        <v>5000</v>
      </c>
      <c r="F234" s="20" t="s">
        <v>65</v>
      </c>
    </row>
    <row r="235" spans="1:8" s="1" customFormat="1" x14ac:dyDescent="0.2">
      <c r="D235" s="57">
        <f>-E233</f>
        <v>81870.971464742281</v>
      </c>
      <c r="E235" s="20">
        <v>0</v>
      </c>
      <c r="F235" s="20" t="s">
        <v>66</v>
      </c>
    </row>
    <row r="236" spans="1:8" s="1" customFormat="1" x14ac:dyDescent="0.2"/>
    <row r="237" spans="1:8" s="1" customFormat="1" x14ac:dyDescent="0.2">
      <c r="A237" s="1" t="s">
        <v>1183</v>
      </c>
    </row>
    <row r="238" spans="1:8" s="1" customFormat="1" x14ac:dyDescent="0.2">
      <c r="A238" s="18" t="s">
        <v>1184</v>
      </c>
    </row>
    <row r="239" spans="1:8" s="1" customFormat="1" x14ac:dyDescent="0.2"/>
    <row r="240" spans="1:8" s="1" customFormat="1" x14ac:dyDescent="0.2">
      <c r="A240" s="139" t="s">
        <v>1185</v>
      </c>
      <c r="B240" s="139"/>
      <c r="C240" s="139"/>
      <c r="D240" s="139"/>
      <c r="E240" s="139"/>
      <c r="F240" s="139"/>
      <c r="G240" s="139"/>
      <c r="H240" s="139"/>
    </row>
    <row r="241" spans="1:6" s="1" customFormat="1" x14ac:dyDescent="0.2"/>
    <row r="242" spans="1:6" s="1" customFormat="1" x14ac:dyDescent="0.2">
      <c r="B242" s="20" t="s">
        <v>1186</v>
      </c>
      <c r="C242" s="20">
        <v>1.5</v>
      </c>
      <c r="D242" s="20">
        <v>1</v>
      </c>
      <c r="E242" s="20">
        <v>0.5</v>
      </c>
      <c r="F242" s="20">
        <v>0</v>
      </c>
    </row>
    <row r="243" spans="1:6" s="1" customFormat="1" x14ac:dyDescent="0.2"/>
    <row r="244" spans="1:6" s="1" customFormat="1" x14ac:dyDescent="0.2"/>
    <row r="245" spans="1:6" s="1" customFormat="1" x14ac:dyDescent="0.2">
      <c r="D245" s="1" t="s">
        <v>1187</v>
      </c>
    </row>
    <row r="246" spans="1:6" s="1" customFormat="1" x14ac:dyDescent="0.2">
      <c r="D246" s="1" t="s">
        <v>1188</v>
      </c>
    </row>
    <row r="247" spans="1:6" s="1" customFormat="1" x14ac:dyDescent="0.2">
      <c r="C247" s="1" t="s">
        <v>1133</v>
      </c>
    </row>
    <row r="248" spans="1:6" s="1" customFormat="1" x14ac:dyDescent="0.2">
      <c r="D248" s="1" t="s">
        <v>1189</v>
      </c>
    </row>
    <row r="249" spans="1:6" s="1" customFormat="1" x14ac:dyDescent="0.2"/>
    <row r="250" spans="1:6" s="1" customFormat="1" x14ac:dyDescent="0.2">
      <c r="B250" s="1" t="s">
        <v>1190</v>
      </c>
    </row>
    <row r="251" spans="1:6" s="1" customFormat="1" x14ac:dyDescent="0.2">
      <c r="B251" s="1" t="s">
        <v>1191</v>
      </c>
    </row>
    <row r="252" spans="1:6" s="1" customFormat="1" x14ac:dyDescent="0.2"/>
    <row r="253" spans="1:6" s="1" customFormat="1" x14ac:dyDescent="0.2"/>
    <row r="254" spans="1:6" s="1" customFormat="1" x14ac:dyDescent="0.2"/>
    <row r="255" spans="1:6" s="1" customFormat="1" x14ac:dyDescent="0.2">
      <c r="A255" s="1" t="s">
        <v>1192</v>
      </c>
    </row>
    <row r="256" spans="1:6" s="1" customFormat="1" x14ac:dyDescent="0.2"/>
    <row r="257" spans="1:8" s="1" customFormat="1" x14ac:dyDescent="0.2"/>
    <row r="258" spans="1:8" s="1" customFormat="1" x14ac:dyDescent="0.2"/>
    <row r="259" spans="1:8" s="1" customFormat="1" x14ac:dyDescent="0.2">
      <c r="A259" s="1" t="s">
        <v>1193</v>
      </c>
    </row>
    <row r="260" spans="1:8" s="1" customFormat="1" x14ac:dyDescent="0.2">
      <c r="E260" s="27" t="s">
        <v>364</v>
      </c>
      <c r="F260" s="27" t="s">
        <v>60</v>
      </c>
    </row>
    <row r="261" spans="1:8" s="1" customFormat="1" x14ac:dyDescent="0.2">
      <c r="E261" s="20" t="s">
        <v>75</v>
      </c>
      <c r="F261" s="20" t="s">
        <v>111</v>
      </c>
    </row>
    <row r="262" spans="1:8" s="1" customFormat="1" x14ac:dyDescent="0.2">
      <c r="E262" s="20">
        <v>999</v>
      </c>
      <c r="F262" s="20" t="s">
        <v>62</v>
      </c>
    </row>
    <row r="263" spans="1:8" s="1" customFormat="1" x14ac:dyDescent="0.2">
      <c r="E263" s="20">
        <v>2.4695</v>
      </c>
      <c r="F263" s="20" t="s">
        <v>63</v>
      </c>
    </row>
    <row r="264" spans="1:8" s="1" customFormat="1" x14ac:dyDescent="0.2">
      <c r="A264" s="1" t="s">
        <v>1194</v>
      </c>
      <c r="E264" s="146">
        <f>PV(E263/100,E262,E265,E266)</f>
        <v>-1214.8208138982868</v>
      </c>
      <c r="F264" s="20" t="s">
        <v>64</v>
      </c>
      <c r="G264" s="1" t="s">
        <v>227</v>
      </c>
    </row>
    <row r="265" spans="1:8" s="1" customFormat="1" x14ac:dyDescent="0.2">
      <c r="E265" s="20">
        <v>30</v>
      </c>
      <c r="F265" s="20" t="s">
        <v>65</v>
      </c>
    </row>
    <row r="266" spans="1:8" s="1" customFormat="1" x14ac:dyDescent="0.2">
      <c r="E266" s="20">
        <v>0</v>
      </c>
      <c r="F266" s="20" t="s">
        <v>66</v>
      </c>
    </row>
    <row r="267" spans="1:8" s="1" customFormat="1" x14ac:dyDescent="0.2"/>
    <row r="268" spans="1:8" s="1" customFormat="1" x14ac:dyDescent="0.2">
      <c r="A268" s="139" t="s">
        <v>1195</v>
      </c>
      <c r="B268" s="139"/>
      <c r="C268" s="139"/>
      <c r="D268" s="139"/>
      <c r="E268" s="139"/>
      <c r="F268" s="139"/>
      <c r="G268" s="139"/>
      <c r="H268" s="139"/>
    </row>
    <row r="269" spans="1:8" s="1" customFormat="1" x14ac:dyDescent="0.2">
      <c r="A269" s="1" t="s">
        <v>1196</v>
      </c>
    </row>
    <row r="270" spans="1:8" s="1" customFormat="1" x14ac:dyDescent="0.2">
      <c r="A270" s="1" t="s">
        <v>1197</v>
      </c>
    </row>
    <row r="271" spans="1:8" s="1" customFormat="1" x14ac:dyDescent="0.2"/>
    <row r="272" spans="1:8" s="1" customFormat="1" x14ac:dyDescent="0.2">
      <c r="A272" s="1" t="s">
        <v>1198</v>
      </c>
    </row>
    <row r="273" spans="1:8" s="1" customFormat="1" x14ac:dyDescent="0.2">
      <c r="A273" s="1" t="s">
        <v>1199</v>
      </c>
    </row>
    <row r="274" spans="1:8" s="1" customFormat="1" x14ac:dyDescent="0.2"/>
    <row r="275" spans="1:8" s="1" customFormat="1" x14ac:dyDescent="0.2"/>
    <row r="276" spans="1:8" s="1" customFormat="1" x14ac:dyDescent="0.2"/>
    <row r="277" spans="1:8" s="1" customFormat="1" x14ac:dyDescent="0.2"/>
    <row r="278" spans="1:8" s="1" customFormat="1" x14ac:dyDescent="0.2"/>
    <row r="279" spans="1:8" s="1" customFormat="1" x14ac:dyDescent="0.2"/>
    <row r="280" spans="1:8" s="1" customFormat="1" x14ac:dyDescent="0.2">
      <c r="A280" s="1" t="s">
        <v>1165</v>
      </c>
    </row>
    <row r="281" spans="1:8" s="1" customFormat="1" x14ac:dyDescent="0.2"/>
    <row r="282" spans="1:8" s="1" customFormat="1" x14ac:dyDescent="0.2">
      <c r="A282" s="139" t="s">
        <v>1200</v>
      </c>
      <c r="B282" s="139"/>
      <c r="C282" s="139"/>
      <c r="D282" s="139"/>
      <c r="E282" s="139"/>
      <c r="F282" s="139"/>
      <c r="G282" s="139"/>
      <c r="H282" s="139"/>
    </row>
    <row r="283" spans="1:8" s="1" customFormat="1" x14ac:dyDescent="0.2"/>
    <row r="284" spans="1:8" s="1" customFormat="1" x14ac:dyDescent="0.2">
      <c r="A284" s="1" t="s">
        <v>1201</v>
      </c>
    </row>
    <row r="285" spans="1:8" s="1" customFormat="1" x14ac:dyDescent="0.2">
      <c r="A285" s="1" t="s">
        <v>1202</v>
      </c>
    </row>
    <row r="286" spans="1:8" s="1" customFormat="1" x14ac:dyDescent="0.2">
      <c r="A286" s="1" t="s">
        <v>1203</v>
      </c>
    </row>
    <row r="287" spans="1:8" s="1" customFormat="1" x14ac:dyDescent="0.2"/>
    <row r="288" spans="1:8" s="1" customFormat="1" x14ac:dyDescent="0.2">
      <c r="A288" s="1" t="s">
        <v>1204</v>
      </c>
    </row>
    <row r="289" spans="1:6" s="1" customFormat="1" x14ac:dyDescent="0.2"/>
    <row r="290" spans="1:6" s="1" customFormat="1" x14ac:dyDescent="0.2"/>
    <row r="291" spans="1:6" s="1" customFormat="1" x14ac:dyDescent="0.2"/>
    <row r="292" spans="1:6" s="1" customFormat="1" x14ac:dyDescent="0.2"/>
    <row r="293" spans="1:6" s="1" customFormat="1" x14ac:dyDescent="0.2"/>
    <row r="294" spans="1:6" s="1" customFormat="1" x14ac:dyDescent="0.2">
      <c r="A294" s="1" t="s">
        <v>1205</v>
      </c>
    </row>
    <row r="295" spans="1:6" s="1" customFormat="1" x14ac:dyDescent="0.2">
      <c r="A295" s="1" t="s">
        <v>1206</v>
      </c>
    </row>
    <row r="296" spans="1:6" s="1" customFormat="1" x14ac:dyDescent="0.2"/>
    <row r="297" spans="1:6" s="1" customFormat="1" x14ac:dyDescent="0.2">
      <c r="F297" s="1" t="s">
        <v>60</v>
      </c>
    </row>
    <row r="298" spans="1:6" s="1" customFormat="1" x14ac:dyDescent="0.2">
      <c r="E298" s="20" t="s">
        <v>75</v>
      </c>
      <c r="F298" s="1" t="s">
        <v>111</v>
      </c>
    </row>
    <row r="299" spans="1:6" s="1" customFormat="1" x14ac:dyDescent="0.2">
      <c r="A299" s="1" t="s">
        <v>1207</v>
      </c>
      <c r="E299" s="20">
        <f>20-10</f>
        <v>10</v>
      </c>
      <c r="F299" s="1" t="s">
        <v>62</v>
      </c>
    </row>
    <row r="300" spans="1:6" s="1" customFormat="1" x14ac:dyDescent="0.2">
      <c r="E300" s="20">
        <v>3</v>
      </c>
      <c r="F300" s="1" t="s">
        <v>63</v>
      </c>
    </row>
    <row r="301" spans="1:6" s="1" customFormat="1" x14ac:dyDescent="0.2">
      <c r="E301" s="20">
        <v>25000</v>
      </c>
      <c r="F301" s="1" t="s">
        <v>64</v>
      </c>
    </row>
    <row r="302" spans="1:6" s="1" customFormat="1" x14ac:dyDescent="0.2">
      <c r="E302" s="50">
        <f>PMT(E300/100,E299,E301,E303)</f>
        <v>-2930.7626651289897</v>
      </c>
      <c r="F302" s="1" t="s">
        <v>65</v>
      </c>
    </row>
    <row r="303" spans="1:6" s="1" customFormat="1" x14ac:dyDescent="0.2">
      <c r="E303" s="20">
        <v>0</v>
      </c>
      <c r="F303" s="1" t="s">
        <v>66</v>
      </c>
    </row>
    <row r="304" spans="1:6" s="1" customFormat="1" x14ac:dyDescent="0.2">
      <c r="E304" s="20"/>
    </row>
    <row r="305" spans="1:8" s="1" customFormat="1" x14ac:dyDescent="0.2">
      <c r="A305" s="1" t="s">
        <v>1208</v>
      </c>
      <c r="E305" s="20"/>
    </row>
    <row r="306" spans="1:8" s="1" customFormat="1" x14ac:dyDescent="0.2">
      <c r="A306" s="1" t="s">
        <v>1209</v>
      </c>
      <c r="E306" s="20"/>
    </row>
    <row r="307" spans="1:8" s="1" customFormat="1" x14ac:dyDescent="0.2">
      <c r="E307" s="20"/>
      <c r="F307" s="1" t="s">
        <v>436</v>
      </c>
    </row>
    <row r="308" spans="1:8" s="1" customFormat="1" x14ac:dyDescent="0.2">
      <c r="A308" s="1" t="s">
        <v>1210</v>
      </c>
      <c r="E308" s="20">
        <v>6</v>
      </c>
      <c r="F308" s="1" t="s">
        <v>1211</v>
      </c>
    </row>
    <row r="309" spans="1:8" s="1" customFormat="1" x14ac:dyDescent="0.2">
      <c r="A309" s="1" t="s">
        <v>1210</v>
      </c>
      <c r="E309" s="20">
        <v>6</v>
      </c>
      <c r="F309" s="1" t="s">
        <v>1212</v>
      </c>
    </row>
    <row r="310" spans="1:8" s="1" customFormat="1" x14ac:dyDescent="0.2">
      <c r="E310" s="20"/>
      <c r="F310" s="1" t="s">
        <v>1160</v>
      </c>
    </row>
    <row r="311" spans="1:8" s="1" customFormat="1" x14ac:dyDescent="0.2">
      <c r="E311" s="20"/>
      <c r="F311" s="1" t="s">
        <v>1160</v>
      </c>
    </row>
    <row r="312" spans="1:8" s="1" customFormat="1" x14ac:dyDescent="0.2">
      <c r="A312" s="1" t="s">
        <v>1213</v>
      </c>
      <c r="E312" s="142">
        <f>E302*PV(3%,4,-1)</f>
        <v>-10893.933221567226</v>
      </c>
      <c r="F312" s="1" t="s">
        <v>1162</v>
      </c>
      <c r="G312" s="1" t="s">
        <v>227</v>
      </c>
    </row>
    <row r="313" spans="1:8" s="1" customFormat="1" x14ac:dyDescent="0.2"/>
    <row r="314" spans="1:8" s="1" customFormat="1" x14ac:dyDescent="0.2">
      <c r="A314" s="139" t="s">
        <v>1446</v>
      </c>
      <c r="B314" s="139"/>
      <c r="C314" s="139"/>
      <c r="D314" s="139"/>
      <c r="E314" s="139"/>
      <c r="F314" s="139"/>
      <c r="G314" s="139"/>
      <c r="H314" s="139"/>
    </row>
    <row r="315" spans="1:8" s="1" customFormat="1" x14ac:dyDescent="0.2"/>
    <row r="316" spans="1:8" s="1" customFormat="1" x14ac:dyDescent="0.2">
      <c r="A316" s="1" t="s">
        <v>1557</v>
      </c>
    </row>
    <row r="317" spans="1:8" s="1" customFormat="1" x14ac:dyDescent="0.2">
      <c r="A317" s="1" t="s">
        <v>1558</v>
      </c>
    </row>
    <row r="318" spans="1:8" s="1" customFormat="1" x14ac:dyDescent="0.2">
      <c r="A318" s="1" t="s">
        <v>1559</v>
      </c>
    </row>
    <row r="319" spans="1:8" s="1" customFormat="1" x14ac:dyDescent="0.2"/>
    <row r="320" spans="1:8" s="1" customFormat="1" x14ac:dyDescent="0.2">
      <c r="A320" s="1" t="s">
        <v>1560</v>
      </c>
    </row>
    <row r="321" spans="1:11" s="1" customFormat="1" x14ac:dyDescent="0.2">
      <c r="A321" s="1" t="s">
        <v>1561</v>
      </c>
    </row>
    <row r="322" spans="1:11" s="1" customFormat="1" x14ac:dyDescent="0.2"/>
    <row r="323" spans="1:11" s="1" customFormat="1" x14ac:dyDescent="0.2">
      <c r="A323" s="1" t="s">
        <v>1562</v>
      </c>
    </row>
    <row r="324" spans="1:11" s="1" customFormat="1" x14ac:dyDescent="0.2"/>
    <row r="325" spans="1:11" s="1" customFormat="1" x14ac:dyDescent="0.2">
      <c r="A325" s="1" t="s">
        <v>1563</v>
      </c>
    </row>
    <row r="326" spans="1:11" s="1" customFormat="1" x14ac:dyDescent="0.2">
      <c r="A326" s="1" t="s">
        <v>1564</v>
      </c>
    </row>
    <row r="327" spans="1:11" s="1" customFormat="1" x14ac:dyDescent="0.2"/>
    <row r="328" spans="1:11" s="1" customFormat="1" x14ac:dyDescent="0.2">
      <c r="A328" s="139" t="s">
        <v>1565</v>
      </c>
      <c r="B328" s="139"/>
      <c r="C328" s="139"/>
      <c r="D328" s="139"/>
      <c r="E328" s="139"/>
      <c r="F328" s="139"/>
      <c r="G328" s="139"/>
      <c r="H328" s="139"/>
    </row>
    <row r="329" spans="1:11" s="1" customFormat="1" x14ac:dyDescent="0.2"/>
    <row r="330" spans="1:11" s="1" customFormat="1" x14ac:dyDescent="0.2">
      <c r="A330" s="1" t="s">
        <v>1566</v>
      </c>
    </row>
    <row r="331" spans="1:11" s="1" customFormat="1" x14ac:dyDescent="0.2">
      <c r="A331" s="1" t="s">
        <v>1567</v>
      </c>
    </row>
    <row r="332" spans="1:11" s="1" customFormat="1" x14ac:dyDescent="0.2"/>
    <row r="333" spans="1:11" s="1" customFormat="1" x14ac:dyDescent="0.2">
      <c r="C333" s="20" t="s">
        <v>739</v>
      </c>
      <c r="D333" s="20"/>
    </row>
    <row r="334" spans="1:11" s="1" customFormat="1" x14ac:dyDescent="0.2">
      <c r="A334" s="10" t="s">
        <v>895</v>
      </c>
      <c r="B334" s="10"/>
      <c r="C334" s="27">
        <v>0</v>
      </c>
      <c r="D334" s="27">
        <v>1</v>
      </c>
      <c r="E334" s="27">
        <v>2</v>
      </c>
      <c r="F334" s="27">
        <v>3</v>
      </c>
      <c r="G334" s="27">
        <v>4</v>
      </c>
      <c r="H334" s="27">
        <v>5</v>
      </c>
      <c r="I334" s="27"/>
      <c r="J334" s="27"/>
      <c r="K334" s="27"/>
    </row>
    <row r="335" spans="1:11" s="1" customFormat="1" x14ac:dyDescent="0.2">
      <c r="A335" s="1" t="s">
        <v>896</v>
      </c>
      <c r="C335" s="20"/>
      <c r="D335" s="101">
        <v>120</v>
      </c>
      <c r="E335" s="101">
        <v>120</v>
      </c>
      <c r="F335" s="101">
        <f t="shared" ref="F335:H337" si="0">E335</f>
        <v>120</v>
      </c>
      <c r="G335" s="101">
        <f t="shared" si="0"/>
        <v>120</v>
      </c>
      <c r="H335" s="101">
        <f t="shared" si="0"/>
        <v>120</v>
      </c>
      <c r="I335" s="101"/>
      <c r="J335" s="101"/>
      <c r="K335" s="101"/>
    </row>
    <row r="336" spans="1:11" s="1" customFormat="1" x14ac:dyDescent="0.2">
      <c r="A336" s="1" t="s">
        <v>967</v>
      </c>
      <c r="C336" s="20"/>
      <c r="D336" s="20">
        <v>-70</v>
      </c>
      <c r="E336" s="20">
        <f>D336</f>
        <v>-70</v>
      </c>
      <c r="F336" s="20">
        <f t="shared" si="0"/>
        <v>-70</v>
      </c>
      <c r="G336" s="20">
        <f t="shared" si="0"/>
        <v>-70</v>
      </c>
      <c r="H336" s="20">
        <f t="shared" si="0"/>
        <v>-70</v>
      </c>
      <c r="I336" s="20"/>
      <c r="J336" s="20"/>
      <c r="K336" s="20"/>
    </row>
    <row r="337" spans="1:11" s="1" customFormat="1" x14ac:dyDescent="0.2">
      <c r="A337" s="1" t="s">
        <v>969</v>
      </c>
      <c r="C337" s="20"/>
      <c r="D337" s="102">
        <f>C341/5</f>
        <v>-20</v>
      </c>
      <c r="E337" s="102">
        <f>D337</f>
        <v>-20</v>
      </c>
      <c r="F337" s="102">
        <f t="shared" si="0"/>
        <v>-20</v>
      </c>
      <c r="G337" s="102">
        <f t="shared" si="0"/>
        <v>-20</v>
      </c>
      <c r="H337" s="102">
        <f t="shared" si="0"/>
        <v>-20</v>
      </c>
      <c r="I337" s="102"/>
      <c r="J337" s="102"/>
      <c r="K337" s="102"/>
    </row>
    <row r="338" spans="1:11" s="1" customFormat="1" x14ac:dyDescent="0.2">
      <c r="A338" s="1" t="s">
        <v>899</v>
      </c>
      <c r="C338" s="20"/>
      <c r="D338" s="104">
        <f>SUM(D335:D337)</f>
        <v>30</v>
      </c>
      <c r="E338" s="104">
        <f>SUM(E335:E337)</f>
        <v>30</v>
      </c>
      <c r="F338" s="104">
        <f>SUM(F335:F337)</f>
        <v>30</v>
      </c>
      <c r="G338" s="104">
        <f>SUM(G335:G337)</f>
        <v>30</v>
      </c>
      <c r="H338" s="104">
        <f>SUM(H335:H337)</f>
        <v>30</v>
      </c>
      <c r="I338" s="104"/>
      <c r="J338" s="104"/>
      <c r="K338" s="104"/>
    </row>
    <row r="339" spans="1:11" s="1" customFormat="1" x14ac:dyDescent="0.2">
      <c r="A339" s="1" t="s">
        <v>1568</v>
      </c>
      <c r="C339" s="20"/>
      <c r="D339" s="102">
        <f>-30%*D338</f>
        <v>-9</v>
      </c>
      <c r="E339" s="102">
        <f>-30%*E338</f>
        <v>-9</v>
      </c>
      <c r="F339" s="102">
        <f>-30%*F338</f>
        <v>-9</v>
      </c>
      <c r="G339" s="102">
        <f>-30%*G338</f>
        <v>-9</v>
      </c>
      <c r="H339" s="102">
        <f>-30%*H338</f>
        <v>-9</v>
      </c>
      <c r="I339" s="102"/>
      <c r="J339" s="102"/>
      <c r="K339" s="102"/>
    </row>
    <row r="340" spans="1:11" s="1" customFormat="1" x14ac:dyDescent="0.2">
      <c r="A340" s="1" t="s">
        <v>971</v>
      </c>
      <c r="C340" s="20"/>
      <c r="D340" s="104">
        <f>D338+D339</f>
        <v>21</v>
      </c>
      <c r="E340" s="104">
        <f>E338+E339</f>
        <v>21</v>
      </c>
      <c r="F340" s="104">
        <f>F338+F339</f>
        <v>21</v>
      </c>
      <c r="G340" s="104">
        <f>G338+G339</f>
        <v>21</v>
      </c>
      <c r="H340" s="104">
        <f t="shared" ref="H340" si="1">H338+H339</f>
        <v>21</v>
      </c>
      <c r="I340" s="104"/>
      <c r="J340" s="104"/>
      <c r="K340" s="104"/>
    </row>
    <row r="341" spans="1:11" s="1" customFormat="1" x14ac:dyDescent="0.2">
      <c r="A341" s="1" t="s">
        <v>901</v>
      </c>
      <c r="C341" s="107">
        <v>-100</v>
      </c>
      <c r="D341" s="20"/>
      <c r="E341" s="20"/>
      <c r="F341" s="20"/>
      <c r="G341" s="20"/>
      <c r="H341" s="20"/>
      <c r="I341" s="20"/>
      <c r="J341" s="20"/>
      <c r="K341" s="20"/>
    </row>
    <row r="342" spans="1:11" s="1" customFormat="1" x14ac:dyDescent="0.2">
      <c r="A342" s="1" t="s">
        <v>975</v>
      </c>
      <c r="C342" s="20"/>
      <c r="D342" s="20"/>
      <c r="E342" s="20"/>
      <c r="F342" s="20"/>
      <c r="G342" s="24"/>
      <c r="H342" s="180">
        <f>10*0.7</f>
        <v>7</v>
      </c>
      <c r="I342" s="24"/>
      <c r="J342" s="24"/>
      <c r="K342" s="24"/>
    </row>
    <row r="343" spans="1:11" s="1" customFormat="1" x14ac:dyDescent="0.2">
      <c r="A343" s="1" t="s">
        <v>902</v>
      </c>
      <c r="C343" s="20"/>
      <c r="D343" s="101">
        <f>-D337</f>
        <v>20</v>
      </c>
      <c r="E343" s="101">
        <f>-E337</f>
        <v>20</v>
      </c>
      <c r="F343" s="101">
        <f>-F337</f>
        <v>20</v>
      </c>
      <c r="G343" s="101">
        <f>-G337</f>
        <v>20</v>
      </c>
      <c r="H343" s="101">
        <f t="shared" ref="H343" si="2">-H337</f>
        <v>20</v>
      </c>
      <c r="I343" s="101"/>
      <c r="J343" s="101"/>
      <c r="K343" s="101"/>
    </row>
    <row r="344" spans="1:11" s="1" customFormat="1" x14ac:dyDescent="0.2">
      <c r="A344" s="18" t="s">
        <v>903</v>
      </c>
      <c r="B344" s="18"/>
      <c r="C344" s="106">
        <f>SUM(C340:C343)</f>
        <v>-100</v>
      </c>
      <c r="D344" s="106">
        <f>SUM(D340:D343)</f>
        <v>41</v>
      </c>
      <c r="E344" s="106">
        <f>SUM(E340:E343)</f>
        <v>41</v>
      </c>
      <c r="F344" s="106">
        <f>SUM(F340:F343)</f>
        <v>41</v>
      </c>
      <c r="G344" s="106">
        <f>SUM(G340:G343)</f>
        <v>41</v>
      </c>
      <c r="H344" s="106">
        <f t="shared" ref="H344" si="3">SUM(H340:H343)</f>
        <v>48</v>
      </c>
      <c r="I344" s="106"/>
      <c r="J344" s="106"/>
      <c r="K344" s="106"/>
    </row>
    <row r="345" spans="1:11" s="1" customFormat="1" x14ac:dyDescent="0.2"/>
    <row r="346" spans="1:11" s="1" customFormat="1" x14ac:dyDescent="0.2">
      <c r="A346" s="1" t="s">
        <v>1468</v>
      </c>
      <c r="C346" s="179">
        <f>NPV(8%,D344:K344)+C344</f>
        <v>68.465193899437793</v>
      </c>
    </row>
    <row r="347" spans="1:11" s="1" customFormat="1" x14ac:dyDescent="0.2">
      <c r="C347" s="1" t="s">
        <v>259</v>
      </c>
    </row>
    <row r="348" spans="1:11" s="1" customFormat="1" x14ac:dyDescent="0.2"/>
    <row r="349" spans="1:11" s="1" customFormat="1" x14ac:dyDescent="0.2">
      <c r="A349" s="1" t="s">
        <v>1569</v>
      </c>
    </row>
    <row r="350" spans="1:11" s="1" customFormat="1" x14ac:dyDescent="0.2">
      <c r="A350" s="1" t="s">
        <v>1570</v>
      </c>
    </row>
    <row r="351" spans="1:11" s="1" customFormat="1" x14ac:dyDescent="0.2">
      <c r="A351" s="1" t="s">
        <v>1571</v>
      </c>
    </row>
    <row r="352" spans="1:11" s="1" customFormat="1" x14ac:dyDescent="0.2">
      <c r="A352" s="1" t="s">
        <v>1572</v>
      </c>
    </row>
    <row r="353" spans="1:1" s="1" customFormat="1" x14ac:dyDescent="0.2">
      <c r="A353" s="1" t="s">
        <v>1573</v>
      </c>
    </row>
    <row r="354" spans="1:1" s="1" customFormat="1" x14ac:dyDescent="0.2"/>
    <row r="355" spans="1:1" s="1" customFormat="1" x14ac:dyDescent="0.2"/>
    <row r="356" spans="1:1" s="1" customFormat="1" x14ac:dyDescent="0.2"/>
    <row r="357" spans="1:1" s="1" customFormat="1" x14ac:dyDescent="0.2"/>
    <row r="358" spans="1:1" s="1" customFormat="1" x14ac:dyDescent="0.2"/>
    <row r="359" spans="1:1" s="1" customFormat="1" x14ac:dyDescent="0.2"/>
    <row r="360" spans="1:1" s="1" customFormat="1" x14ac:dyDescent="0.2"/>
    <row r="361" spans="1:1" s="1" customFormat="1" x14ac:dyDescent="0.2"/>
    <row r="362" spans="1:1" s="1" customFormat="1" x14ac:dyDescent="0.2"/>
    <row r="363" spans="1:1" s="1" customFormat="1" x14ac:dyDescent="0.2"/>
    <row r="364" spans="1:1" s="1" customFormat="1" x14ac:dyDescent="0.2"/>
    <row r="365" spans="1:1" s="1" customFormat="1" x14ac:dyDescent="0.2"/>
    <row r="366" spans="1:1" s="1" customFormat="1" x14ac:dyDescent="0.2"/>
    <row r="367" spans="1:1" s="1" customFormat="1" x14ac:dyDescent="0.2"/>
    <row r="368" spans="1:1" s="1" customFormat="1" x14ac:dyDescent="0.2"/>
    <row r="369" spans="1:8" s="1" customFormat="1" x14ac:dyDescent="0.2"/>
    <row r="370" spans="1:8" s="1" customFormat="1" x14ac:dyDescent="0.2"/>
    <row r="371" spans="1:8" s="1" customFormat="1" x14ac:dyDescent="0.2"/>
    <row r="372" spans="1:8" s="1" customFormat="1" x14ac:dyDescent="0.2"/>
    <row r="373" spans="1:8" s="1" customFormat="1" x14ac:dyDescent="0.2"/>
    <row r="374" spans="1:8" s="1" customFormat="1" x14ac:dyDescent="0.2"/>
    <row r="375" spans="1:8" s="1" customFormat="1" x14ac:dyDescent="0.2">
      <c r="A375" s="139" t="s">
        <v>1473</v>
      </c>
      <c r="B375" s="139"/>
      <c r="C375" s="139"/>
      <c r="D375" s="139"/>
      <c r="E375" s="139"/>
      <c r="F375" s="139"/>
      <c r="G375" s="139"/>
      <c r="H375" s="139"/>
    </row>
    <row r="376" spans="1:8" s="1" customFormat="1" x14ac:dyDescent="0.2"/>
    <row r="377" spans="1:8" s="1" customFormat="1" x14ac:dyDescent="0.2">
      <c r="A377" s="1" t="s">
        <v>1522</v>
      </c>
    </row>
    <row r="378" spans="1:8" s="1" customFormat="1" x14ac:dyDescent="0.2">
      <c r="A378" s="1" t="s">
        <v>1523</v>
      </c>
    </row>
    <row r="379" spans="1:8" s="1" customFormat="1" x14ac:dyDescent="0.2"/>
    <row r="380" spans="1:8" s="1" customFormat="1" x14ac:dyDescent="0.2">
      <c r="A380" s="1" t="s">
        <v>1524</v>
      </c>
    </row>
    <row r="381" spans="1:8" s="1" customFormat="1" x14ac:dyDescent="0.2"/>
    <row r="382" spans="1:8" s="1" customFormat="1" x14ac:dyDescent="0.2">
      <c r="A382" s="1" t="s">
        <v>1525</v>
      </c>
    </row>
    <row r="383" spans="1:8" s="1" customFormat="1" x14ac:dyDescent="0.2">
      <c r="A383" s="1" t="s">
        <v>1526</v>
      </c>
    </row>
    <row r="384" spans="1:8" s="1" customFormat="1" x14ac:dyDescent="0.2">
      <c r="A384" s="1" t="s">
        <v>1527</v>
      </c>
    </row>
    <row r="385" spans="1:5" s="1" customFormat="1" x14ac:dyDescent="0.2">
      <c r="A385" s="1" t="s">
        <v>1528</v>
      </c>
    </row>
    <row r="386" spans="1:5" s="1" customFormat="1" x14ac:dyDescent="0.2"/>
    <row r="387" spans="1:5" s="1" customFormat="1" x14ac:dyDescent="0.2"/>
    <row r="388" spans="1:5" s="1" customFormat="1" x14ac:dyDescent="0.2">
      <c r="C388" s="1" t="s">
        <v>1530</v>
      </c>
      <c r="D388" s="1" t="s">
        <v>1529</v>
      </c>
      <c r="E388" s="1" t="s">
        <v>60</v>
      </c>
    </row>
    <row r="389" spans="1:5" s="1" customFormat="1" x14ac:dyDescent="0.2">
      <c r="C389" s="1" t="s">
        <v>75</v>
      </c>
      <c r="D389" s="1" t="s">
        <v>75</v>
      </c>
      <c r="E389" s="1" t="s">
        <v>111</v>
      </c>
    </row>
    <row r="390" spans="1:5" s="1" customFormat="1" x14ac:dyDescent="0.2">
      <c r="C390" s="1">
        <v>5</v>
      </c>
      <c r="D390" s="1">
        <v>999</v>
      </c>
      <c r="E390" s="1" t="s">
        <v>62</v>
      </c>
    </row>
    <row r="391" spans="1:5" s="1" customFormat="1" x14ac:dyDescent="0.2">
      <c r="C391" s="1">
        <v>10</v>
      </c>
      <c r="D391" s="1">
        <v>10</v>
      </c>
      <c r="E391" s="1" t="s">
        <v>63</v>
      </c>
    </row>
    <row r="392" spans="1:5" s="1" customFormat="1" x14ac:dyDescent="0.2">
      <c r="C392" s="25">
        <f>PV(C391/100,C390,C393,C394)</f>
        <v>-175815.73538816901</v>
      </c>
      <c r="D392" s="25">
        <f>PV(D391/100,D390,D393,D394)</f>
        <v>-100000</v>
      </c>
      <c r="E392" s="1" t="s">
        <v>64</v>
      </c>
    </row>
    <row r="393" spans="1:5" s="1" customFormat="1" x14ac:dyDescent="0.2">
      <c r="C393" s="1">
        <v>30000</v>
      </c>
      <c r="D393" s="1">
        <v>10000</v>
      </c>
      <c r="E393" s="1" t="s">
        <v>65</v>
      </c>
    </row>
    <row r="394" spans="1:5" s="1" customFormat="1" x14ac:dyDescent="0.2">
      <c r="C394" s="25">
        <f>-D392</f>
        <v>100000</v>
      </c>
      <c r="D394" s="1">
        <v>0</v>
      </c>
      <c r="E394" s="1" t="s">
        <v>66</v>
      </c>
    </row>
    <row r="395" spans="1:5" s="1" customFormat="1" x14ac:dyDescent="0.2"/>
    <row r="396" spans="1:5" s="1" customFormat="1" x14ac:dyDescent="0.2">
      <c r="A396" s="1" t="s">
        <v>1531</v>
      </c>
    </row>
    <row r="397" spans="1:5" s="1" customFormat="1" x14ac:dyDescent="0.2">
      <c r="C397" s="25">
        <f>-C392</f>
        <v>175815.73538816901</v>
      </c>
    </row>
    <row r="398" spans="1:5" s="1" customFormat="1" x14ac:dyDescent="0.2">
      <c r="A398" s="1" t="s">
        <v>1532</v>
      </c>
      <c r="C398" s="1">
        <v>-150000</v>
      </c>
    </row>
    <row r="399" spans="1:5" s="1" customFormat="1" x14ac:dyDescent="0.2">
      <c r="A399" s="1" t="s">
        <v>1533</v>
      </c>
      <c r="C399" s="177">
        <f>C397+C398</f>
        <v>25815.735388169007</v>
      </c>
      <c r="D399" s="1" t="s">
        <v>1534</v>
      </c>
    </row>
    <row r="400" spans="1:5" s="1" customFormat="1" x14ac:dyDescent="0.2"/>
    <row r="401" spans="1:8" s="1" customFormat="1" x14ac:dyDescent="0.2"/>
    <row r="402" spans="1:8" s="1" customFormat="1" x14ac:dyDescent="0.2"/>
    <row r="403" spans="1:8" s="1" customFormat="1" x14ac:dyDescent="0.2"/>
    <row r="404" spans="1:8" s="1" customFormat="1" x14ac:dyDescent="0.2"/>
    <row r="405" spans="1:8" s="1" customFormat="1" x14ac:dyDescent="0.2"/>
    <row r="406" spans="1:8" s="1" customFormat="1" x14ac:dyDescent="0.2"/>
    <row r="407" spans="1:8" s="1" customFormat="1" x14ac:dyDescent="0.2"/>
    <row r="408" spans="1:8" s="1" customFormat="1" x14ac:dyDescent="0.2"/>
    <row r="409" spans="1:8" s="1" customFormat="1" x14ac:dyDescent="0.2">
      <c r="A409" s="139" t="s">
        <v>1214</v>
      </c>
      <c r="B409" s="139"/>
      <c r="C409" s="139"/>
      <c r="D409" s="139"/>
      <c r="E409" s="139"/>
      <c r="F409" s="139"/>
      <c r="G409" s="139"/>
      <c r="H409" s="139"/>
    </row>
    <row r="410" spans="1:8" s="1" customFormat="1" x14ac:dyDescent="0.2"/>
    <row r="411" spans="1:8" s="1" customFormat="1" x14ac:dyDescent="0.2"/>
    <row r="412" spans="1:8" s="1" customFormat="1" x14ac:dyDescent="0.2"/>
    <row r="413" spans="1:8" s="1" customFormat="1" x14ac:dyDescent="0.2"/>
    <row r="414" spans="1:8" s="1" customFormat="1" x14ac:dyDescent="0.2"/>
    <row r="415" spans="1:8" s="1" customFormat="1" x14ac:dyDescent="0.2">
      <c r="C415" s="20">
        <v>3</v>
      </c>
      <c r="E415" s="20">
        <v>1</v>
      </c>
      <c r="F415" s="20">
        <v>0</v>
      </c>
    </row>
    <row r="416" spans="1:8" s="1" customFormat="1" x14ac:dyDescent="0.2">
      <c r="C416" s="20"/>
      <c r="E416" s="20"/>
    </row>
    <row r="417" spans="1:6" s="1" customFormat="1" x14ac:dyDescent="0.2">
      <c r="C417" s="24">
        <v>51840</v>
      </c>
      <c r="E417" s="24">
        <v>36000</v>
      </c>
    </row>
    <row r="418" spans="1:6" s="1" customFormat="1" x14ac:dyDescent="0.2"/>
    <row r="419" spans="1:6" s="1" customFormat="1" x14ac:dyDescent="0.2"/>
    <row r="420" spans="1:6" s="1" customFormat="1" x14ac:dyDescent="0.2"/>
    <row r="421" spans="1:6" s="1" customFormat="1" x14ac:dyDescent="0.2"/>
    <row r="422" spans="1:6" s="1" customFormat="1" x14ac:dyDescent="0.2">
      <c r="A422" s="1" t="s">
        <v>1215</v>
      </c>
      <c r="C422" s="20" t="s">
        <v>1216</v>
      </c>
      <c r="D422" s="20" t="s">
        <v>1130</v>
      </c>
      <c r="E422" s="20" t="s">
        <v>60</v>
      </c>
    </row>
    <row r="423" spans="1:6" s="1" customFormat="1" x14ac:dyDescent="0.2">
      <c r="A423" s="1" t="s">
        <v>1217</v>
      </c>
      <c r="C423" s="20" t="s">
        <v>75</v>
      </c>
      <c r="D423" s="20" t="s">
        <v>75</v>
      </c>
      <c r="E423" s="20" t="s">
        <v>111</v>
      </c>
    </row>
    <row r="424" spans="1:6" s="1" customFormat="1" x14ac:dyDescent="0.2">
      <c r="A424" s="1" t="s">
        <v>1218</v>
      </c>
      <c r="C424" s="20">
        <v>1</v>
      </c>
      <c r="D424" s="20">
        <v>2</v>
      </c>
      <c r="E424" s="20" t="s">
        <v>62</v>
      </c>
      <c r="F424" s="1" t="s">
        <v>1219</v>
      </c>
    </row>
    <row r="425" spans="1:6" s="1" customFormat="1" x14ac:dyDescent="0.2">
      <c r="A425" s="1" t="s">
        <v>1220</v>
      </c>
      <c r="C425" s="51">
        <f>D425</f>
        <v>0.20000000000000007</v>
      </c>
      <c r="D425" s="147">
        <f>RATE(D424,D427,D426,D428)</f>
        <v>0.20000000000000007</v>
      </c>
      <c r="E425" s="20" t="s">
        <v>63</v>
      </c>
    </row>
    <row r="426" spans="1:6" s="1" customFormat="1" x14ac:dyDescent="0.2">
      <c r="A426" s="1" t="s">
        <v>1221</v>
      </c>
      <c r="C426" s="142">
        <f>PV(C425,C424,C427,C428)</f>
        <v>-29999.999999999996</v>
      </c>
      <c r="D426" s="20">
        <v>-36000</v>
      </c>
      <c r="E426" s="20" t="s">
        <v>64</v>
      </c>
    </row>
    <row r="427" spans="1:6" s="1" customFormat="1" x14ac:dyDescent="0.2">
      <c r="A427" s="1" t="s">
        <v>1222</v>
      </c>
      <c r="C427" s="20">
        <v>0</v>
      </c>
      <c r="D427" s="20">
        <v>0</v>
      </c>
      <c r="E427" s="20" t="s">
        <v>65</v>
      </c>
    </row>
    <row r="428" spans="1:6" s="1" customFormat="1" x14ac:dyDescent="0.2">
      <c r="A428" s="1" t="s">
        <v>1223</v>
      </c>
      <c r="C428" s="24">
        <f>E417</f>
        <v>36000</v>
      </c>
      <c r="D428" s="24">
        <f>C417</f>
        <v>51840</v>
      </c>
      <c r="E428" s="20" t="s">
        <v>66</v>
      </c>
    </row>
    <row r="429" spans="1:6" s="1" customFormat="1" x14ac:dyDescent="0.2"/>
    <row r="430" spans="1:6" s="1" customFormat="1" x14ac:dyDescent="0.2">
      <c r="C430" s="20" t="s">
        <v>1216</v>
      </c>
      <c r="D430" s="20" t="s">
        <v>1130</v>
      </c>
      <c r="E430" s="20" t="s">
        <v>60</v>
      </c>
    </row>
    <row r="431" spans="1:6" s="1" customFormat="1" x14ac:dyDescent="0.2">
      <c r="A431" s="1" t="s">
        <v>1224</v>
      </c>
      <c r="C431" s="20" t="s">
        <v>75</v>
      </c>
      <c r="D431" s="20" t="s">
        <v>75</v>
      </c>
      <c r="E431" s="20" t="s">
        <v>111</v>
      </c>
    </row>
    <row r="432" spans="1:6" s="1" customFormat="1" x14ac:dyDescent="0.2">
      <c r="A432" s="1" t="s">
        <v>1225</v>
      </c>
      <c r="C432" s="20">
        <v>4</v>
      </c>
      <c r="D432" s="20">
        <v>8</v>
      </c>
      <c r="E432" s="20" t="s">
        <v>62</v>
      </c>
    </row>
    <row r="433" spans="1:8" s="1" customFormat="1" x14ac:dyDescent="0.2">
      <c r="A433" s="1" t="s">
        <v>1226</v>
      </c>
      <c r="C433" s="148">
        <f>D433</f>
        <v>4.6635139392105542E-2</v>
      </c>
      <c r="D433" s="149">
        <f>RATE(D432,D435,D434,D436)</f>
        <v>4.6635139392105542E-2</v>
      </c>
      <c r="E433" s="20" t="s">
        <v>63</v>
      </c>
    </row>
    <row r="434" spans="1:8" s="1" customFormat="1" x14ac:dyDescent="0.2">
      <c r="C434" s="142">
        <f>PV(C433,C432,C435,C436)</f>
        <v>-29999.999999999989</v>
      </c>
      <c r="D434" s="20">
        <v>-36000</v>
      </c>
      <c r="E434" s="20" t="s">
        <v>64</v>
      </c>
    </row>
    <row r="435" spans="1:8" s="1" customFormat="1" x14ac:dyDescent="0.2">
      <c r="C435" s="20">
        <v>0</v>
      </c>
      <c r="D435" s="20">
        <v>0</v>
      </c>
      <c r="E435" s="20" t="s">
        <v>65</v>
      </c>
    </row>
    <row r="436" spans="1:8" s="1" customFormat="1" x14ac:dyDescent="0.2">
      <c r="C436" s="24">
        <f>C428</f>
        <v>36000</v>
      </c>
      <c r="D436" s="24">
        <f>D428</f>
        <v>51840</v>
      </c>
      <c r="E436" s="20" t="s">
        <v>66</v>
      </c>
    </row>
    <row r="437" spans="1:8" s="1" customFormat="1" x14ac:dyDescent="0.2"/>
    <row r="438" spans="1:8" s="1" customFormat="1" x14ac:dyDescent="0.2">
      <c r="A438" s="1" t="s">
        <v>1227</v>
      </c>
    </row>
    <row r="439" spans="1:8" s="1" customFormat="1" x14ac:dyDescent="0.2"/>
    <row r="440" spans="1:8" s="1" customFormat="1" x14ac:dyDescent="0.2">
      <c r="A440" s="139" t="s">
        <v>1228</v>
      </c>
      <c r="B440" s="139"/>
      <c r="C440" s="139"/>
      <c r="D440" s="139"/>
      <c r="E440" s="139"/>
      <c r="F440" s="139"/>
      <c r="G440" s="139"/>
      <c r="H440" s="139"/>
    </row>
    <row r="441" spans="1:8" s="1" customFormat="1" x14ac:dyDescent="0.2">
      <c r="A441" s="1" t="s">
        <v>1229</v>
      </c>
    </row>
    <row r="442" spans="1:8" s="1" customFormat="1" x14ac:dyDescent="0.2">
      <c r="A442" s="1" t="s">
        <v>1230</v>
      </c>
    </row>
    <row r="443" spans="1:8" s="1" customFormat="1" x14ac:dyDescent="0.2">
      <c r="A443" s="1" t="s">
        <v>1231</v>
      </c>
    </row>
    <row r="444" spans="1:8" s="1" customFormat="1" x14ac:dyDescent="0.2"/>
    <row r="445" spans="1:8" s="1" customFormat="1" x14ac:dyDescent="0.2">
      <c r="E445" s="27" t="s">
        <v>231</v>
      </c>
      <c r="F445" s="27" t="s">
        <v>60</v>
      </c>
    </row>
    <row r="446" spans="1:8" s="1" customFormat="1" x14ac:dyDescent="0.2">
      <c r="E446" s="20" t="s">
        <v>75</v>
      </c>
      <c r="F446" s="20" t="s">
        <v>111</v>
      </c>
    </row>
    <row r="447" spans="1:8" s="1" customFormat="1" x14ac:dyDescent="0.2">
      <c r="E447" s="20">
        <v>2</v>
      </c>
      <c r="F447" s="20" t="s">
        <v>62</v>
      </c>
    </row>
    <row r="448" spans="1:8" s="1" customFormat="1" x14ac:dyDescent="0.2">
      <c r="E448" s="20">
        <v>6</v>
      </c>
      <c r="F448" s="20" t="s">
        <v>63</v>
      </c>
    </row>
    <row r="449" spans="1:8" s="1" customFormat="1" x14ac:dyDescent="0.2">
      <c r="E449" s="150">
        <v>-50000</v>
      </c>
      <c r="F449" s="20" t="s">
        <v>64</v>
      </c>
    </row>
    <row r="450" spans="1:8" s="1" customFormat="1" x14ac:dyDescent="0.2">
      <c r="E450" s="20">
        <v>0</v>
      </c>
      <c r="F450" s="20" t="s">
        <v>65</v>
      </c>
    </row>
    <row r="451" spans="1:8" s="1" customFormat="1" x14ac:dyDescent="0.2">
      <c r="A451" s="1" t="s">
        <v>1232</v>
      </c>
      <c r="E451" s="57">
        <f>FV(E448/100,E447,E450,E449)</f>
        <v>56180.000000000007</v>
      </c>
      <c r="F451" s="20" t="s">
        <v>66</v>
      </c>
    </row>
    <row r="452" spans="1:8" s="1" customFormat="1" x14ac:dyDescent="0.2"/>
    <row r="453" spans="1:8" s="1" customFormat="1" x14ac:dyDescent="0.2">
      <c r="A453" s="1" t="s">
        <v>1233</v>
      </c>
    </row>
    <row r="454" spans="1:8" s="1" customFormat="1" x14ac:dyDescent="0.2"/>
    <row r="455" spans="1:8" s="1" customFormat="1" x14ac:dyDescent="0.2"/>
    <row r="456" spans="1:8" s="1" customFormat="1" x14ac:dyDescent="0.2">
      <c r="A456" s="1" t="s">
        <v>1234</v>
      </c>
    </row>
    <row r="457" spans="1:8" s="1" customFormat="1" x14ac:dyDescent="0.2"/>
    <row r="458" spans="1:8" s="1" customFormat="1" x14ac:dyDescent="0.2">
      <c r="A458" s="139" t="s">
        <v>1235</v>
      </c>
      <c r="B458" s="139"/>
      <c r="C458" s="139"/>
      <c r="D458" s="139"/>
      <c r="E458" s="139"/>
      <c r="F458" s="139"/>
      <c r="G458" s="139"/>
      <c r="H458" s="139"/>
    </row>
    <row r="459" spans="1:8" s="1" customFormat="1" x14ac:dyDescent="0.2">
      <c r="A459" s="1" t="s">
        <v>1236</v>
      </c>
    </row>
    <row r="460" spans="1:8" s="1" customFormat="1" x14ac:dyDescent="0.2"/>
    <row r="461" spans="1:8" s="1" customFormat="1" x14ac:dyDescent="0.2"/>
    <row r="462" spans="1:8" s="1" customFormat="1" x14ac:dyDescent="0.2"/>
    <row r="463" spans="1:8" s="1" customFormat="1" x14ac:dyDescent="0.2"/>
    <row r="464" spans="1:8" s="1" customFormat="1" x14ac:dyDescent="0.2"/>
    <row r="465" s="1" customFormat="1" x14ac:dyDescent="0.2"/>
  </sheetData>
  <mergeCells count="1">
    <mergeCell ref="A1:H1"/>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406A3-9504-124E-B470-0A4DFE869623}">
  <dimension ref="A1:L108"/>
  <sheetViews>
    <sheetView rightToLeft="1" zoomScale="295" zoomScaleNormal="350" workbookViewId="0">
      <selection activeCell="D14" sqref="D14"/>
    </sheetView>
  </sheetViews>
  <sheetFormatPr baseColWidth="10" defaultRowHeight="16" x14ac:dyDescent="0.2"/>
  <cols>
    <col min="1" max="16384" width="10.83203125" style="1"/>
  </cols>
  <sheetData>
    <row r="1" spans="1:12" x14ac:dyDescent="0.2">
      <c r="A1" s="6" t="s">
        <v>2701</v>
      </c>
      <c r="B1" s="6"/>
      <c r="C1" s="6"/>
      <c r="D1" s="6"/>
      <c r="E1" s="6"/>
      <c r="F1" s="6"/>
      <c r="G1" s="6"/>
      <c r="H1" s="6"/>
    </row>
    <row r="4" spans="1:12" ht="17" thickBot="1" x14ac:dyDescent="0.25">
      <c r="A4" s="184"/>
      <c r="B4" s="10"/>
      <c r="C4" s="117" t="s">
        <v>1594</v>
      </c>
      <c r="D4" s="117" t="s">
        <v>1595</v>
      </c>
      <c r="E4" s="117" t="s">
        <v>1596</v>
      </c>
      <c r="F4" s="117" t="s">
        <v>1597</v>
      </c>
      <c r="G4" s="27" t="s">
        <v>1619</v>
      </c>
      <c r="H4" s="27" t="s">
        <v>1620</v>
      </c>
    </row>
    <row r="5" spans="1:12" x14ac:dyDescent="0.2">
      <c r="A5" s="182" t="s">
        <v>19</v>
      </c>
      <c r="C5" s="183" t="s">
        <v>1598</v>
      </c>
      <c r="D5" s="183">
        <v>14</v>
      </c>
      <c r="E5" s="183">
        <v>3</v>
      </c>
      <c r="F5" s="183" t="s">
        <v>1599</v>
      </c>
      <c r="G5" s="87">
        <f>(3+1+1+3)/4</f>
        <v>2</v>
      </c>
      <c r="H5" s="185">
        <f>G5/$G$12</f>
        <v>0.13043478260869565</v>
      </c>
      <c r="J5" s="403">
        <v>0.33</v>
      </c>
      <c r="K5" s="334"/>
      <c r="L5" s="337"/>
    </row>
    <row r="6" spans="1:12" x14ac:dyDescent="0.2">
      <c r="A6" s="182" t="s">
        <v>231</v>
      </c>
      <c r="C6" s="183">
        <v>10</v>
      </c>
      <c r="D6" s="183"/>
      <c r="E6" s="183">
        <v>1</v>
      </c>
      <c r="F6" s="183" t="s">
        <v>1600</v>
      </c>
      <c r="G6" s="87">
        <f>(1+1+2)/3</f>
        <v>1.3333333333333333</v>
      </c>
      <c r="H6" s="402">
        <f t="shared" ref="H6:H11" si="0">G6/$G$12</f>
        <v>8.6956521739130432E-2</v>
      </c>
      <c r="J6" s="213" t="s">
        <v>2975</v>
      </c>
      <c r="K6" s="18"/>
      <c r="L6" s="338"/>
    </row>
    <row r="7" spans="1:12" x14ac:dyDescent="0.2">
      <c r="A7" s="182" t="s">
        <v>1601</v>
      </c>
      <c r="C7" s="183">
        <v>3</v>
      </c>
      <c r="D7" s="183" t="s">
        <v>1602</v>
      </c>
      <c r="E7" s="183" t="s">
        <v>1603</v>
      </c>
      <c r="F7" s="183" t="s">
        <v>1604</v>
      </c>
      <c r="G7" s="87">
        <f>(1+2+4+3)/4</f>
        <v>2.5</v>
      </c>
      <c r="H7" s="185">
        <f t="shared" si="0"/>
        <v>0.16304347826086957</v>
      </c>
      <c r="J7" s="213" t="s">
        <v>2976</v>
      </c>
      <c r="K7" s="18"/>
      <c r="L7" s="338"/>
    </row>
    <row r="8" spans="1:12" x14ac:dyDescent="0.2">
      <c r="A8" s="116" t="s">
        <v>628</v>
      </c>
      <c r="C8" s="48">
        <v>6</v>
      </c>
      <c r="D8" s="48" t="s">
        <v>1605</v>
      </c>
      <c r="E8" s="48" t="s">
        <v>1606</v>
      </c>
      <c r="F8" s="48">
        <v>7</v>
      </c>
      <c r="G8" s="87">
        <f>(1+2+2+1)/4</f>
        <v>1.5</v>
      </c>
      <c r="H8" s="185">
        <f t="shared" si="0"/>
        <v>9.7826086956521743E-2</v>
      </c>
      <c r="J8" s="213" t="s">
        <v>2977</v>
      </c>
      <c r="K8" s="18"/>
      <c r="L8" s="338"/>
    </row>
    <row r="9" spans="1:12" x14ac:dyDescent="0.2">
      <c r="A9" s="116" t="s">
        <v>1607</v>
      </c>
      <c r="C9" s="48">
        <v>8</v>
      </c>
      <c r="D9" s="48">
        <v>13</v>
      </c>
      <c r="E9" s="48" t="s">
        <v>1608</v>
      </c>
      <c r="F9" s="48" t="s">
        <v>1609</v>
      </c>
      <c r="G9" s="87">
        <f>(1+1+3+3)/4</f>
        <v>2</v>
      </c>
      <c r="H9" s="185">
        <f t="shared" si="0"/>
        <v>0.13043478260869565</v>
      </c>
      <c r="J9" s="213" t="s">
        <v>2979</v>
      </c>
      <c r="K9" s="18"/>
      <c r="L9" s="338"/>
    </row>
    <row r="10" spans="1:12" ht="17" thickBot="1" x14ac:dyDescent="0.25">
      <c r="A10" s="116" t="s">
        <v>1610</v>
      </c>
      <c r="C10" s="48" t="s">
        <v>1611</v>
      </c>
      <c r="D10" s="48" t="s">
        <v>1612</v>
      </c>
      <c r="E10" s="48" t="s">
        <v>1613</v>
      </c>
      <c r="F10" s="48">
        <v>10</v>
      </c>
      <c r="G10" s="87">
        <f>(4+6+2+1)/4</f>
        <v>3.25</v>
      </c>
      <c r="H10" s="185">
        <f t="shared" si="0"/>
        <v>0.21195652173913046</v>
      </c>
      <c r="J10" s="133" t="s">
        <v>2978</v>
      </c>
      <c r="K10" s="332"/>
      <c r="L10" s="339"/>
    </row>
    <row r="11" spans="1:12" x14ac:dyDescent="0.2">
      <c r="A11" s="116" t="s">
        <v>1614</v>
      </c>
      <c r="C11" s="48" t="s">
        <v>1618</v>
      </c>
      <c r="D11" s="183" t="s">
        <v>1615</v>
      </c>
      <c r="E11" s="183" t="s">
        <v>1616</v>
      </c>
      <c r="F11" s="183" t="s">
        <v>1617</v>
      </c>
      <c r="G11" s="87">
        <f>(4+3+2+2)/4</f>
        <v>2.75</v>
      </c>
      <c r="H11" s="185">
        <f t="shared" si="0"/>
        <v>0.17934782608695654</v>
      </c>
    </row>
    <row r="12" spans="1:12" x14ac:dyDescent="0.2">
      <c r="G12" s="87">
        <f>SUM(G5:G11)</f>
        <v>15.333333333333332</v>
      </c>
    </row>
    <row r="15" spans="1:12" x14ac:dyDescent="0.2">
      <c r="A15" s="6" t="s">
        <v>1574</v>
      </c>
      <c r="B15" s="6"/>
      <c r="C15" s="6"/>
      <c r="D15" s="6"/>
      <c r="E15" s="6"/>
      <c r="F15" s="6"/>
      <c r="G15" s="6"/>
      <c r="H15" s="6"/>
    </row>
    <row r="17" spans="1:8" x14ac:dyDescent="0.2">
      <c r="A17" s="2" t="s">
        <v>1581</v>
      </c>
      <c r="B17" s="71"/>
      <c r="C17" s="71"/>
      <c r="D17" s="71"/>
      <c r="E17" s="71"/>
      <c r="F17" s="71"/>
      <c r="G17" s="71"/>
      <c r="H17" s="71"/>
    </row>
    <row r="19" spans="1:8" x14ac:dyDescent="0.2">
      <c r="A19" s="1" t="s">
        <v>1582</v>
      </c>
    </row>
    <row r="20" spans="1:8" x14ac:dyDescent="0.2">
      <c r="A20" s="1" t="s">
        <v>1583</v>
      </c>
    </row>
    <row r="21" spans="1:8" x14ac:dyDescent="0.2">
      <c r="A21" s="1" t="s">
        <v>1584</v>
      </c>
    </row>
    <row r="23" spans="1:8" x14ac:dyDescent="0.2">
      <c r="A23" s="1" t="s">
        <v>146</v>
      </c>
    </row>
    <row r="25" spans="1:8" x14ac:dyDescent="0.2">
      <c r="A25" s="1" t="s">
        <v>1585</v>
      </c>
    </row>
    <row r="26" spans="1:8" x14ac:dyDescent="0.2">
      <c r="A26" s="1" t="s">
        <v>1586</v>
      </c>
    </row>
    <row r="27" spans="1:8" x14ac:dyDescent="0.2">
      <c r="A27" s="1" t="s">
        <v>1587</v>
      </c>
    </row>
    <row r="28" spans="1:8" x14ac:dyDescent="0.2">
      <c r="A28" s="1" t="s">
        <v>1588</v>
      </c>
    </row>
    <row r="29" spans="1:8" x14ac:dyDescent="0.2">
      <c r="D29" s="1" t="s">
        <v>1590</v>
      </c>
      <c r="E29" s="1" t="s">
        <v>1589</v>
      </c>
    </row>
    <row r="30" spans="1:8" x14ac:dyDescent="0.2">
      <c r="D30" s="1" t="s">
        <v>75</v>
      </c>
      <c r="E30" s="1" t="s">
        <v>75</v>
      </c>
      <c r="F30" s="1" t="s">
        <v>111</v>
      </c>
    </row>
    <row r="31" spans="1:8" x14ac:dyDescent="0.2">
      <c r="D31" s="1">
        <v>3</v>
      </c>
      <c r="E31" s="1">
        <v>10</v>
      </c>
      <c r="F31" s="1" t="s">
        <v>62</v>
      </c>
    </row>
    <row r="32" spans="1:8" x14ac:dyDescent="0.2">
      <c r="D32" s="1">
        <v>5</v>
      </c>
      <c r="E32" s="1">
        <v>5</v>
      </c>
      <c r="F32" s="1" t="s">
        <v>63</v>
      </c>
    </row>
    <row r="33" spans="1:6" x14ac:dyDescent="0.2">
      <c r="D33" s="25">
        <f>PV(D32/100,D31,D34,D35)</f>
        <v>-10727.637978638832</v>
      </c>
      <c r="E33" s="25">
        <f>PV(E32/100,E31,E34,E35)</f>
        <v>-9266.0819150217758</v>
      </c>
      <c r="F33" s="1" t="s">
        <v>64</v>
      </c>
    </row>
    <row r="34" spans="1:6" x14ac:dyDescent="0.2">
      <c r="D34" s="1">
        <v>1000</v>
      </c>
      <c r="E34" s="1">
        <v>1200</v>
      </c>
      <c r="F34" s="1" t="s">
        <v>65</v>
      </c>
    </row>
    <row r="35" spans="1:6" x14ac:dyDescent="0.2">
      <c r="D35" s="25">
        <f>-E33</f>
        <v>9266.0819150217758</v>
      </c>
      <c r="E35" s="1">
        <v>0</v>
      </c>
      <c r="F35" s="1" t="s">
        <v>66</v>
      </c>
    </row>
    <row r="37" spans="1:6" x14ac:dyDescent="0.2">
      <c r="A37" s="1" t="s">
        <v>1591</v>
      </c>
    </row>
    <row r="39" spans="1:6" x14ac:dyDescent="0.2">
      <c r="A39" s="1" t="s">
        <v>1592</v>
      </c>
    </row>
    <row r="40" spans="1:6" x14ac:dyDescent="0.2">
      <c r="E40" s="1" t="s">
        <v>1589</v>
      </c>
    </row>
    <row r="41" spans="1:6" x14ac:dyDescent="0.2">
      <c r="E41" s="1" t="s">
        <v>75</v>
      </c>
      <c r="F41" s="1" t="s">
        <v>111</v>
      </c>
    </row>
    <row r="42" spans="1:6" x14ac:dyDescent="0.2">
      <c r="E42" s="1">
        <v>5</v>
      </c>
      <c r="F42" s="1" t="s">
        <v>62</v>
      </c>
    </row>
    <row r="43" spans="1:6" x14ac:dyDescent="0.2">
      <c r="E43" s="1">
        <v>5</v>
      </c>
      <c r="F43" s="1" t="s">
        <v>63</v>
      </c>
    </row>
    <row r="44" spans="1:6" x14ac:dyDescent="0.2">
      <c r="A44" s="1" t="s">
        <v>1593</v>
      </c>
      <c r="E44" s="25">
        <f>PV(E43/100,E42,E45,E46)</f>
        <v>-11752.892497026884</v>
      </c>
      <c r="F44" s="1" t="s">
        <v>64</v>
      </c>
    </row>
    <row r="45" spans="1:6" x14ac:dyDescent="0.2">
      <c r="E45" s="1">
        <v>0</v>
      </c>
      <c r="F45" s="1" t="s">
        <v>65</v>
      </c>
    </row>
    <row r="46" spans="1:6" x14ac:dyDescent="0.2">
      <c r="E46" s="1">
        <v>15000</v>
      </c>
      <c r="F46" s="1" t="s">
        <v>66</v>
      </c>
    </row>
    <row r="50" spans="1:8" x14ac:dyDescent="0.2">
      <c r="A50" s="2" t="s">
        <v>1580</v>
      </c>
      <c r="B50" s="71"/>
      <c r="C50" s="71"/>
      <c r="D50" s="71"/>
      <c r="E50" s="71"/>
      <c r="F50" s="71"/>
      <c r="G50" s="71"/>
      <c r="H50" s="71"/>
    </row>
    <row r="52" spans="1:8" x14ac:dyDescent="0.2">
      <c r="A52" s="1" t="s">
        <v>1577</v>
      </c>
      <c r="B52" s="1" t="s">
        <v>1576</v>
      </c>
      <c r="C52" s="1" t="s">
        <v>1575</v>
      </c>
      <c r="D52" s="1" t="s">
        <v>60</v>
      </c>
    </row>
    <row r="53" spans="1:8" x14ac:dyDescent="0.2">
      <c r="A53" s="1" t="s">
        <v>75</v>
      </c>
      <c r="B53" s="1" t="s">
        <v>75</v>
      </c>
      <c r="C53" s="1" t="s">
        <v>75</v>
      </c>
      <c r="D53" s="1" t="s">
        <v>111</v>
      </c>
    </row>
    <row r="54" spans="1:8" x14ac:dyDescent="0.2">
      <c r="A54" s="1">
        <v>10</v>
      </c>
      <c r="B54" s="1">
        <v>15</v>
      </c>
      <c r="C54" s="1">
        <v>5</v>
      </c>
      <c r="D54" s="1" t="s">
        <v>62</v>
      </c>
    </row>
    <row r="55" spans="1:8" x14ac:dyDescent="0.2">
      <c r="A55" s="1">
        <v>6</v>
      </c>
      <c r="B55" s="1">
        <v>9</v>
      </c>
      <c r="C55" s="1">
        <v>7</v>
      </c>
      <c r="D55" s="1" t="s">
        <v>63</v>
      </c>
    </row>
    <row r="56" spans="1:8" x14ac:dyDescent="0.2">
      <c r="A56" s="25">
        <f>-B58</f>
        <v>-50.307882192916054</v>
      </c>
      <c r="B56" s="25">
        <f>-C58</f>
        <v>-5.750739010000002</v>
      </c>
      <c r="C56" s="1">
        <v>0</v>
      </c>
      <c r="D56" s="1" t="s">
        <v>64</v>
      </c>
    </row>
    <row r="57" spans="1:8" x14ac:dyDescent="0.2">
      <c r="A57" s="1">
        <v>-1</v>
      </c>
      <c r="B57" s="1">
        <v>-1</v>
      </c>
      <c r="C57" s="1">
        <v>-1</v>
      </c>
      <c r="D57" s="1" t="s">
        <v>65</v>
      </c>
    </row>
    <row r="58" spans="1:8" x14ac:dyDescent="0.2">
      <c r="A58" s="181">
        <f>FV(A55/100,A54,A57,A56)</f>
        <v>103.27454988551392</v>
      </c>
      <c r="B58" s="25">
        <f>FV(B55/100,B54,B57,B56)</f>
        <v>50.307882192916054</v>
      </c>
      <c r="C58" s="25">
        <f>FV(C55/100,C54,C57,C56)</f>
        <v>5.750739010000002</v>
      </c>
      <c r="D58" s="1" t="s">
        <v>66</v>
      </c>
    </row>
    <row r="60" spans="1:8" x14ac:dyDescent="0.2">
      <c r="A60" s="1" t="s">
        <v>1578</v>
      </c>
    </row>
    <row r="62" spans="1:8" x14ac:dyDescent="0.2">
      <c r="C62" s="1" t="s">
        <v>1579</v>
      </c>
    </row>
    <row r="63" spans="1:8" x14ac:dyDescent="0.2">
      <c r="B63" s="25">
        <f>1032745/A58</f>
        <v>9999.995169621754</v>
      </c>
      <c r="C63" s="1" t="s">
        <v>295</v>
      </c>
    </row>
    <row r="66" spans="1:8" x14ac:dyDescent="0.2">
      <c r="A66" s="346" t="s">
        <v>2702</v>
      </c>
      <c r="B66" s="346"/>
      <c r="C66" s="346"/>
      <c r="D66" s="346"/>
      <c r="E66" s="346"/>
      <c r="F66" s="346"/>
      <c r="G66" s="346"/>
      <c r="H66" s="346"/>
    </row>
    <row r="68" spans="1:8" x14ac:dyDescent="0.2">
      <c r="A68" s="1" t="s">
        <v>2703</v>
      </c>
    </row>
    <row r="69" spans="1:8" x14ac:dyDescent="0.2">
      <c r="A69" s="1" t="s">
        <v>2704</v>
      </c>
    </row>
    <row r="70" spans="1:8" s="116" customFormat="1" x14ac:dyDescent="0.2">
      <c r="A70" s="116" t="s">
        <v>2706</v>
      </c>
    </row>
    <row r="71" spans="1:8" x14ac:dyDescent="0.2">
      <c r="A71" s="1" t="s">
        <v>2705</v>
      </c>
    </row>
    <row r="73" spans="1:8" x14ac:dyDescent="0.2">
      <c r="A73" s="1" t="s">
        <v>146</v>
      </c>
    </row>
    <row r="75" spans="1:8" x14ac:dyDescent="0.2">
      <c r="A75" s="1" t="s">
        <v>2707</v>
      </c>
    </row>
    <row r="76" spans="1:8" x14ac:dyDescent="0.2">
      <c r="A76" s="1" t="s">
        <v>2708</v>
      </c>
    </row>
    <row r="77" spans="1:8" x14ac:dyDescent="0.2">
      <c r="A77" s="1" t="s">
        <v>2709</v>
      </c>
    </row>
    <row r="79" spans="1:8" x14ac:dyDescent="0.2">
      <c r="A79" s="18" t="s">
        <v>2710</v>
      </c>
    </row>
    <row r="80" spans="1:8" x14ac:dyDescent="0.2">
      <c r="A80" s="18"/>
      <c r="B80" s="63" t="s">
        <v>2711</v>
      </c>
    </row>
    <row r="81" spans="1:11" x14ac:dyDescent="0.2">
      <c r="A81" s="18"/>
      <c r="G81" s="1" t="s">
        <v>60</v>
      </c>
    </row>
    <row r="82" spans="1:11" x14ac:dyDescent="0.2">
      <c r="A82" s="18"/>
      <c r="F82" s="20" t="s">
        <v>75</v>
      </c>
      <c r="G82" s="1" t="s">
        <v>111</v>
      </c>
    </row>
    <row r="83" spans="1:11" x14ac:dyDescent="0.2">
      <c r="A83" s="18"/>
      <c r="B83" s="1" t="s">
        <v>2712</v>
      </c>
      <c r="F83" s="20">
        <f>20*12</f>
        <v>240</v>
      </c>
      <c r="G83" s="1" t="s">
        <v>62</v>
      </c>
    </row>
    <row r="84" spans="1:11" x14ac:dyDescent="0.2">
      <c r="B84" s="1" t="s">
        <v>2713</v>
      </c>
      <c r="F84" s="20">
        <f>12/12</f>
        <v>1</v>
      </c>
      <c r="G84" s="1" t="s">
        <v>63</v>
      </c>
      <c r="H84" s="1" t="s">
        <v>2714</v>
      </c>
    </row>
    <row r="85" spans="1:11" x14ac:dyDescent="0.2">
      <c r="B85" s="1" t="s">
        <v>2371</v>
      </c>
      <c r="F85" s="20">
        <v>100000</v>
      </c>
      <c r="G85" s="1" t="s">
        <v>64</v>
      </c>
    </row>
    <row r="86" spans="1:11" x14ac:dyDescent="0.2">
      <c r="B86" s="1" t="s">
        <v>2715</v>
      </c>
      <c r="F86" s="50">
        <f>PMT(F84/100,F83,F85,F87)</f>
        <v>-1101.08613356961</v>
      </c>
      <c r="G86" s="1" t="s">
        <v>65</v>
      </c>
      <c r="H86" s="1" t="s">
        <v>227</v>
      </c>
    </row>
    <row r="87" spans="1:11" x14ac:dyDescent="0.2">
      <c r="F87" s="20">
        <v>0</v>
      </c>
      <c r="G87" s="1" t="s">
        <v>66</v>
      </c>
    </row>
    <row r="88" spans="1:11" x14ac:dyDescent="0.2">
      <c r="F88" s="20"/>
    </row>
    <row r="89" spans="1:11" x14ac:dyDescent="0.2">
      <c r="B89" s="63" t="s">
        <v>2716</v>
      </c>
      <c r="F89" s="20"/>
    </row>
    <row r="90" spans="1:11" x14ac:dyDescent="0.2">
      <c r="F90" s="20"/>
    </row>
    <row r="91" spans="1:11" x14ac:dyDescent="0.2">
      <c r="G91" s="1" t="s">
        <v>60</v>
      </c>
    </row>
    <row r="92" spans="1:11" x14ac:dyDescent="0.2">
      <c r="F92" s="20" t="s">
        <v>75</v>
      </c>
      <c r="G92" s="1" t="s">
        <v>111</v>
      </c>
    </row>
    <row r="93" spans="1:11" x14ac:dyDescent="0.2">
      <c r="B93" s="1" t="s">
        <v>2717</v>
      </c>
      <c r="F93" s="20">
        <f>F83</f>
        <v>240</v>
      </c>
      <c r="G93" s="1" t="s">
        <v>62</v>
      </c>
    </row>
    <row r="94" spans="1:11" x14ac:dyDescent="0.2">
      <c r="B94" s="1" t="s">
        <v>2721</v>
      </c>
      <c r="F94" s="347">
        <f>RATE(F93,F96,F95,F97)</f>
        <v>1.0267628803104644E-2</v>
      </c>
      <c r="G94" s="1" t="s">
        <v>63</v>
      </c>
      <c r="H94" s="1" t="s">
        <v>227</v>
      </c>
    </row>
    <row r="95" spans="1:11" x14ac:dyDescent="0.2">
      <c r="B95" s="1" t="s">
        <v>2718</v>
      </c>
      <c r="F95" s="20">
        <v>98000</v>
      </c>
      <c r="G95" s="1" t="s">
        <v>64</v>
      </c>
      <c r="H95" s="1" t="s">
        <v>2719</v>
      </c>
      <c r="K95" s="1" t="s">
        <v>2724</v>
      </c>
    </row>
    <row r="96" spans="1:11" x14ac:dyDescent="0.2">
      <c r="B96" s="1" t="s">
        <v>2720</v>
      </c>
      <c r="F96" s="50">
        <f>F86</f>
        <v>-1101.08613356961</v>
      </c>
      <c r="G96" s="1" t="s">
        <v>65</v>
      </c>
    </row>
    <row r="97" spans="2:7" x14ac:dyDescent="0.2">
      <c r="F97" s="20">
        <v>0</v>
      </c>
      <c r="G97" s="1" t="s">
        <v>66</v>
      </c>
    </row>
    <row r="98" spans="2:7" x14ac:dyDescent="0.2">
      <c r="F98" s="20"/>
    </row>
    <row r="99" spans="2:7" x14ac:dyDescent="0.2">
      <c r="B99" s="1" t="s">
        <v>2722</v>
      </c>
      <c r="F99" s="20"/>
    </row>
    <row r="100" spans="2:7" x14ac:dyDescent="0.2">
      <c r="B100" s="1" t="s">
        <v>2723</v>
      </c>
      <c r="F100" s="20"/>
    </row>
    <row r="101" spans="2:7" x14ac:dyDescent="0.2">
      <c r="F101" s="20"/>
    </row>
    <row r="102" spans="2:7" x14ac:dyDescent="0.2">
      <c r="B102" s="1" t="s">
        <v>2725</v>
      </c>
      <c r="F102" s="20"/>
    </row>
    <row r="103" spans="2:7" x14ac:dyDescent="0.2">
      <c r="F103" s="20"/>
    </row>
    <row r="104" spans="2:7" x14ac:dyDescent="0.2">
      <c r="B104" s="1" t="s">
        <v>2726</v>
      </c>
      <c r="F104" s="20"/>
    </row>
    <row r="105" spans="2:7" x14ac:dyDescent="0.2">
      <c r="B105" s="2" t="s">
        <v>799</v>
      </c>
      <c r="C105" s="2"/>
      <c r="D105" s="2"/>
      <c r="E105" s="348">
        <f>(1+F94)^12-1</f>
        <v>0.13041327639612943</v>
      </c>
      <c r="F105" s="20"/>
      <c r="G105" s="1" t="s">
        <v>2727</v>
      </c>
    </row>
    <row r="106" spans="2:7" x14ac:dyDescent="0.2">
      <c r="F106" s="20"/>
    </row>
    <row r="107" spans="2:7" x14ac:dyDescent="0.2">
      <c r="F107" s="20"/>
    </row>
    <row r="108" spans="2:7" x14ac:dyDescent="0.2">
      <c r="F108" s="20"/>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414A12-DBEC-6F45-A7BF-484B5234F475}">
  <dimension ref="A1:M165"/>
  <sheetViews>
    <sheetView rightToLeft="1" zoomScale="280" zoomScaleNormal="280" workbookViewId="0">
      <selection activeCell="F167" sqref="F167"/>
    </sheetView>
  </sheetViews>
  <sheetFormatPr baseColWidth="10" defaultRowHeight="16" x14ac:dyDescent="0.2"/>
  <cols>
    <col min="1" max="1" width="10.83203125" style="1"/>
    <col min="2" max="2" width="11.1640625" style="1" bestFit="1" customWidth="1"/>
    <col min="3" max="16384" width="10.83203125" style="1"/>
  </cols>
  <sheetData>
    <row r="1" spans="1:8" x14ac:dyDescent="0.2">
      <c r="A1" s="18" t="s">
        <v>2843</v>
      </c>
    </row>
    <row r="3" spans="1:8" x14ac:dyDescent="0.2">
      <c r="A3" s="1" t="s">
        <v>2844</v>
      </c>
    </row>
    <row r="4" spans="1:8" x14ac:dyDescent="0.2">
      <c r="A4" s="1" t="s">
        <v>2845</v>
      </c>
    </row>
    <row r="5" spans="1:8" x14ac:dyDescent="0.2">
      <c r="A5" s="1" t="s">
        <v>2846</v>
      </c>
    </row>
    <row r="6" spans="1:8" x14ac:dyDescent="0.2">
      <c r="A6" s="1" t="s">
        <v>2847</v>
      </c>
    </row>
    <row r="8" spans="1:8" x14ac:dyDescent="0.2">
      <c r="A8" s="151" t="s">
        <v>2848</v>
      </c>
      <c r="B8" s="151"/>
      <c r="C8" s="151"/>
      <c r="D8" s="151"/>
      <c r="E8" s="151" t="s">
        <v>2850</v>
      </c>
      <c r="F8" s="151"/>
      <c r="G8" s="151"/>
      <c r="H8" s="151"/>
    </row>
    <row r="10" spans="1:8" x14ac:dyDescent="0.2">
      <c r="A10" s="1" t="s">
        <v>2849</v>
      </c>
    </row>
    <row r="11" spans="1:8" x14ac:dyDescent="0.2">
      <c r="F11" s="343" t="s">
        <v>2853</v>
      </c>
      <c r="G11" s="69" t="s">
        <v>230</v>
      </c>
    </row>
    <row r="12" spans="1:8" x14ac:dyDescent="0.2">
      <c r="C12" s="528" t="s">
        <v>2856</v>
      </c>
      <c r="D12" s="528"/>
      <c r="E12" s="528"/>
      <c r="F12" s="343" t="s">
        <v>2854</v>
      </c>
      <c r="G12" s="69" t="s">
        <v>2851</v>
      </c>
    </row>
    <row r="13" spans="1:8" x14ac:dyDescent="0.2">
      <c r="C13" s="367" t="s">
        <v>2857</v>
      </c>
      <c r="D13" s="367" t="s">
        <v>1216</v>
      </c>
      <c r="E13" s="367" t="s">
        <v>1130</v>
      </c>
      <c r="F13" s="343" t="s">
        <v>2855</v>
      </c>
      <c r="G13" s="69" t="s">
        <v>2852</v>
      </c>
    </row>
    <row r="14" spans="1:8" x14ac:dyDescent="0.2">
      <c r="H14" s="1" t="s">
        <v>60</v>
      </c>
    </row>
    <row r="15" spans="1:8" x14ac:dyDescent="0.2">
      <c r="C15" s="20" t="s">
        <v>75</v>
      </c>
      <c r="D15" s="20" t="s">
        <v>75</v>
      </c>
      <c r="E15" s="20" t="s">
        <v>75</v>
      </c>
      <c r="F15" s="20" t="s">
        <v>75</v>
      </c>
      <c r="G15" s="20" t="s">
        <v>75</v>
      </c>
      <c r="H15" s="1" t="s">
        <v>111</v>
      </c>
    </row>
    <row r="16" spans="1:8" x14ac:dyDescent="0.2">
      <c r="C16" s="250" t="s">
        <v>2861</v>
      </c>
      <c r="D16" s="250" t="s">
        <v>2860</v>
      </c>
      <c r="E16" s="250" t="s">
        <v>2859</v>
      </c>
      <c r="F16" s="368" t="s">
        <v>2858</v>
      </c>
      <c r="G16" s="368" t="s">
        <v>2858</v>
      </c>
      <c r="H16" s="1" t="s">
        <v>62</v>
      </c>
    </row>
    <row r="17" spans="1:12" x14ac:dyDescent="0.2">
      <c r="C17" s="369" t="s">
        <v>2863</v>
      </c>
      <c r="D17" s="250" t="s">
        <v>2862</v>
      </c>
      <c r="E17" s="250" t="s">
        <v>2862</v>
      </c>
      <c r="F17" s="369" t="s">
        <v>2863</v>
      </c>
      <c r="G17" s="250" t="s">
        <v>2862</v>
      </c>
      <c r="H17" s="1" t="s">
        <v>63</v>
      </c>
    </row>
    <row r="18" spans="1:12" x14ac:dyDescent="0.2">
      <c r="C18" s="250" t="s">
        <v>2867</v>
      </c>
      <c r="D18" s="369" t="s">
        <v>2863</v>
      </c>
      <c r="E18" s="369" t="s">
        <v>2863</v>
      </c>
      <c r="F18" s="250" t="s">
        <v>2862</v>
      </c>
      <c r="G18" s="369" t="s">
        <v>2863</v>
      </c>
      <c r="H18" s="1" t="s">
        <v>64</v>
      </c>
    </row>
    <row r="19" spans="1:12" x14ac:dyDescent="0.2">
      <c r="C19" s="368" t="s">
        <v>2864</v>
      </c>
      <c r="D19" s="368" t="s">
        <v>2864</v>
      </c>
      <c r="E19" s="368" t="s">
        <v>2864</v>
      </c>
      <c r="F19" s="368" t="s">
        <v>2864</v>
      </c>
      <c r="G19" s="368" t="s">
        <v>2864</v>
      </c>
      <c r="H19" s="1" t="s">
        <v>65</v>
      </c>
    </row>
    <row r="20" spans="1:12" x14ac:dyDescent="0.2">
      <c r="C20" s="250" t="s">
        <v>2866</v>
      </c>
      <c r="D20" s="250" t="s">
        <v>2865</v>
      </c>
      <c r="E20" s="250" t="s">
        <v>2865</v>
      </c>
      <c r="F20" s="250" t="s">
        <v>2865</v>
      </c>
      <c r="G20" s="250" t="s">
        <v>2865</v>
      </c>
      <c r="H20" s="1" t="s">
        <v>66</v>
      </c>
    </row>
    <row r="22" spans="1:12" x14ac:dyDescent="0.2">
      <c r="A22" s="1" t="s">
        <v>2868</v>
      </c>
    </row>
    <row r="23" spans="1:12" x14ac:dyDescent="0.2">
      <c r="A23" s="1" t="s">
        <v>2869</v>
      </c>
    </row>
    <row r="24" spans="1:12" x14ac:dyDescent="0.2">
      <c r="A24" s="1" t="s">
        <v>2870</v>
      </c>
    </row>
    <row r="25" spans="1:12" x14ac:dyDescent="0.2">
      <c r="A25" s="1" t="s">
        <v>2880</v>
      </c>
    </row>
    <row r="27" spans="1:12" x14ac:dyDescent="0.2">
      <c r="A27" s="1" t="s">
        <v>568</v>
      </c>
      <c r="J27" s="20"/>
    </row>
    <row r="28" spans="1:12" x14ac:dyDescent="0.2">
      <c r="A28" s="1" t="s">
        <v>2871</v>
      </c>
      <c r="J28" s="26" t="s">
        <v>1994</v>
      </c>
      <c r="K28" s="1" t="s">
        <v>60</v>
      </c>
    </row>
    <row r="29" spans="1:12" x14ac:dyDescent="0.2">
      <c r="J29" s="20" t="s">
        <v>75</v>
      </c>
      <c r="K29" s="1" t="s">
        <v>111</v>
      </c>
    </row>
    <row r="30" spans="1:12" x14ac:dyDescent="0.2">
      <c r="A30" s="18" t="s">
        <v>2883</v>
      </c>
      <c r="J30" s="20">
        <f>10*4</f>
        <v>40</v>
      </c>
      <c r="K30" s="1" t="s">
        <v>62</v>
      </c>
      <c r="L30" s="1" t="s">
        <v>2879</v>
      </c>
    </row>
    <row r="31" spans="1:12" x14ac:dyDescent="0.2">
      <c r="J31" s="20">
        <f>((1+13%)^(1/4)-1)*100</f>
        <v>3.1025984771220427</v>
      </c>
      <c r="K31" s="1" t="s">
        <v>63</v>
      </c>
      <c r="L31" s="1" t="s">
        <v>2881</v>
      </c>
    </row>
    <row r="32" spans="1:12" x14ac:dyDescent="0.2">
      <c r="J32" s="370">
        <f>PV(J31/100,J30,J33,J34)</f>
        <v>-86.299226590298488</v>
      </c>
      <c r="K32" s="1" t="s">
        <v>64</v>
      </c>
      <c r="L32" s="1" t="s">
        <v>227</v>
      </c>
    </row>
    <row r="33" spans="1:12" x14ac:dyDescent="0.2">
      <c r="J33" s="20">
        <f>10%/4*100</f>
        <v>2.5</v>
      </c>
      <c r="K33" s="1" t="s">
        <v>65</v>
      </c>
      <c r="L33" s="1" t="s">
        <v>2882</v>
      </c>
    </row>
    <row r="34" spans="1:12" x14ac:dyDescent="0.2">
      <c r="J34" s="20">
        <v>100</v>
      </c>
      <c r="K34" s="1" t="s">
        <v>66</v>
      </c>
      <c r="L34" s="1" t="s">
        <v>567</v>
      </c>
    </row>
    <row r="35" spans="1:12" x14ac:dyDescent="0.2">
      <c r="J35" s="20"/>
    </row>
    <row r="36" spans="1:12" x14ac:dyDescent="0.2">
      <c r="A36" s="1" t="s">
        <v>2872</v>
      </c>
      <c r="J36" s="26" t="s">
        <v>1995</v>
      </c>
      <c r="K36" s="1" t="s">
        <v>60</v>
      </c>
    </row>
    <row r="37" spans="1:12" x14ac:dyDescent="0.2">
      <c r="A37" s="1" t="s">
        <v>2873</v>
      </c>
      <c r="J37" s="20" t="s">
        <v>75</v>
      </c>
      <c r="K37" s="1" t="s">
        <v>111</v>
      </c>
    </row>
    <row r="38" spans="1:12" x14ac:dyDescent="0.2">
      <c r="J38" s="20">
        <f>7*4</f>
        <v>28</v>
      </c>
      <c r="K38" s="1" t="s">
        <v>62</v>
      </c>
      <c r="L38" s="1" t="s">
        <v>2884</v>
      </c>
    </row>
    <row r="39" spans="1:12" x14ac:dyDescent="0.2">
      <c r="A39" s="18" t="s">
        <v>2886</v>
      </c>
      <c r="J39" s="20">
        <f>((1+12%)^(1/4)-1)*100</f>
        <v>2.8737344722080227</v>
      </c>
      <c r="K39" s="1" t="s">
        <v>63</v>
      </c>
      <c r="L39" s="1" t="s">
        <v>2885</v>
      </c>
    </row>
    <row r="40" spans="1:12" x14ac:dyDescent="0.2">
      <c r="J40" s="371">
        <f>PV(J39/100,J38,J41,J42)</f>
        <v>-92.877700464680956</v>
      </c>
      <c r="K40" s="1" t="s">
        <v>64</v>
      </c>
      <c r="L40" s="1" t="s">
        <v>227</v>
      </c>
    </row>
    <row r="41" spans="1:12" x14ac:dyDescent="0.2">
      <c r="J41" s="20">
        <f>10%/4*100</f>
        <v>2.5</v>
      </c>
      <c r="K41" s="1" t="s">
        <v>65</v>
      </c>
      <c r="L41" s="1" t="s">
        <v>2882</v>
      </c>
    </row>
    <row r="42" spans="1:12" x14ac:dyDescent="0.2">
      <c r="J42" s="20">
        <v>100</v>
      </c>
      <c r="K42" s="1" t="s">
        <v>66</v>
      </c>
      <c r="L42" s="1" t="s">
        <v>567</v>
      </c>
    </row>
    <row r="44" spans="1:12" x14ac:dyDescent="0.2">
      <c r="A44" s="1" t="s">
        <v>2874</v>
      </c>
      <c r="J44" s="26" t="s">
        <v>1996</v>
      </c>
      <c r="K44" s="1" t="s">
        <v>60</v>
      </c>
    </row>
    <row r="45" spans="1:12" x14ac:dyDescent="0.2">
      <c r="A45" s="1" t="s">
        <v>2873</v>
      </c>
      <c r="J45" s="20" t="s">
        <v>75</v>
      </c>
      <c r="K45" s="1" t="s">
        <v>111</v>
      </c>
    </row>
    <row r="46" spans="1:12" x14ac:dyDescent="0.2">
      <c r="J46" s="20">
        <f>6*4</f>
        <v>24</v>
      </c>
      <c r="K46" s="1" t="s">
        <v>62</v>
      </c>
      <c r="L46" s="1" t="s">
        <v>2889</v>
      </c>
    </row>
    <row r="47" spans="1:12" x14ac:dyDescent="0.2">
      <c r="A47" s="1" t="s">
        <v>2887</v>
      </c>
      <c r="J47" s="20">
        <f>((1+14%)^(1/4)-1)*100</f>
        <v>3.3299484758959608</v>
      </c>
      <c r="K47" s="1" t="s">
        <v>63</v>
      </c>
      <c r="L47" s="1" t="s">
        <v>2890</v>
      </c>
    </row>
    <row r="48" spans="1:12" x14ac:dyDescent="0.2">
      <c r="A48" s="1" t="s">
        <v>2888</v>
      </c>
      <c r="J48" s="371">
        <f>PV(J47/100,J46,J49,J50)</f>
        <v>-86.431167981200929</v>
      </c>
      <c r="K48" s="1" t="s">
        <v>64</v>
      </c>
    </row>
    <row r="49" spans="1:13" x14ac:dyDescent="0.2">
      <c r="J49" s="20">
        <f>10%/4*100</f>
        <v>2.5</v>
      </c>
      <c r="K49" s="1" t="s">
        <v>65</v>
      </c>
    </row>
    <row r="50" spans="1:13" x14ac:dyDescent="0.2">
      <c r="A50" s="1" t="s">
        <v>2891</v>
      </c>
      <c r="F50" s="372">
        <f>-J48</f>
        <v>86.431167981200929</v>
      </c>
      <c r="J50" s="20">
        <v>100</v>
      </c>
      <c r="K50" s="1" t="s">
        <v>66</v>
      </c>
    </row>
    <row r="51" spans="1:13" x14ac:dyDescent="0.2">
      <c r="A51" s="1" t="s">
        <v>2892</v>
      </c>
      <c r="F51" s="1">
        <v>2.5</v>
      </c>
    </row>
    <row r="52" spans="1:13" x14ac:dyDescent="0.2">
      <c r="A52" s="18" t="s">
        <v>2893</v>
      </c>
      <c r="F52" s="373">
        <f>F50+F51</f>
        <v>88.931167981200929</v>
      </c>
    </row>
    <row r="54" spans="1:13" x14ac:dyDescent="0.2">
      <c r="A54" s="1" t="s">
        <v>2875</v>
      </c>
      <c r="J54" s="26" t="s">
        <v>2908</v>
      </c>
      <c r="K54" s="1" t="s">
        <v>60</v>
      </c>
    </row>
    <row r="55" spans="1:13" x14ac:dyDescent="0.2">
      <c r="A55" s="1" t="s">
        <v>2905</v>
      </c>
      <c r="J55" s="20" t="s">
        <v>75</v>
      </c>
      <c r="K55" s="1" t="s">
        <v>111</v>
      </c>
    </row>
    <row r="56" spans="1:13" x14ac:dyDescent="0.2">
      <c r="J56" s="20">
        <f>10*4</f>
        <v>40</v>
      </c>
      <c r="K56" s="1" t="s">
        <v>62</v>
      </c>
      <c r="L56" s="1" t="s">
        <v>2897</v>
      </c>
    </row>
    <row r="57" spans="1:13" x14ac:dyDescent="0.2">
      <c r="A57" s="1" t="s">
        <v>2899</v>
      </c>
      <c r="D57" s="375">
        <f>J57</f>
        <v>2.7061580983063429</v>
      </c>
      <c r="J57" s="377">
        <f>RATE(J56,J59,J58,J60)*100</f>
        <v>2.7061580983063429</v>
      </c>
      <c r="K57" s="1" t="s">
        <v>63</v>
      </c>
      <c r="L57" s="1" t="s">
        <v>227</v>
      </c>
      <c r="M57" s="1" t="s">
        <v>2898</v>
      </c>
    </row>
    <row r="58" spans="1:13" x14ac:dyDescent="0.2">
      <c r="A58" s="1" t="s">
        <v>2900</v>
      </c>
      <c r="J58" s="374">
        <v>-95</v>
      </c>
      <c r="K58" s="1" t="s">
        <v>64</v>
      </c>
      <c r="L58" s="1" t="s">
        <v>2894</v>
      </c>
    </row>
    <row r="59" spans="1:13" x14ac:dyDescent="0.2">
      <c r="J59" s="20">
        <f>10%/4*100</f>
        <v>2.5</v>
      </c>
      <c r="K59" s="1" t="s">
        <v>65</v>
      </c>
      <c r="L59" s="1" t="s">
        <v>2895</v>
      </c>
    </row>
    <row r="60" spans="1:13" x14ac:dyDescent="0.2">
      <c r="A60" s="1" t="s">
        <v>2901</v>
      </c>
      <c r="J60" s="20">
        <v>100</v>
      </c>
      <c r="K60" s="1" t="s">
        <v>66</v>
      </c>
      <c r="L60" s="1" t="s">
        <v>2896</v>
      </c>
    </row>
    <row r="62" spans="1:13" x14ac:dyDescent="0.2">
      <c r="A62" s="1" t="s">
        <v>2902</v>
      </c>
    </row>
    <row r="63" spans="1:13" x14ac:dyDescent="0.2">
      <c r="A63" s="1" t="s">
        <v>2903</v>
      </c>
    </row>
    <row r="65" spans="1:11" x14ac:dyDescent="0.2">
      <c r="A65" s="1" t="s">
        <v>2904</v>
      </c>
    </row>
    <row r="67" spans="1:11" x14ac:dyDescent="0.2">
      <c r="A67" s="1" t="s">
        <v>2906</v>
      </c>
    </row>
    <row r="69" spans="1:11" x14ac:dyDescent="0.2">
      <c r="E69" s="262"/>
      <c r="F69" s="262"/>
      <c r="G69" s="1">
        <f>((1+2.706158%)^(4)-1)*100</f>
        <v>11.272010290992029</v>
      </c>
      <c r="K69" s="1" t="str">
        <f ca="1">_xlfn.FORMULATEXT(G69)</f>
        <v>=((1+2.706158%)^(4)-1)*100</v>
      </c>
    </row>
    <row r="71" spans="1:11" x14ac:dyDescent="0.2">
      <c r="A71" s="18" t="s">
        <v>2907</v>
      </c>
      <c r="B71" s="18"/>
      <c r="C71" s="18"/>
      <c r="D71" s="18"/>
      <c r="E71" s="376">
        <v>0.11272</v>
      </c>
    </row>
    <row r="73" spans="1:11" x14ac:dyDescent="0.2">
      <c r="A73" s="1" t="s">
        <v>2876</v>
      </c>
    </row>
    <row r="74" spans="1:11" x14ac:dyDescent="0.2">
      <c r="A74" s="1" t="s">
        <v>2877</v>
      </c>
    </row>
    <row r="75" spans="1:11" x14ac:dyDescent="0.2">
      <c r="A75" s="1" t="s">
        <v>2878</v>
      </c>
    </row>
    <row r="77" spans="1:11" x14ac:dyDescent="0.2">
      <c r="C77" s="528" t="s">
        <v>2856</v>
      </c>
      <c r="D77" s="528"/>
      <c r="E77" s="528"/>
      <c r="H77" s="1" t="s">
        <v>2909</v>
      </c>
    </row>
    <row r="78" spans="1:11" x14ac:dyDescent="0.2">
      <c r="C78" s="367" t="s">
        <v>2857</v>
      </c>
      <c r="D78" s="367" t="s">
        <v>1216</v>
      </c>
      <c r="E78" s="367" t="s">
        <v>1130</v>
      </c>
      <c r="H78" s="1" t="s">
        <v>2910</v>
      </c>
    </row>
    <row r="79" spans="1:11" x14ac:dyDescent="0.2">
      <c r="F79" s="1" t="s">
        <v>60</v>
      </c>
      <c r="H79" s="1" t="s">
        <v>2911</v>
      </c>
    </row>
    <row r="80" spans="1:11" x14ac:dyDescent="0.2">
      <c r="C80" s="20" t="s">
        <v>75</v>
      </c>
      <c r="D80" s="20" t="s">
        <v>75</v>
      </c>
      <c r="E80" s="20" t="s">
        <v>75</v>
      </c>
      <c r="F80" s="1" t="s">
        <v>111</v>
      </c>
      <c r="H80" s="1" t="s">
        <v>2912</v>
      </c>
    </row>
    <row r="81" spans="1:8" x14ac:dyDescent="0.2">
      <c r="C81" s="20">
        <f>5*4</f>
        <v>20</v>
      </c>
      <c r="D81" s="20">
        <f>(10-1-5)*4</f>
        <v>16</v>
      </c>
      <c r="E81" s="20">
        <f>(10-1)*4</f>
        <v>36</v>
      </c>
      <c r="F81" s="1" t="s">
        <v>62</v>
      </c>
    </row>
    <row r="82" spans="1:8" ht="34" customHeight="1" x14ac:dyDescent="0.2">
      <c r="C82" s="336">
        <f>RATE(C81,C84,C83,C85)*100</f>
        <v>3.2275993011484294</v>
      </c>
      <c r="D82" s="236">
        <f>((1+9%)^(1/4)-1)*100</f>
        <v>2.1778180864641117</v>
      </c>
      <c r="E82" s="236">
        <f>((1+12%)^(1/4)-1)*100</f>
        <v>2.8737344722080227</v>
      </c>
      <c r="F82" s="1" t="s">
        <v>63</v>
      </c>
      <c r="G82" s="1" t="s">
        <v>2914</v>
      </c>
    </row>
    <row r="83" spans="1:8" ht="31" customHeight="1" x14ac:dyDescent="0.2">
      <c r="C83" s="379">
        <f>E83</f>
        <v>-91.684615361661983</v>
      </c>
      <c r="D83" s="380">
        <f>PV(D82/100,D81,D84,D85)</f>
        <v>-104.31349725772361</v>
      </c>
      <c r="E83" s="380">
        <f>PV(E82/100,E81,E84,E85)</f>
        <v>-91.684615361661983</v>
      </c>
      <c r="F83" s="1" t="s">
        <v>64</v>
      </c>
      <c r="G83" s="1" t="s">
        <v>2913</v>
      </c>
    </row>
    <row r="84" spans="1:8" x14ac:dyDescent="0.2">
      <c r="C84" s="20">
        <f>10%/4*100</f>
        <v>2.5</v>
      </c>
      <c r="D84" s="20">
        <f>10%/4*100</f>
        <v>2.5</v>
      </c>
      <c r="E84" s="20">
        <f>10%/4*100</f>
        <v>2.5</v>
      </c>
      <c r="F84" s="1" t="s">
        <v>65</v>
      </c>
    </row>
    <row r="85" spans="1:8" x14ac:dyDescent="0.2">
      <c r="C85" s="378">
        <f>-D83</f>
        <v>104.31349725772361</v>
      </c>
      <c r="D85" s="20">
        <v>100</v>
      </c>
      <c r="E85" s="20">
        <v>100</v>
      </c>
      <c r="F85" s="1" t="s">
        <v>66</v>
      </c>
    </row>
    <row r="87" spans="1:8" x14ac:dyDescent="0.2">
      <c r="A87" s="1" t="s">
        <v>2915</v>
      </c>
      <c r="D87" s="1">
        <f>C82</f>
        <v>3.2275993011484294</v>
      </c>
    </row>
    <row r="88" spans="1:8" x14ac:dyDescent="0.2">
      <c r="A88" s="1" t="s">
        <v>2916</v>
      </c>
    </row>
    <row r="89" spans="1:8" x14ac:dyDescent="0.2">
      <c r="D89" s="1">
        <f>((1+3.227599301%)^4-1)*100</f>
        <v>13.548998834664495</v>
      </c>
    </row>
    <row r="91" spans="1:8" x14ac:dyDescent="0.2">
      <c r="A91" s="18" t="s">
        <v>2917</v>
      </c>
      <c r="G91" s="381">
        <v>0.1354899883</v>
      </c>
    </row>
    <row r="93" spans="1:8" x14ac:dyDescent="0.2">
      <c r="A93" s="151" t="s">
        <v>2918</v>
      </c>
      <c r="B93" s="151"/>
      <c r="C93" s="151"/>
      <c r="D93" s="151"/>
      <c r="E93" s="151"/>
      <c r="F93" s="151"/>
      <c r="G93" s="151"/>
      <c r="H93" s="151"/>
    </row>
    <row r="95" spans="1:8" x14ac:dyDescent="0.2">
      <c r="A95" s="1" t="s">
        <v>2919</v>
      </c>
    </row>
    <row r="96" spans="1:8" x14ac:dyDescent="0.2">
      <c r="A96" s="1" t="s">
        <v>2920</v>
      </c>
    </row>
    <row r="97" spans="1:5" x14ac:dyDescent="0.2">
      <c r="A97" s="1" t="s">
        <v>2921</v>
      </c>
    </row>
    <row r="98" spans="1:5" x14ac:dyDescent="0.2">
      <c r="A98" s="1" t="s">
        <v>2922</v>
      </c>
    </row>
    <row r="99" spans="1:5" x14ac:dyDescent="0.2">
      <c r="A99" s="1" t="s">
        <v>2923</v>
      </c>
    </row>
    <row r="101" spans="1:5" x14ac:dyDescent="0.2">
      <c r="A101" s="1" t="s">
        <v>2924</v>
      </c>
    </row>
    <row r="102" spans="1:5" x14ac:dyDescent="0.2">
      <c r="A102" s="1" t="s">
        <v>2925</v>
      </c>
    </row>
    <row r="104" spans="1:5" x14ac:dyDescent="0.2">
      <c r="A104" s="18" t="s">
        <v>2926</v>
      </c>
    </row>
    <row r="105" spans="1:5" x14ac:dyDescent="0.2">
      <c r="A105" s="1" t="s">
        <v>2927</v>
      </c>
    </row>
    <row r="106" spans="1:5" x14ac:dyDescent="0.2">
      <c r="A106" s="1" t="s">
        <v>2928</v>
      </c>
    </row>
    <row r="107" spans="1:5" x14ac:dyDescent="0.2">
      <c r="A107" s="1" t="s">
        <v>2937</v>
      </c>
    </row>
    <row r="108" spans="1:5" x14ac:dyDescent="0.2">
      <c r="A108" s="1" t="s">
        <v>2929</v>
      </c>
    </row>
    <row r="110" spans="1:5" x14ac:dyDescent="0.2">
      <c r="A110" s="1" t="s">
        <v>2930</v>
      </c>
    </row>
    <row r="112" spans="1:5" ht="52" thickBot="1" x14ac:dyDescent="0.25">
      <c r="A112" s="396" t="s">
        <v>29</v>
      </c>
      <c r="B112" s="397" t="s">
        <v>2931</v>
      </c>
      <c r="E112" s="1" t="s">
        <v>2932</v>
      </c>
    </row>
    <row r="113" spans="1:13" x14ac:dyDescent="0.2">
      <c r="A113" s="390">
        <v>1</v>
      </c>
      <c r="B113" s="391">
        <v>8.2432160000000004E-2</v>
      </c>
    </row>
    <row r="114" spans="1:13" ht="17" thickBot="1" x14ac:dyDescent="0.25">
      <c r="A114" s="394">
        <v>2</v>
      </c>
      <c r="B114" s="395">
        <v>8.2432160000000004E-2</v>
      </c>
      <c r="G114" s="20" t="s">
        <v>2941</v>
      </c>
      <c r="H114" s="20" t="s">
        <v>2939</v>
      </c>
      <c r="I114" s="20" t="s">
        <v>2938</v>
      </c>
      <c r="J114" s="20" t="s">
        <v>2935</v>
      </c>
      <c r="K114" s="20" t="s">
        <v>2933</v>
      </c>
    </row>
    <row r="115" spans="1:13" x14ac:dyDescent="0.2">
      <c r="A115" s="390">
        <v>3</v>
      </c>
      <c r="B115" s="391">
        <v>6.1363550000000003E-2</v>
      </c>
      <c r="G115" s="20" t="s">
        <v>2940</v>
      </c>
      <c r="H115" s="20" t="s">
        <v>2940</v>
      </c>
      <c r="I115" s="20" t="s">
        <v>2936</v>
      </c>
      <c r="J115" s="20" t="s">
        <v>2936</v>
      </c>
      <c r="K115" s="20" t="s">
        <v>2934</v>
      </c>
      <c r="L115" s="1" t="s">
        <v>60</v>
      </c>
    </row>
    <row r="116" spans="1:13" x14ac:dyDescent="0.2">
      <c r="A116" s="392">
        <v>4</v>
      </c>
      <c r="B116" s="393">
        <v>6.1363550000000003E-2</v>
      </c>
      <c r="G116" s="20" t="s">
        <v>75</v>
      </c>
      <c r="H116" s="20" t="s">
        <v>75</v>
      </c>
      <c r="I116" s="20" t="s">
        <v>75</v>
      </c>
      <c r="J116" s="20" t="s">
        <v>75</v>
      </c>
      <c r="K116" s="20" t="s">
        <v>75</v>
      </c>
      <c r="L116" s="1" t="s">
        <v>111</v>
      </c>
    </row>
    <row r="117" spans="1:13" ht="17" thickBot="1" x14ac:dyDescent="0.25">
      <c r="A117" s="394">
        <v>5</v>
      </c>
      <c r="B117" s="395">
        <v>6.1363550000000003E-2</v>
      </c>
      <c r="G117" s="20">
        <f>2*4</f>
        <v>8</v>
      </c>
      <c r="H117" s="20">
        <f>3*4</f>
        <v>12</v>
      </c>
      <c r="I117" s="20">
        <v>5</v>
      </c>
      <c r="J117" s="20">
        <v>4</v>
      </c>
      <c r="K117" s="20">
        <v>12</v>
      </c>
      <c r="L117" s="1" t="s">
        <v>62</v>
      </c>
    </row>
    <row r="118" spans="1:13" x14ac:dyDescent="0.2">
      <c r="A118" s="384">
        <v>6</v>
      </c>
      <c r="B118" s="385">
        <v>0.12</v>
      </c>
      <c r="G118" s="20">
        <f>((1+8.24%)^(1/4)-1)*100</f>
        <v>1.999242364401721</v>
      </c>
      <c r="H118" s="20">
        <f>((1+6.14%)^(1/4)-1)*100</f>
        <v>1.5008714176958371</v>
      </c>
      <c r="I118" s="20">
        <v>12</v>
      </c>
      <c r="J118" s="20">
        <v>14</v>
      </c>
      <c r="K118" s="20">
        <f>((1+15.39%)^(1/12)-1)*100</f>
        <v>1.200039289517818</v>
      </c>
      <c r="L118" s="1" t="s">
        <v>63</v>
      </c>
    </row>
    <row r="119" spans="1:13" x14ac:dyDescent="0.2">
      <c r="A119" s="386">
        <v>7</v>
      </c>
      <c r="B119" s="387">
        <v>0.12</v>
      </c>
      <c r="G119" s="398">
        <f>PV(G118/100,G117,G120,G121)</f>
        <v>-451587.68857386522</v>
      </c>
      <c r="H119" s="323">
        <f>PV(H118/100,H117,H120,H121)</f>
        <v>-357420.72578700737</v>
      </c>
      <c r="I119" s="323">
        <f>PV(I118/100,I117,I120,I121)</f>
        <v>-166545.80104479543</v>
      </c>
      <c r="J119" s="323">
        <f>PV(J118/100,J117,J120,J121)</f>
        <v>-134689.42334317704</v>
      </c>
      <c r="K119" s="323">
        <f>PV(K118/100,K117,K120,K121)</f>
        <v>-44456.469735769846</v>
      </c>
      <c r="L119" s="1" t="s">
        <v>64</v>
      </c>
      <c r="M119" s="1" t="s">
        <v>227</v>
      </c>
    </row>
    <row r="120" spans="1:13" x14ac:dyDescent="0.2">
      <c r="A120" s="386">
        <v>8</v>
      </c>
      <c r="B120" s="387">
        <v>0.12</v>
      </c>
      <c r="G120" s="20">
        <v>20000</v>
      </c>
      <c r="H120" s="20">
        <v>20000</v>
      </c>
      <c r="I120" s="20">
        <v>25000</v>
      </c>
      <c r="J120" s="20">
        <v>25000</v>
      </c>
      <c r="K120" s="20">
        <v>4000</v>
      </c>
      <c r="L120" s="1" t="s">
        <v>65</v>
      </c>
    </row>
    <row r="121" spans="1:13" x14ac:dyDescent="0.2">
      <c r="A121" s="386">
        <v>9</v>
      </c>
      <c r="B121" s="387">
        <v>0.12</v>
      </c>
      <c r="G121" s="30">
        <f>-H119</f>
        <v>357420.72578700737</v>
      </c>
      <c r="H121" s="30">
        <f>-I119</f>
        <v>166545.80104479543</v>
      </c>
      <c r="I121" s="30">
        <f>-J119</f>
        <v>134689.42334317704</v>
      </c>
      <c r="J121" s="20">
        <f>-(-44456.47)+60000</f>
        <v>104456.47</v>
      </c>
      <c r="K121" s="20">
        <v>0</v>
      </c>
      <c r="L121" s="1" t="s">
        <v>66</v>
      </c>
    </row>
    <row r="122" spans="1:13" ht="17" thickBot="1" x14ac:dyDescent="0.25">
      <c r="A122" s="388">
        <v>10</v>
      </c>
      <c r="B122" s="389">
        <v>0.12</v>
      </c>
    </row>
    <row r="123" spans="1:13" x14ac:dyDescent="0.2">
      <c r="A123" s="384">
        <v>11</v>
      </c>
      <c r="B123" s="385">
        <v>0.14000000000000001</v>
      </c>
      <c r="E123" s="18" t="s">
        <v>660</v>
      </c>
      <c r="F123" s="18"/>
      <c r="G123" s="18"/>
      <c r="H123" s="18"/>
    </row>
    <row r="124" spans="1:13" x14ac:dyDescent="0.2">
      <c r="A124" s="386">
        <v>12</v>
      </c>
      <c r="B124" s="387">
        <v>0.14000000000000001</v>
      </c>
      <c r="E124" s="18" t="s">
        <v>2942</v>
      </c>
      <c r="F124" s="18"/>
      <c r="G124" s="18"/>
      <c r="H124" s="399">
        <v>451587.69</v>
      </c>
    </row>
    <row r="125" spans="1:13" x14ac:dyDescent="0.2">
      <c r="A125" s="386">
        <v>13</v>
      </c>
      <c r="B125" s="387">
        <v>0.14000000000000001</v>
      </c>
    </row>
    <row r="126" spans="1:13" ht="17" thickBot="1" x14ac:dyDescent="0.25">
      <c r="A126" s="388">
        <v>14</v>
      </c>
      <c r="B126" s="389">
        <v>0.14000000000000001</v>
      </c>
    </row>
    <row r="127" spans="1:13" x14ac:dyDescent="0.2">
      <c r="A127" s="382">
        <v>15</v>
      </c>
      <c r="B127" s="383">
        <v>0.15389462000000001</v>
      </c>
    </row>
    <row r="129" spans="1:8" x14ac:dyDescent="0.2">
      <c r="A129" s="151" t="s">
        <v>2943</v>
      </c>
      <c r="B129" s="151"/>
      <c r="C129" s="151"/>
      <c r="D129" s="151"/>
      <c r="E129" s="151"/>
      <c r="F129" s="151"/>
      <c r="G129" s="151"/>
      <c r="H129" s="151"/>
    </row>
    <row r="131" spans="1:8" x14ac:dyDescent="0.2">
      <c r="A131" s="1" t="s">
        <v>2944</v>
      </c>
    </row>
    <row r="132" spans="1:8" x14ac:dyDescent="0.2">
      <c r="A132" s="1" t="s">
        <v>2945</v>
      </c>
    </row>
    <row r="133" spans="1:8" x14ac:dyDescent="0.2">
      <c r="A133" s="1" t="s">
        <v>2946</v>
      </c>
    </row>
    <row r="134" spans="1:8" x14ac:dyDescent="0.2">
      <c r="A134" s="1" t="s">
        <v>568</v>
      </c>
    </row>
    <row r="135" spans="1:8" x14ac:dyDescent="0.2">
      <c r="A135" s="1" t="s">
        <v>2947</v>
      </c>
    </row>
    <row r="136" spans="1:8" x14ac:dyDescent="0.2">
      <c r="A136" s="1" t="s">
        <v>2948</v>
      </c>
    </row>
    <row r="138" spans="1:8" x14ac:dyDescent="0.2">
      <c r="A138" s="18" t="s">
        <v>2949</v>
      </c>
    </row>
    <row r="140" spans="1:8" x14ac:dyDescent="0.2">
      <c r="A140" s="1" t="s">
        <v>2950</v>
      </c>
    </row>
    <row r="142" spans="1:8" x14ac:dyDescent="0.2">
      <c r="B142" s="1" t="s">
        <v>2951</v>
      </c>
      <c r="C142" s="1" t="s">
        <v>2952</v>
      </c>
    </row>
    <row r="144" spans="1:8" x14ac:dyDescent="0.2">
      <c r="B144" s="1" t="s">
        <v>2953</v>
      </c>
      <c r="C144" s="1" t="s">
        <v>2954</v>
      </c>
    </row>
    <row r="145" spans="1:8" x14ac:dyDescent="0.2">
      <c r="D145" s="20" t="s">
        <v>2955</v>
      </c>
      <c r="E145" s="1" t="s">
        <v>2956</v>
      </c>
    </row>
    <row r="146" spans="1:8" x14ac:dyDescent="0.2">
      <c r="D146" s="20" t="s">
        <v>2957</v>
      </c>
      <c r="E146" s="1" t="s">
        <v>2958</v>
      </c>
    </row>
    <row r="147" spans="1:8" x14ac:dyDescent="0.2">
      <c r="D147" s="20" t="s">
        <v>1162</v>
      </c>
      <c r="E147" s="1" t="s">
        <v>2959</v>
      </c>
    </row>
    <row r="149" spans="1:8" x14ac:dyDescent="0.2">
      <c r="A149" s="1" t="s">
        <v>2960</v>
      </c>
    </row>
    <row r="151" spans="1:8" x14ac:dyDescent="0.2">
      <c r="C151" s="1" t="s">
        <v>436</v>
      </c>
      <c r="G151" s="1" t="s">
        <v>60</v>
      </c>
    </row>
    <row r="152" spans="1:8" x14ac:dyDescent="0.2">
      <c r="B152" s="20">
        <f>4*12+3</f>
        <v>51</v>
      </c>
      <c r="C152" s="1" t="s">
        <v>437</v>
      </c>
      <c r="D152" s="1" t="s">
        <v>2968</v>
      </c>
      <c r="F152" s="20" t="s">
        <v>75</v>
      </c>
      <c r="G152" s="1" t="s">
        <v>111</v>
      </c>
    </row>
    <row r="153" spans="1:8" x14ac:dyDescent="0.2">
      <c r="B153" s="20">
        <f>4*12+3</f>
        <v>51</v>
      </c>
      <c r="C153" s="1" t="s">
        <v>438</v>
      </c>
      <c r="D153" s="1" t="s">
        <v>2968</v>
      </c>
      <c r="F153" s="20">
        <f>12*12</f>
        <v>144</v>
      </c>
      <c r="G153" s="1" t="s">
        <v>62</v>
      </c>
      <c r="H153" s="1" t="s">
        <v>2964</v>
      </c>
    </row>
    <row r="154" spans="1:8" x14ac:dyDescent="0.2">
      <c r="A154" s="1" t="s">
        <v>2966</v>
      </c>
      <c r="B154" s="20"/>
      <c r="C154" s="1" t="s">
        <v>2955</v>
      </c>
      <c r="F154" s="20">
        <f>((1+10%)^(1/12)-1)*100</f>
        <v>0.79741404289037643</v>
      </c>
      <c r="G154" s="1" t="s">
        <v>63</v>
      </c>
      <c r="H154" s="1" t="s">
        <v>2963</v>
      </c>
    </row>
    <row r="155" spans="1:8" x14ac:dyDescent="0.2">
      <c r="A155" s="1" t="s">
        <v>2965</v>
      </c>
      <c r="B155" s="20"/>
      <c r="C155" s="1" t="s">
        <v>2957</v>
      </c>
      <c r="F155" s="20">
        <v>500000</v>
      </c>
      <c r="G155" s="1" t="s">
        <v>64</v>
      </c>
      <c r="H155" s="1" t="s">
        <v>2961</v>
      </c>
    </row>
    <row r="156" spans="1:8" x14ac:dyDescent="0.2">
      <c r="A156" s="1" t="s">
        <v>2967</v>
      </c>
      <c r="B156" s="401">
        <f>PV(F154/100,F153-B152,F156)</f>
        <v>383230.8676724757</v>
      </c>
      <c r="C156" s="1" t="s">
        <v>1162</v>
      </c>
      <c r="D156" s="1" t="s">
        <v>227</v>
      </c>
      <c r="F156" s="400">
        <f>PMT(F154/100,F153,F155,F157)</f>
        <v>-5851.5564221057066</v>
      </c>
      <c r="G156" s="1" t="s">
        <v>65</v>
      </c>
      <c r="H156" s="1" t="s">
        <v>227</v>
      </c>
    </row>
    <row r="157" spans="1:8" x14ac:dyDescent="0.2">
      <c r="F157" s="20">
        <v>0</v>
      </c>
      <c r="G157" s="1" t="s">
        <v>66</v>
      </c>
      <c r="H157" s="1" t="s">
        <v>2962</v>
      </c>
    </row>
    <row r="160" spans="1:8" x14ac:dyDescent="0.2">
      <c r="A160" s="1" t="s">
        <v>2969</v>
      </c>
    </row>
    <row r="161" spans="1:9" x14ac:dyDescent="0.2">
      <c r="A161" s="1" t="s">
        <v>2970</v>
      </c>
    </row>
    <row r="162" spans="1:9" x14ac:dyDescent="0.2">
      <c r="A162" s="1" t="s">
        <v>2971</v>
      </c>
    </row>
    <row r="163" spans="1:9" x14ac:dyDescent="0.2">
      <c r="A163" s="1" t="s">
        <v>2972</v>
      </c>
    </row>
    <row r="165" spans="1:9" x14ac:dyDescent="0.2">
      <c r="A165" s="18" t="s">
        <v>2974</v>
      </c>
      <c r="B165" s="18"/>
      <c r="C165" s="18"/>
      <c r="D165" s="18"/>
      <c r="E165" s="18"/>
      <c r="F165" s="344">
        <f>B156*111.3/107</f>
        <v>398631.73431725742</v>
      </c>
      <c r="I165" s="1" t="s">
        <v>2973</v>
      </c>
    </row>
  </sheetData>
  <mergeCells count="2">
    <mergeCell ref="C12:E12"/>
    <mergeCell ref="C77:E77"/>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תרגול 1</vt:lpstr>
      <vt:lpstr>תרגול 2</vt:lpstr>
      <vt:lpstr>תרגול 3</vt:lpstr>
      <vt:lpstr>תרגול 4</vt:lpstr>
      <vt:lpstr>חיזוקי אגח נוספים ללא מפגש</vt:lpstr>
      <vt:lpstr>תרגול 5 עדכני קיץ</vt:lpstr>
      <vt:lpstr>תרגול 6, 7 פרויקטים תזרימים</vt:lpstr>
      <vt:lpstr>תרגול 7 חדש אגח והצמדות</vt:lpstr>
      <vt:lpstr>היבטים במבחן 1</vt:lpstr>
      <vt:lpstr>היבטים במבחן 2</vt:lpstr>
      <vt:lpstr>היבטים במבחן 3</vt:lpstr>
      <vt:lpstr>היבטים במבחן 4</vt:lpstr>
      <vt:lpstr>תרגול מסכם והיבטים נוספים</vt:lpstr>
      <vt:lpstr>שיעורון חזרה לקראת מועד ב</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Shay Tsaban</dc:creator>
  <cp:lastModifiedBy>Shay Tsaban</cp:lastModifiedBy>
  <dcterms:created xsi:type="dcterms:W3CDTF">2024-08-22T08:22:14Z</dcterms:created>
  <dcterms:modified xsi:type="dcterms:W3CDTF">2025-09-18T12:28:32Z</dcterms:modified>
</cp:coreProperties>
</file>