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5855" documentId="13_ncr:1_{597316DF-A655-C74C-A849-16DA9B92B8D7}" xr6:coauthVersionLast="47" xr6:coauthVersionMax="47" xr10:uidLastSave="{D3162558-7E9C-4745-9755-4B96EEEE44D7}"/>
  <bookViews>
    <workbookView xWindow="0" yWindow="620" windowWidth="37440" windowHeight="22780" activeTab="11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7" sheetId="8" r:id="rId7"/>
    <sheet name="שיעור 8 מעודכן" sheetId="9" r:id="rId8"/>
    <sheet name="שיעור 9 מעודכן" sheetId="10" r:id="rId9"/>
    <sheet name="שיעור 10" sheetId="11" r:id="rId10"/>
    <sheet name="שיעור 11" sheetId="12" r:id="rId11"/>
    <sheet name="שיעור 12" sheetId="13" r:id="rId1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3" l="1"/>
  <c r="B238" i="13"/>
  <c r="C237" i="13"/>
  <c r="C238" i="13"/>
  <c r="D237" i="13"/>
  <c r="D238" i="13"/>
  <c r="E187" i="13"/>
  <c r="D201" i="13"/>
  <c r="C189" i="13" s="1"/>
  <c r="C195" i="13"/>
  <c r="E188" i="13"/>
  <c r="C188" i="13"/>
  <c r="C187" i="13"/>
  <c r="E186" i="13"/>
  <c r="C186" i="13"/>
  <c r="E185" i="13"/>
  <c r="C185" i="13"/>
  <c r="G124" i="13"/>
  <c r="E167" i="13"/>
  <c r="E157" i="13"/>
  <c r="C144" i="13"/>
  <c r="E168" i="13" s="1"/>
  <c r="E170" i="13" s="1"/>
  <c r="C167" i="13" s="1"/>
  <c r="E124" i="13"/>
  <c r="E158" i="13" s="1"/>
  <c r="E160" i="13" s="1"/>
  <c r="C157" i="13" s="1"/>
  <c r="G101" i="13"/>
  <c r="E94" i="13"/>
  <c r="E93" i="13"/>
  <c r="F94" i="13"/>
  <c r="F93" i="13"/>
  <c r="C219" i="12"/>
  <c r="D218" i="12"/>
  <c r="D219" i="12"/>
  <c r="C221" i="12"/>
  <c r="C220" i="12"/>
  <c r="D222" i="12"/>
  <c r="C218" i="12"/>
  <c r="C191" i="12"/>
  <c r="D191" i="12"/>
  <c r="H187" i="12"/>
  <c r="C192" i="12" s="1"/>
  <c r="D161" i="12"/>
  <c r="C163" i="12" s="1"/>
  <c r="C162" i="12" s="1"/>
  <c r="A126" i="12"/>
  <c r="J71" i="12"/>
  <c r="D74" i="12"/>
  <c r="E83" i="12" s="1"/>
  <c r="J73" i="12"/>
  <c r="J72" i="12"/>
  <c r="I72" i="12"/>
  <c r="H72" i="12"/>
  <c r="G72" i="12"/>
  <c r="F72" i="12"/>
  <c r="E72" i="12"/>
  <c r="C102" i="12"/>
  <c r="C97" i="12"/>
  <c r="C94" i="12"/>
  <c r="C95" i="12" s="1"/>
  <c r="E70" i="12"/>
  <c r="K131" i="11"/>
  <c r="K130" i="11"/>
  <c r="K129" i="11"/>
  <c r="K128" i="11"/>
  <c r="K127" i="11"/>
  <c r="K126" i="11"/>
  <c r="K125" i="11"/>
  <c r="K133" i="11" s="1"/>
  <c r="I132" i="11"/>
  <c r="H132" i="11"/>
  <c r="G132" i="11"/>
  <c r="F132" i="11"/>
  <c r="E132" i="11"/>
  <c r="D132" i="11"/>
  <c r="C132" i="11"/>
  <c r="I131" i="11"/>
  <c r="H131" i="11"/>
  <c r="G131" i="11"/>
  <c r="F131" i="11"/>
  <c r="E200" i="11"/>
  <c r="E193" i="11"/>
  <c r="E154" i="11"/>
  <c r="G130" i="11"/>
  <c r="F130" i="11"/>
  <c r="E130" i="11"/>
  <c r="D130" i="11"/>
  <c r="K50" i="11"/>
  <c r="C43" i="11"/>
  <c r="D93" i="11"/>
  <c r="D83" i="11"/>
  <c r="E42" i="11"/>
  <c r="F42" i="11" s="1"/>
  <c r="G42" i="11" s="1"/>
  <c r="H42" i="11" s="1"/>
  <c r="H43" i="11" s="1"/>
  <c r="D42" i="11"/>
  <c r="D41" i="11"/>
  <c r="D66" i="11"/>
  <c r="E383" i="9"/>
  <c r="C403" i="9"/>
  <c r="E407" i="9" s="1"/>
  <c r="C402" i="9"/>
  <c r="J254" i="10"/>
  <c r="J253" i="10"/>
  <c r="F246" i="10"/>
  <c r="F245" i="10"/>
  <c r="F242" i="10"/>
  <c r="F243" i="10"/>
  <c r="F241" i="10"/>
  <c r="F240" i="10"/>
  <c r="E246" i="10"/>
  <c r="D246" i="10"/>
  <c r="C246" i="10"/>
  <c r="E245" i="10"/>
  <c r="D245" i="10"/>
  <c r="C245" i="10"/>
  <c r="D221" i="10"/>
  <c r="E221" i="10"/>
  <c r="C221" i="10"/>
  <c r="E220" i="10"/>
  <c r="D220" i="10"/>
  <c r="C220" i="10"/>
  <c r="D173" i="10"/>
  <c r="C173" i="10"/>
  <c r="D170" i="10"/>
  <c r="C170" i="10"/>
  <c r="F112" i="10"/>
  <c r="F86" i="10"/>
  <c r="D315" i="9"/>
  <c r="D298" i="9"/>
  <c r="D287" i="9"/>
  <c r="F371" i="9"/>
  <c r="F372" i="9" s="1"/>
  <c r="B369" i="9"/>
  <c r="B367" i="9"/>
  <c r="B274" i="9"/>
  <c r="B273" i="9"/>
  <c r="B272" i="9"/>
  <c r="B271" i="9"/>
  <c r="B207" i="9"/>
  <c r="B205" i="9"/>
  <c r="D167" i="9"/>
  <c r="D169" i="9" s="1"/>
  <c r="B176" i="9" s="1"/>
  <c r="C150" i="9"/>
  <c r="G152" i="9"/>
  <c r="D136" i="9"/>
  <c r="D103" i="9"/>
  <c r="E83" i="9"/>
  <c r="E68" i="9"/>
  <c r="D230" i="8"/>
  <c r="C182" i="8"/>
  <c r="D196" i="8" s="1"/>
  <c r="E171" i="8"/>
  <c r="E151" i="8"/>
  <c r="B95" i="8"/>
  <c r="B112" i="8" s="1"/>
  <c r="D107" i="8"/>
  <c r="D109" i="8" s="1"/>
  <c r="D102" i="8"/>
  <c r="B78" i="8"/>
  <c r="H62" i="8"/>
  <c r="G391" i="6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H359" i="10"/>
  <c r="H358" i="10"/>
  <c r="H320" i="10"/>
  <c r="H319" i="10"/>
  <c r="F367" i="8"/>
  <c r="F366" i="8"/>
  <c r="F365" i="8"/>
  <c r="F364" i="8"/>
  <c r="G345" i="8"/>
  <c r="G344" i="8"/>
  <c r="G343" i="8"/>
  <c r="G342" i="8"/>
  <c r="G335" i="8"/>
  <c r="G334" i="8"/>
  <c r="G333" i="8"/>
  <c r="G332" i="8"/>
  <c r="H320" i="8"/>
  <c r="H319" i="8"/>
  <c r="H318" i="8"/>
  <c r="H317" i="8"/>
  <c r="F265" i="8"/>
  <c r="F267" i="8" s="1"/>
  <c r="F269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F97" i="13" l="1"/>
  <c r="E95" i="13" s="1"/>
  <c r="E97" i="13"/>
  <c r="D193" i="12"/>
  <c r="C195" i="12" s="1"/>
  <c r="C194" i="12" s="1"/>
  <c r="F70" i="12"/>
  <c r="E74" i="12"/>
  <c r="E84" i="12" s="1"/>
  <c r="E41" i="11"/>
  <c r="D43" i="11"/>
  <c r="B371" i="9"/>
  <c r="C387" i="9"/>
  <c r="C404" i="9"/>
  <c r="D412" i="9" s="1"/>
  <c r="B216" i="9"/>
  <c r="B225" i="9" s="1"/>
  <c r="C358" i="6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G100" i="13" l="1"/>
  <c r="G102" i="13" s="1"/>
  <c r="D95" i="13"/>
  <c r="D97" i="13" s="1"/>
  <c r="B92" i="13" s="1"/>
  <c r="F74" i="12"/>
  <c r="E85" i="12" s="1"/>
  <c r="G70" i="12"/>
  <c r="E43" i="11"/>
  <c r="F41" i="11"/>
  <c r="F374" i="9"/>
  <c r="F375" i="9" s="1"/>
  <c r="B374" i="9" s="1"/>
  <c r="E420" i="9"/>
  <c r="C360" i="6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74" i="12" l="1"/>
  <c r="E86" i="12" s="1"/>
  <c r="H70" i="12"/>
  <c r="H74" i="12" s="1"/>
  <c r="F43" i="11"/>
  <c r="G41" i="11"/>
  <c r="G43" i="11" s="1"/>
  <c r="D256" i="2"/>
  <c r="C254" i="2" s="1"/>
  <c r="C256" i="2" s="1"/>
  <c r="C237" i="2"/>
  <c r="I70" i="12" l="1"/>
  <c r="I74" i="12" s="1"/>
  <c r="E87" i="12"/>
  <c r="J70" i="12" l="1"/>
  <c r="J74" i="12" s="1"/>
  <c r="E89" i="12" s="1"/>
  <c r="G91" i="12" s="1"/>
  <c r="E88" i="12"/>
</calcChain>
</file>

<file path=xl/sharedStrings.xml><?xml version="1.0" encoding="utf-8"?>
<sst xmlns="http://schemas.openxmlformats.org/spreadsheetml/2006/main" count="4218" uniqueCount="2795">
  <si>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</si>
  <si>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</si>
  <si>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</si>
  <si>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</si>
  <si>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</si>
  <si>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</si>
  <si>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</si>
  <si>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</si>
  <si>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</si>
  <si>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</si>
  <si>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</si>
  <si>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</si>
  <si>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</si>
  <si>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</si>
  <si>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</si>
  <si>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</si>
  <si>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</si>
  <si>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</si>
  <si>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</si>
  <si>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</si>
  <si>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</si>
  <si>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</si>
  <si>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</si>
  <si>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</si>
  <si>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</si>
  <si>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</si>
  <si>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</si>
  <si>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</si>
  <si>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</si>
  <si>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</si>
  <si>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</si>
  <si>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</si>
  <si>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</si>
  <si>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</si>
  <si>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</si>
  <si>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</si>
  <si>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</si>
  <si>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</si>
  <si>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</si>
  <si>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</si>
  <si>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</si>
  <si>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</si>
  <si>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</si>
  <si>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</si>
  <si>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</si>
  <si>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</si>
  <si>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</si>
  <si>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</si>
  <si>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</si>
  <si>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</si>
  <si>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</si>
  <si>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</si>
  <si>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</si>
  <si>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</si>
  <si>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</si>
  <si>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</si>
  <si>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</si>
  <si>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</si>
  <si>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</si>
  <si>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</si>
  <si>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</si>
  <si>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</si>
  <si>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</si>
  <si>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</si>
  <si>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</si>
  <si>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</si>
  <si>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</si>
  <si>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</si>
  <si>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</si>
  <si>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</si>
  <si>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</si>
  <si>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</si>
  <si>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</si>
  <si>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</si>
  <si>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</si>
  <si>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</si>
  <si>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</si>
  <si>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</si>
  <si>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</si>
  <si>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</si>
  <si>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</si>
  <si>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</si>
  <si>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</si>
  <si>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</si>
  <si>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</si>
  <si>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</si>
  <si>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</si>
  <si>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</si>
  <si>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</si>
  <si>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</si>
  <si>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</si>
  <si>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</si>
  <si>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</si>
  <si>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</si>
  <si>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</si>
  <si>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</si>
  <si>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</si>
  <si>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</si>
  <si>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</si>
  <si>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</si>
  <si>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</si>
  <si>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</si>
  <si>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</si>
  <si>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</si>
  <si>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</si>
  <si>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</si>
  <si>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</si>
  <si>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</si>
  <si>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</si>
  <si>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</si>
  <si>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</si>
  <si>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</si>
  <si>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</si>
  <si>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</si>
  <si>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</si>
  <si>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</si>
  <si>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</si>
  <si>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</si>
  <si>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</si>
  <si>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</si>
  <si>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</si>
  <si>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</si>
  <si>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</si>
  <si>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</si>
  <si>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</si>
  <si>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</si>
  <si>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</si>
  <si>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</si>
  <si>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</si>
  <si>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</si>
  <si>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</si>
  <si>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</si>
  <si>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</si>
  <si>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</si>
  <si>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</si>
  <si>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</si>
  <si>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</si>
  <si>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</si>
  <si>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</si>
  <si>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</si>
  <si>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</si>
  <si>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</si>
  <si>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</si>
  <si>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</si>
  <si>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</si>
  <si>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</si>
  <si>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</si>
  <si>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</si>
  <si>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</si>
  <si>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</si>
  <si>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</si>
  <si>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</si>
  <si>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</si>
  <si>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</si>
  <si>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</si>
  <si>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</si>
  <si>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</si>
  <si>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</si>
  <si>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</si>
  <si>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</si>
  <si>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</si>
  <si>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</si>
  <si>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</si>
  <si>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</si>
  <si>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</si>
  <si>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</si>
  <si>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</si>
  <si>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</si>
  <si>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</si>
  <si>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</si>
  <si>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</si>
  <si>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</si>
  <si>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</si>
  <si>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</si>
  <si>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</si>
  <si>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</si>
  <si>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</si>
  <si>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</si>
  <si>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</si>
  <si>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</si>
  <si>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</si>
  <si>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</si>
  <si>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</si>
  <si>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</si>
  <si>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</si>
  <si>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</si>
  <si>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</si>
  <si>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</si>
  <si>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</si>
  <si>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</si>
  <si>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</si>
  <si>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</si>
  <si>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</si>
  <si>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</si>
  <si>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</si>
  <si>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</si>
  <si>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</si>
  <si>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</si>
  <si>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</si>
  <si>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</si>
  <si>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</si>
  <si>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</si>
  <si>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</si>
  <si>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</si>
  <si>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</si>
  <si>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</si>
  <si>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</si>
  <si>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</si>
  <si>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</si>
  <si>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</si>
  <si>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</si>
  <si>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</si>
  <si>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</si>
  <si>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</si>
  <si>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</si>
  <si>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</si>
  <si>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</si>
  <si>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</si>
  <si>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</si>
  <si>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</si>
  <si>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</si>
  <si>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</si>
  <si>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</si>
  <si>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</si>
  <si>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</si>
  <si>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</si>
  <si>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</si>
  <si>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</si>
  <si>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</si>
  <si>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</si>
  <si>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</si>
  <si>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</si>
  <si>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</si>
  <si>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</si>
  <si>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</si>
  <si>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</si>
  <si>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</si>
  <si>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</si>
  <si>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</si>
  <si>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</si>
  <si>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</si>
  <si>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</si>
  <si>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</si>
  <si>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</si>
  <si>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</si>
  <si>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</si>
  <si>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</si>
  <si>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</si>
  <si>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</si>
  <si>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</si>
  <si>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</si>
  <si>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</si>
  <si>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</si>
  <si>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</si>
  <si>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</si>
  <si>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</si>
  <si>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</si>
  <si>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</si>
  <si>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</si>
  <si>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</si>
  <si>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</si>
  <si>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</si>
  <si>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</si>
  <si>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</si>
  <si>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</si>
  <si>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</si>
  <si>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</si>
  <si>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</si>
  <si>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</si>
  <si>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</si>
  <si>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</si>
  <si>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</si>
  <si>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</si>
  <si>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</si>
  <si>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</si>
  <si>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</si>
  <si>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</si>
  <si>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</si>
  <si>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</si>
  <si>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</si>
  <si>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</si>
  <si>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</si>
  <si>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</si>
  <si>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</si>
  <si>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</si>
  <si>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</si>
  <si>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</si>
  <si>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</si>
  <si>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</si>
  <si>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</si>
  <si>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</si>
  <si>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</si>
  <si>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</si>
  <si>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</si>
  <si>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</si>
  <si>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</si>
  <si>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</si>
  <si>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</si>
  <si>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</si>
  <si>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</si>
  <si>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</si>
  <si>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</si>
  <si>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</si>
  <si>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</si>
  <si>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</si>
  <si>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</si>
  <si>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</si>
  <si>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</si>
  <si>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</si>
  <si>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</si>
  <si>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</si>
  <si>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</si>
  <si>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</si>
  <si>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</si>
  <si>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</si>
  <si>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</si>
  <si>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</si>
  <si>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</si>
  <si>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</si>
  <si>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</si>
  <si>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</si>
  <si>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</si>
  <si>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</si>
  <si>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</si>
  <si>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</si>
  <si>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</si>
  <si>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</si>
  <si>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</si>
  <si>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</si>
  <si>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</si>
  <si>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</si>
  <si>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</si>
  <si>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</si>
  <si>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</si>
  <si>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</si>
  <si>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</si>
  <si>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</si>
  <si>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</si>
  <si>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</si>
  <si>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</si>
  <si>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</si>
  <si>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</si>
  <si>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</si>
  <si>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</si>
  <si>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</si>
  <si>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</si>
  <si>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</si>
  <si>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</si>
  <si>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</si>
  <si>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</si>
  <si>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</si>
  <si>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</si>
  <si>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</si>
  <si>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</si>
  <si>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</si>
  <si>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</si>
  <si>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</si>
  <si>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</si>
  <si>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</si>
  <si>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</si>
  <si>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</si>
  <si>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</si>
  <si>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</si>
  <si>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</si>
  <si>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</si>
  <si>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</si>
  <si>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</si>
  <si>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</si>
  <si>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</si>
  <si>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</si>
  <si>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</si>
  <si>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</si>
  <si>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</si>
  <si>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</si>
  <si>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</si>
  <si>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</si>
  <si>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</si>
  <si>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</si>
  <si>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</si>
  <si>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</si>
  <si>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</si>
  <si>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</si>
  <si>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</si>
  <si>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</si>
  <si>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</si>
  <si>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</si>
  <si>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</si>
  <si>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</si>
  <si>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</si>
  <si>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</si>
  <si>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</si>
  <si>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</si>
  <si>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</si>
  <si>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</si>
  <si>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</si>
  <si>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</si>
  <si>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</si>
  <si>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</si>
  <si>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</si>
  <si>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</si>
  <si>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</si>
  <si>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</si>
  <si>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</si>
  <si>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</si>
  <si>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</si>
  <si>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</si>
  <si>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</si>
  <si>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</si>
  <si>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</si>
  <si>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</si>
  <si>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</si>
  <si>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</si>
  <si>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</si>
  <si>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</si>
  <si>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</si>
  <si>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</si>
  <si>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</si>
  <si>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</si>
  <si>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</si>
  <si>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</si>
  <si>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</si>
  <si>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</si>
  <si>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</si>
  <si>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</si>
  <si>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</si>
  <si>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</si>
  <si>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</si>
  <si>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</si>
  <si>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</si>
  <si>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</si>
  <si>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</si>
  <si>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</si>
  <si>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</si>
  <si>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</si>
  <si>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</si>
  <si>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</si>
  <si>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</si>
  <si>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</si>
  <si>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</si>
  <si>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</si>
  <si>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</si>
  <si>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</si>
  <si>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</si>
  <si>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</si>
  <si>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</si>
  <si>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</si>
  <si>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</si>
  <si>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</si>
  <si>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</si>
  <si>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</si>
  <si>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</si>
  <si>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</si>
  <si>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</si>
  <si>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</si>
  <si>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</si>
  <si>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</si>
  <si>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</si>
  <si>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</si>
  <si>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</si>
  <si>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</si>
  <si>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</si>
  <si>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</si>
  <si>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</si>
  <si>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</si>
  <si>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</si>
  <si>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</si>
  <si>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</si>
  <si>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</si>
  <si>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</si>
  <si>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</si>
  <si>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</si>
  <si>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</si>
  <si>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</si>
  <si>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</si>
  <si>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</si>
  <si>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</si>
  <si>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</si>
  <si>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</si>
  <si>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</si>
  <si>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</si>
  <si>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</si>
  <si>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</si>
  <si>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</si>
  <si>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</si>
  <si>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</si>
  <si>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</si>
  <si>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</si>
  <si>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</si>
  <si>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</si>
  <si>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</si>
  <si>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</si>
  <si>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</si>
  <si>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</si>
  <si>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</si>
  <si>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</si>
  <si>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</si>
  <si>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</si>
  <si>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</si>
  <si>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</si>
  <si>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</si>
  <si>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</si>
  <si>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</si>
  <si>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</si>
  <si>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</si>
  <si>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</si>
  <si>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</si>
  <si>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</si>
  <si>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</si>
  <si>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</si>
  <si>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</si>
  <si>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</si>
  <si>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</si>
  <si>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</si>
  <si>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</si>
  <si>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</si>
  <si>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</si>
  <si>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</si>
  <si>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</si>
  <si>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</si>
  <si>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</si>
  <si>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</si>
  <si>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</si>
  <si>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</si>
  <si>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</si>
  <si>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</si>
  <si>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</si>
  <si>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</si>
  <si>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</si>
  <si>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</si>
  <si>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</si>
  <si>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</si>
  <si>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</si>
  <si>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</si>
  <si>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</si>
  <si>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</si>
  <si>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</si>
  <si>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</si>
  <si>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</si>
  <si>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</si>
  <si>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</si>
  <si>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</si>
  <si>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</si>
  <si>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</si>
  <si>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</si>
  <si>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</si>
  <si>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</si>
  <si>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</si>
  <si>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</si>
  <si>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</si>
  <si>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</si>
  <si>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</si>
  <si>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</si>
  <si>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</si>
  <si>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</si>
  <si>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</si>
  <si>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</si>
  <si>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</si>
  <si>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</si>
  <si>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</si>
  <si>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</si>
  <si>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</si>
  <si>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</si>
  <si>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</si>
  <si>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</si>
  <si>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</si>
  <si>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</si>
  <si>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</si>
  <si>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</si>
  <si>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</si>
  <si>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</si>
  <si>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</si>
  <si>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</si>
  <si>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</si>
  <si>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</si>
  <si>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</si>
  <si>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</si>
  <si>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</si>
  <si>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</si>
  <si>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</si>
  <si>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</si>
  <si>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</si>
  <si>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</si>
  <si>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</si>
  <si>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</si>
  <si>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</si>
  <si>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</si>
  <si>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</si>
  <si>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</si>
  <si>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</si>
  <si>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</si>
  <si>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</si>
  <si>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</si>
  <si>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</si>
  <si>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</si>
  <si>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</si>
  <si>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</si>
  <si>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</si>
  <si>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</si>
  <si>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</si>
  <si>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</si>
  <si>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</si>
  <si>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</si>
  <si>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</si>
  <si>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</si>
  <si>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</si>
  <si>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</si>
  <si>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</si>
  <si>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</si>
  <si>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</si>
  <si>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</si>
  <si>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</si>
  <si>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</si>
  <si>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</si>
  <si>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</si>
  <si>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</si>
  <si>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</si>
  <si>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</si>
  <si>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</si>
  <si>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</si>
  <si>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</si>
  <si>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</si>
  <si>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</si>
  <si>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</si>
  <si>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</si>
  <si>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</si>
  <si>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</si>
  <si>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</si>
  <si>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</si>
  <si>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</si>
  <si>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</si>
  <si>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</si>
  <si>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</si>
  <si>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</si>
  <si>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</si>
  <si>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</si>
  <si>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</si>
  <si>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</si>
  <si>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</si>
  <si>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</si>
  <si>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</si>
  <si>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</si>
  <si>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</si>
  <si>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</si>
  <si>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</si>
  <si>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</si>
  <si>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</si>
  <si>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</si>
  <si>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</si>
  <si>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</si>
  <si>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</si>
  <si>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</si>
  <si>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</si>
  <si>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</si>
  <si>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</si>
  <si>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</si>
  <si>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</si>
  <si>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</si>
  <si>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</si>
  <si>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</si>
  <si>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</si>
  <si>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</si>
  <si>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</si>
  <si>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</si>
  <si>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</si>
  <si>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</si>
  <si>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</si>
  <si>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</si>
  <si>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</si>
  <si>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</si>
  <si>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</si>
  <si>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</si>
  <si>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</si>
  <si>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</si>
  <si>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</si>
  <si>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</si>
  <si>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</si>
  <si>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</si>
  <si>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</si>
  <si>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</si>
  <si>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</si>
  <si>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</si>
  <si>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</si>
  <si>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</si>
  <si>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</si>
  <si>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</si>
  <si>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</si>
  <si>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</si>
  <si>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</si>
  <si>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</si>
  <si>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</si>
  <si>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</si>
  <si>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</si>
  <si>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</si>
  <si>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</si>
  <si>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</si>
  <si>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</si>
  <si>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</si>
  <si>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</si>
  <si>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</si>
  <si>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</si>
  <si>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</si>
  <si>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</si>
  <si>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</si>
  <si>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</si>
  <si>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</si>
  <si>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</si>
  <si>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</si>
  <si>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</si>
  <si>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</si>
  <si>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</si>
  <si>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</si>
  <si>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</si>
  <si>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</si>
  <si>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</si>
  <si>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</si>
  <si>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</si>
  <si>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</si>
  <si>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</si>
  <si>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</si>
  <si>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</si>
  <si>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</si>
  <si>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</si>
  <si>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</si>
  <si>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</si>
  <si>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</si>
  <si>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</si>
  <si>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</si>
  <si>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</si>
  <si>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</si>
  <si>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</si>
  <si>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</si>
  <si>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</si>
  <si>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</si>
  <si>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</si>
  <si>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</si>
  <si>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</si>
  <si>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</si>
  <si>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</si>
  <si>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</si>
  <si>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</si>
  <si>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</si>
  <si>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</si>
  <si>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</si>
  <si>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</si>
  <si>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</si>
  <si>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</si>
  <si>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</si>
  <si>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</si>
  <si>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</si>
  <si>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</si>
  <si>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</si>
  <si>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</si>
  <si>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</si>
  <si>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</si>
  <si>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</si>
  <si>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</si>
  <si>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</si>
  <si>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</si>
  <si>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</si>
  <si>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</si>
  <si>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</si>
  <si>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</si>
  <si>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</si>
  <si>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</si>
  <si>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</si>
  <si>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</si>
  <si>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</si>
  <si>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</si>
  <si>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</si>
  <si>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</si>
  <si>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</si>
  <si>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</si>
  <si>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</si>
  <si>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</si>
  <si>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</si>
  <si>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</si>
  <si>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</si>
  <si>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</si>
  <si>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</si>
  <si>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</si>
  <si>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</si>
  <si>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</si>
  <si>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</si>
  <si>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</si>
  <si>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</si>
  <si>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</si>
  <si>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</si>
  <si>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</si>
  <si>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</si>
  <si>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</si>
  <si>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</si>
  <si>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</si>
  <si>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</si>
  <si>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</si>
  <si>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</si>
  <si>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</si>
  <si>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</si>
  <si>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</si>
  <si>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</si>
  <si>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</si>
  <si>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</si>
  <si>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</si>
  <si>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</si>
  <si>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</si>
  <si>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</si>
  <si>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</si>
  <si>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</si>
  <si>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</si>
  <si>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</si>
  <si>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</si>
  <si>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</si>
  <si>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</si>
  <si>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</si>
  <si>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</si>
  <si>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</si>
  <si>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</si>
  <si>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</si>
  <si>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</si>
  <si>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</si>
  <si>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</si>
  <si>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</si>
  <si>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</si>
  <si>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</si>
  <si>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</si>
  <si>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</si>
  <si>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</si>
  <si>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</si>
  <si>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</si>
  <si>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</si>
  <si>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</si>
  <si>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</si>
  <si>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</si>
  <si>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</si>
  <si>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</si>
  <si>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</si>
  <si>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</si>
  <si>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</si>
  <si>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</si>
  <si>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</si>
  <si>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</si>
  <si>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</si>
  <si>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</si>
  <si>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</si>
  <si>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</si>
  <si>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</si>
  <si>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</si>
  <si>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</si>
  <si>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</si>
  <si>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</si>
  <si>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</si>
  <si>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</si>
  <si>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</si>
  <si>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</si>
  <si>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</si>
  <si>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</si>
  <si>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</si>
  <si>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</si>
  <si>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</si>
  <si>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</si>
  <si>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</si>
  <si>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</si>
  <si>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</si>
  <si>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</si>
  <si>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</si>
  <si>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</si>
  <si>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</si>
  <si>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</si>
  <si>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</si>
  <si>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</si>
  <si>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</si>
  <si>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</si>
  <si>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</si>
  <si>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</si>
  <si>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</si>
  <si>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</si>
  <si>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</si>
  <si>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</si>
  <si>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</si>
  <si>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</si>
  <si>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</si>
  <si>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</si>
  <si>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</si>
  <si>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</si>
  <si>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</si>
  <si>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</si>
  <si>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</si>
  <si>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</si>
  <si>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</si>
  <si>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</si>
  <si>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</si>
  <si>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</si>
  <si>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</si>
  <si>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</si>
  <si>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</si>
  <si>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</si>
  <si>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</si>
  <si>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</si>
  <si>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</si>
  <si>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</si>
  <si>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</si>
  <si>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</si>
  <si>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</si>
  <si>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</si>
  <si>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</si>
  <si>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</si>
  <si>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</si>
  <si>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</si>
  <si>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</si>
  <si>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</si>
  <si>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</si>
  <si>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</si>
  <si>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</si>
  <si>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</si>
  <si>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</si>
  <si>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</si>
  <si>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</si>
  <si>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</si>
  <si>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</si>
  <si>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</si>
  <si>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</si>
  <si>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</si>
  <si>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</si>
  <si>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</si>
  <si>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</si>
  <si>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</si>
  <si>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</si>
  <si>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</si>
  <si>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</si>
  <si>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</si>
  <si>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</si>
  <si>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</si>
  <si>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</si>
  <si>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</si>
  <si>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</si>
  <si>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</si>
  <si>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</si>
  <si>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</si>
  <si>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</si>
  <si>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</si>
  <si>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</si>
  <si>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</si>
  <si>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</si>
  <si>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</si>
  <si>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</si>
  <si>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</si>
  <si>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</si>
  <si>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</si>
  <si>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</si>
  <si>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</si>
  <si>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</si>
  <si>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 xml:space="preserve">אך ברוב המקרים קיבלתי את נתוניה כחלק מהעסקה. </t>
  </si>
  <si>
    <t>באופן כללי - ריבית אפקטיבית היא הריבית ה״אמיתית״ או ה״כוללת״ בעסקה.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</si>
  <si>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</si>
  <si>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</si>
  <si>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</si>
  <si>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</si>
  <si>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משה הפקיד בפקדון סכום של 100 ש״ח לשנה.</t>
  </si>
  <si>
    <t xml:space="preserve">א. מהו הסכום הכולל שמשה יקבל בתום השנה. 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</si>
  <si>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</si>
  <si>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</si>
  <si>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</si>
  <si>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</si>
  <si>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</si>
  <si>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</si>
  <si>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</si>
  <si>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</si>
  <si>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</si>
  <si>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</si>
  <si>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</si>
  <si>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</si>
  <si>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</si>
  <si>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</si>
  <si>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</si>
  <si>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</si>
  <si>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</si>
  <si>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</si>
  <si>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</si>
  <si>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</si>
  <si>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</si>
  <si>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</si>
  <si>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</si>
  <si>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</si>
  <si>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</si>
  <si>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</si>
  <si>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</si>
  <si>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</si>
  <si>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</si>
  <si>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</si>
  <si>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</si>
  <si>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</si>
  <si>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</si>
  <si>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</si>
  <si>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</si>
  <si>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</si>
  <si>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</si>
  <si>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</si>
  <si>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</si>
  <si>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</si>
  <si>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</si>
  <si>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</si>
  <si>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</si>
  <si>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</si>
  <si>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</si>
  <si>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</si>
  <si>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</si>
  <si>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</si>
  <si>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</si>
  <si>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</si>
  <si>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</si>
  <si>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</si>
  <si>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</si>
  <si>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</si>
  <si>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</si>
  <si>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</si>
  <si>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</si>
  <si>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</si>
  <si>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</si>
  <si>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</si>
  <si>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</si>
  <si>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</si>
  <si>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</si>
  <si>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</si>
  <si>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</si>
  <si>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</si>
  <si>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</si>
  <si>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</si>
  <si>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</si>
  <si>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</si>
  <si>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</si>
  <si>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</si>
  <si>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</si>
  <si>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</si>
  <si>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</si>
  <si>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</si>
  <si>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</si>
  <si>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</si>
  <si>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</si>
  <si>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</si>
  <si>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</si>
  <si>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</si>
  <si>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</si>
  <si>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</si>
  <si>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</si>
  <si>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</si>
  <si>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</si>
  <si>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</si>
  <si>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</si>
  <si>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</si>
  <si>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</si>
  <si>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</si>
  <si>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</si>
  <si>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</si>
  <si>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</si>
  <si>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</si>
  <si>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</si>
  <si>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</si>
  <si>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</si>
  <si>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</si>
  <si>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</si>
  <si>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</si>
  <si>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</si>
  <si>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</si>
  <si>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</si>
  <si>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</si>
  <si>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</si>
  <si>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</si>
  <si>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</si>
  <si>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 xml:space="preserve">נדרש: </t>
  </si>
  <si>
    <t>שלב 1:</t>
  </si>
  <si>
    <t>שלב 2:</t>
  </si>
  <si>
    <t>ד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</si>
  <si>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</si>
  <si>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</si>
  <si>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</si>
  <si>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</si>
  <si>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</si>
  <si>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</si>
  <si>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</si>
  <si>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</si>
  <si>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</si>
  <si>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</si>
  <si>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</si>
  <si>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</si>
  <si>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</si>
  <si>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</si>
  <si>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</si>
  <si>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</si>
  <si>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</si>
  <si>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</si>
  <si>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</si>
  <si>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</si>
  <si>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</si>
  <si>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</si>
  <si>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</si>
  <si>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</si>
  <si>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</si>
  <si>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</si>
  <si>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</si>
  <si>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</si>
  <si>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</si>
  <si>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</si>
  <si>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</si>
  <si>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</si>
  <si>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</si>
  <si>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</si>
  <si>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</si>
  <si>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</si>
  <si>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</si>
  <si>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</si>
  <si>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</si>
  <si>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</si>
  <si>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</si>
  <si>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</si>
  <si>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</si>
  <si>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</si>
  <si>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</si>
  <si>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</si>
  <si>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</si>
  <si>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</si>
  <si>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</si>
  <si>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</si>
  <si>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</si>
  <si>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</si>
  <si>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</si>
  <si>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</si>
  <si>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</si>
  <si>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</si>
  <si>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</si>
  <si>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</si>
  <si>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</si>
  <si>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</si>
  <si>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</si>
  <si>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</si>
  <si>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</si>
  <si>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</si>
  <si>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</si>
  <si>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</si>
  <si>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</si>
  <si>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</si>
  <si>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</si>
  <si>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</si>
  <si>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</si>
  <si>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ריבית אפקטיבית</t>
  </si>
  <si>
    <t>עד תום שנה 2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</si>
  <si>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</si>
  <si>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</si>
  <si>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</si>
  <si>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</si>
  <si>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</si>
  <si>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</si>
  <si>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</si>
  <si>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</si>
  <si>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</si>
  <si>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</si>
  <si>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</si>
  <si>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</si>
  <si>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</si>
  <si>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</si>
  <si>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</si>
  <si>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</si>
  <si>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</si>
  <si>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</si>
  <si>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</si>
  <si>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</si>
  <si>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</si>
  <si>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</si>
  <si>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</si>
  <si>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</si>
  <si>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</si>
  <si>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</si>
  <si>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</si>
  <si>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</si>
  <si>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</si>
  <si>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</si>
  <si>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</si>
  <si>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</si>
  <si>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</si>
  <si>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</si>
  <si>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</si>
  <si>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</si>
  <si>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</si>
  <si>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</si>
  <si>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</si>
  <si>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</si>
  <si>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</si>
  <si>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</si>
  <si>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</si>
  <si>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</si>
  <si>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</si>
  <si>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</si>
  <si>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</si>
  <si>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</si>
  <si>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</si>
  <si>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</si>
  <si>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</si>
  <si>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</si>
  <si>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</si>
  <si>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</si>
  <si>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</si>
  <si>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</si>
  <si>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</si>
  <si>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</si>
  <si>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</si>
  <si>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</si>
  <si>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</si>
  <si>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</si>
  <si>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</si>
  <si>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</si>
  <si>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</si>
  <si>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</si>
  <si>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</si>
  <si>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</si>
  <si>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</si>
  <si>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</si>
  <si>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</si>
  <si>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</si>
  <si>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</si>
  <si>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</si>
  <si>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</si>
  <si>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</si>
  <si>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</si>
  <si>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</si>
  <si>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</si>
  <si>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</si>
  <si>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</si>
  <si>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</si>
  <si>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</si>
  <si>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</si>
  <si>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</si>
  <si>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</si>
  <si>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</si>
  <si>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</si>
  <si>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</si>
  <si>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</si>
  <si>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</si>
  <si>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</si>
  <si>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</si>
  <si>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</si>
  <si>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</si>
  <si>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</si>
  <si>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</si>
  <si>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</si>
  <si>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</si>
  <si>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</si>
  <si>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</si>
  <si>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</si>
  <si>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</si>
  <si>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</si>
  <si>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</si>
  <si>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</si>
  <si>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</si>
  <si>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</si>
  <si>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</si>
  <si>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</si>
  <si>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</si>
  <si>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</si>
  <si>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</si>
  <si>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</si>
  <si>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</si>
  <si>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</si>
  <si>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</si>
  <si>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</si>
  <si>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</si>
  <si>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</si>
  <si>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</si>
  <si>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</si>
  <si>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</si>
  <si>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</si>
  <si>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</si>
  <si>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</si>
  <si>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</si>
  <si>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</si>
  <si>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</si>
  <si>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</si>
  <si>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</si>
  <si>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</si>
  <si>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</si>
  <si>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</si>
  <si>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</si>
  <si>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</si>
  <si>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</si>
  <si>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</si>
  <si>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</si>
  <si>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</si>
  <si>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</si>
  <si>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</si>
  <si>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</si>
  <si>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</si>
  <si>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</si>
  <si>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</si>
  <si>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</si>
  <si>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</si>
  <si>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</si>
  <si>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</si>
  <si>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</si>
  <si>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</si>
  <si>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</si>
  <si>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</si>
  <si>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</si>
  <si>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</si>
  <si>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</si>
  <si>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</si>
  <si>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</si>
  <si>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</si>
  <si>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</si>
  <si>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</si>
  <si>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</si>
  <si>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</si>
  <si>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</si>
  <si>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</si>
  <si>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</si>
  <si>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</si>
  <si>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</si>
  <si>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</si>
  <si>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</si>
  <si>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</si>
  <si>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</si>
  <si>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</si>
  <si>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</si>
  <si>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</si>
  <si>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</si>
  <si>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</si>
  <si>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</si>
  <si>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</si>
  <si>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</si>
  <si>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</si>
  <si>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</si>
  <si>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</si>
  <si>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</si>
  <si>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</si>
  <si>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</si>
  <si>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</si>
  <si>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</si>
  <si>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</si>
  <si>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</si>
  <si>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</si>
  <si>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</si>
  <si>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</si>
  <si>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</si>
  <si>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</si>
  <si>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</si>
  <si>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</si>
  <si>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</si>
  <si>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</si>
  <si>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</si>
  <si>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</si>
  <si>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</si>
  <si>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</si>
  <si>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</si>
  <si>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</si>
  <si>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</si>
  <si>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</si>
  <si>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</si>
  <si>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</si>
  <si>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</si>
  <si>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</si>
  <si>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</si>
  <si>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</si>
  <si>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</si>
  <si>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</si>
  <si>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</si>
  <si>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</si>
  <si>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</si>
  <si>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</si>
  <si>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</si>
  <si>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</si>
  <si>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</si>
  <si>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</si>
  <si>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</si>
  <si>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</si>
  <si>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</si>
  <si>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</si>
  <si>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</si>
  <si>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</si>
  <si>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</si>
  <si>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</si>
  <si>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</si>
  <si>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</si>
  <si>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</si>
  <si>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</si>
  <si>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</si>
  <si>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</si>
  <si>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</si>
  <si>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</si>
  <si>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</si>
  <si>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</si>
  <si>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</si>
  <si>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</si>
  <si>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</si>
  <si>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</si>
  <si>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</si>
  <si>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</si>
  <si>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</si>
  <si>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</si>
  <si>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</si>
  <si>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</si>
  <si>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</si>
  <si>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</si>
  <si>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</si>
  <si>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</si>
  <si>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</si>
  <si>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</si>
  <si>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</si>
  <si>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</si>
  <si>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</si>
  <si>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</si>
  <si>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</si>
  <si>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</si>
  <si>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</si>
  <si>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</si>
  <si>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</si>
  <si>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</si>
  <si>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</si>
  <si>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</si>
  <si>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</si>
  <si>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</si>
  <si>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</si>
  <si>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</si>
  <si>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</si>
  <si>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</si>
  <si>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</si>
  <si>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</si>
  <si>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</si>
  <si>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</si>
  <si>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</si>
  <si>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</si>
  <si>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</si>
  <si>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</si>
  <si>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</si>
  <si>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</si>
  <si>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</si>
  <si>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</si>
  <si>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</si>
  <si>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</si>
  <si>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</si>
  <si>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</si>
  <si>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</si>
  <si>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</si>
  <si>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</si>
  <si>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</si>
  <si>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</si>
  <si>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</si>
  <si>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</si>
  <si>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</si>
  <si>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</si>
  <si>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</si>
  <si>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</si>
  <si>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</si>
  <si>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</si>
  <si>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</si>
  <si>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</si>
  <si>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</si>
  <si>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</si>
  <si>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</si>
  <si>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</si>
  <si>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</si>
  <si>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</si>
  <si>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</si>
  <si>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</si>
  <si>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</si>
  <si>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</si>
  <si>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</si>
  <si>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</si>
  <si>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</si>
  <si>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</si>
  <si>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</si>
  <si>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</si>
  <si>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</si>
  <si>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</si>
  <si>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</si>
  <si>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</si>
  <si>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</si>
  <si>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</si>
  <si>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</si>
  <si>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</si>
  <si>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</si>
  <si>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</si>
  <si>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</si>
  <si>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</si>
  <si>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</si>
  <si>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</si>
  <si>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</si>
  <si>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</si>
  <si>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</si>
  <si>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</si>
  <si>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</si>
  <si>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</si>
  <si>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</si>
  <si>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</si>
  <si>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</si>
  <si>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</si>
  <si>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</si>
  <si>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</si>
  <si>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</si>
  <si>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</si>
  <si>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</si>
  <si>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</si>
  <si>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</si>
  <si>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</si>
  <si>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</si>
  <si>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</si>
  <si>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</si>
  <si>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</si>
  <si>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</si>
  <si>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</si>
  <si>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</si>
  <si>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</si>
  <si>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</si>
  <si>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</si>
  <si>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</si>
  <si>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</si>
  <si>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</si>
  <si>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</si>
  <si>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</si>
  <si>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</si>
  <si>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</si>
  <si>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</si>
  <si>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</si>
  <si>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</si>
  <si>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</si>
  <si>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</si>
  <si>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</si>
  <si>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</si>
  <si>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</si>
  <si>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</si>
  <si>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</si>
  <si>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</si>
  <si>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</si>
  <si>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</si>
  <si>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</si>
  <si>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</si>
  <si>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</si>
  <si>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</si>
  <si>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</si>
  <si>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</si>
  <si>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</si>
  <si>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</si>
  <si>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</si>
  <si>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</si>
  <si>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</si>
  <si>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</si>
  <si>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</si>
  <si>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</si>
  <si>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</si>
  <si>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</si>
  <si>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</si>
  <si>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</si>
  <si>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</si>
  <si>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</si>
  <si>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</si>
  <si>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</si>
  <si>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</si>
  <si>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</si>
  <si>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</si>
  <si>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</si>
  <si>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</si>
  <si>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</si>
  <si>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</si>
  <si>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</si>
  <si>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</si>
  <si>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</si>
  <si>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</si>
  <si>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</si>
  <si>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</si>
  <si>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</si>
  <si>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</si>
  <si>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</si>
  <si>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</si>
  <si>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</si>
  <si>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</si>
  <si>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</si>
  <si>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</si>
  <si>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</si>
  <si>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</si>
  <si>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</si>
  <si>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</si>
  <si>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</si>
  <si>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</si>
  <si>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</si>
  <si>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</si>
  <si>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</si>
  <si>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</si>
  <si>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</si>
  <si>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</si>
  <si>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</si>
  <si>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</si>
  <si>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</si>
  <si>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</si>
  <si>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</si>
  <si>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</si>
  <si>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</si>
  <si>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</si>
  <si>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</si>
  <si>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</si>
  <si>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</si>
  <si>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</si>
  <si>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</si>
  <si>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</si>
  <si>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</si>
  <si>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</si>
  <si>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</si>
  <si>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</si>
  <si>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</si>
  <si>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</si>
  <si>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</si>
  <si>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</si>
  <si>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</si>
  <si>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</si>
  <si>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</si>
  <si>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</si>
  <si>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</si>
  <si>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</si>
  <si>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</si>
  <si>
    <r>
      <t xml:space="preserve">מפגש 7 - יסודות המימון א - חישובי ריבית: </t>
    </r>
    <r>
      <rPr>
        <b/>
        <sz val="12"/>
        <color theme="1"/>
        <rFont val="David"/>
        <family val="2"/>
        <charset val="177"/>
      </rPr>
      <t>שיעור (%) הריבית האפקטיבית</t>
    </r>
  </si>
  <si>
    <t xml:space="preserve">עד כה, ברוב העסקאות שביצענו הריבית היתה נתונה. </t>
  </si>
  <si>
    <t xml:space="preserve">זה נכון שבמקרים רבים היינו צריכים להתאים את תקופת הריבית - למשל - משנה לחודש, מרבעון לשנה וכן הלאה -  </t>
  </si>
  <si>
    <t>רקע - מה שכבר ״היה״</t>
  </si>
  <si>
    <t>מטרה - לקחת את נושא הריבית צעד קדימה:</t>
  </si>
  <si>
    <t>נניח שעסקה מסוימת, למשל הלוואה, כוללת מגוון רחב של נתונים, כגון:</t>
  </si>
  <si>
    <t>א. עמלות</t>
  </si>
  <si>
    <t>ב. תשלומים מראש</t>
  </si>
  <si>
    <t>ג. ריבית דריבית</t>
  </si>
  <si>
    <t xml:space="preserve">איך אפשר, אם בכלל, לשלב את השפעתם כדי להגיע לריבית ה״כוללת״ (=אפקטיבית). </t>
  </si>
  <si>
    <t>ריבית נתונה</t>
  </si>
  <si>
    <t>ריבית דריבית</t>
  </si>
  <si>
    <t>תשלומים מראש</t>
  </si>
  <si>
    <t>עמלות</t>
  </si>
  <si>
    <t>המושג: ריבית אפקטיבית = ריבית אמיתית / כוללת בעסקה</t>
  </si>
  <si>
    <t>המקרה הפשוט ביותר לחישוב ריבית אפקטיבית - מצב שבו ידוע כמה מקבלים וכמה משלמים - שני תשלומים בלבד</t>
  </si>
  <si>
    <t>היום</t>
  </si>
  <si>
    <t>סך ההחזר</t>
  </si>
  <si>
    <t>קרן</t>
  </si>
  <si>
    <r>
      <t xml:space="preserve">ריבית בש״ח: ההפרש בין </t>
    </r>
    <r>
      <rPr>
        <sz val="12"/>
        <color rgb="FFFF0000"/>
        <rFont val="David"/>
        <family val="2"/>
        <charset val="177"/>
      </rPr>
      <t>סך התשלום בסוף</t>
    </r>
  </si>
  <si>
    <r>
      <t xml:space="preserve">לבין </t>
    </r>
    <r>
      <rPr>
        <sz val="12"/>
        <color rgb="FF00B050"/>
        <rFont val="David"/>
        <family val="2"/>
        <charset val="177"/>
      </rPr>
      <t>סך הקרן בהתחלה</t>
    </r>
  </si>
  <si>
    <t>כדי לקבל ריבית tפקטיבית באחוזים נכפול ב-100: 12% = 0.12 * 100</t>
  </si>
  <si>
    <t>נוסחה מקצרת - לחישוב ריבית בעסקאות פשוטות ״תשלום אחד בהתחלה ותשלום אחד בסוף״:</t>
  </si>
  <si>
    <t>תשלום / תקבול בסוף בערך מוחלט</t>
  </si>
  <si>
    <t>תשלום / תקבול בהתחלה בערך מוחלט</t>
  </si>
  <si>
    <t>כדי לתרגם לאחוזים כופלים ב-100:</t>
  </si>
  <si>
    <t>0.12 * 100 = 12%</t>
  </si>
  <si>
    <t>כאשר</t>
  </si>
  <si>
    <t>עובדים</t>
  </si>
  <si>
    <t>בגישה</t>
  </si>
  <si>
    <t>זו</t>
  </si>
  <si>
    <t xml:space="preserve">הריבית </t>
  </si>
  <si>
    <t xml:space="preserve">המתקבלת </t>
  </si>
  <si>
    <t>היא לתקופת</t>
  </si>
  <si>
    <t xml:space="preserve">העסקה </t>
  </si>
  <si>
    <t>כולה</t>
  </si>
  <si>
    <t>האפקטיבית</t>
  </si>
  <si>
    <t>דוגמת מאי 1 - עסקה פשוטה עם תשלום בהתחלה ובסוף, והבנת המשמעות של ״הריבית לתקופת העסקה כולה״</t>
  </si>
  <si>
    <t xml:space="preserve">מאי מעוניינת ליטול היום הלוואה לטובת רכישת מכונה לחימום נקניק. </t>
  </si>
  <si>
    <t xml:space="preserve">סכום ההלוואה 143,000 ש״ח. </t>
  </si>
  <si>
    <t xml:space="preserve">ההלוואה ל-4 שנים, ותשולם בתשלום אחד של 185,000 ש״ח בתום השנה ה-4. </t>
  </si>
  <si>
    <t xml:space="preserve">בנוסף לתשלום הבודד הנ״ל, תצטרך מאי לשלם ״עמלת סילוק״ בתום השנה ה-4 בסך 3,000 ש״ח. </t>
  </si>
  <si>
    <t>א. מהי הריבית האפקטיבית לתקופת העסקה כולה (ריבית אפקטיבית ל-4 שנים)?</t>
  </si>
  <si>
    <t>ב. מהי הריבית האפקטיבית לשנה אחת?</t>
  </si>
  <si>
    <t>פתרון סעיף א:</t>
  </si>
  <si>
    <t>כאשר בנקודת זמן מסויימת</t>
  </si>
  <si>
    <t>קיימים מספר תשלומים</t>
  </si>
  <si>
    <t>תמיד נסכום את כולם</t>
  </si>
  <si>
    <t>לשם חישוב CF</t>
  </si>
  <si>
    <t>כלומר, אם בתום העסקה משלמים גם 185,000</t>
  </si>
  <si>
    <t>וגם 3,000 ש״ח</t>
  </si>
  <si>
    <t>מבחיתנו התשלום בסוף הוא 188,000</t>
  </si>
  <si>
    <t>נכפול ב-100 כדי לבטא את התוצאה באחוזים:</t>
  </si>
  <si>
    <t>נשאלת השאלה: לאיזו תקופה הריבית שחישבתי?</t>
  </si>
  <si>
    <t>לפי ההגדרה, חישוב הריבית בטכניקה זו (יחס)</t>
  </si>
  <si>
    <t>מוביל לריבית האפקטיבית לתקופת העסקה</t>
  </si>
  <si>
    <t xml:space="preserve">כולה - ריבית אפקטיבית ל-4 שנים במקרה זה. </t>
  </si>
  <si>
    <t xml:space="preserve">זה מה שרצו = זו התשובה לנדרש א. </t>
  </si>
  <si>
    <t>פתרון סעיף ב - הסעיף דורש את הריבית האפקטיבית לשנה אחת בלבד</t>
  </si>
  <si>
    <t xml:space="preserve">כיצד מבצעים המרה של ריבית מתקופה ״ארוכה לקצרה״? </t>
  </si>
  <si>
    <t xml:space="preserve">ריבית אפקטיבית מומרת מתקופה אחת לאחרת (ובפרט - מארוכה לקצרה) באמצעות חזקה עם שבר מתאים. </t>
  </si>
  <si>
    <t>רצוי: ריבית אפקטיבית לשנה 1</t>
  </si>
  <si>
    <t>מצוי:</t>
  </si>
  <si>
    <t>ריבית אפקטיבית ל-4 שנים</t>
  </si>
  <si>
    <t>מעריך החזקה: היחס בין הרצוי 1</t>
  </si>
  <si>
    <t>למצוי 4</t>
  </si>
  <si>
    <t>דוגמת מאי2 - חישוב ריבית אפקטיבית במקרה הפשוט כולל התאמה לשנה</t>
  </si>
  <si>
    <t xml:space="preserve">מאי שוקלת ליטול הלוואה לטובת רכש מכונת נקניק נוספת בסך 400,000 ש״ח. </t>
  </si>
  <si>
    <t xml:space="preserve">מיד במועד העמדת ההלוואה תשלם מאי סכום של 32,000 ש״ח. </t>
  </si>
  <si>
    <t>בסיום העסקה, תשלם מאי את:</t>
  </si>
  <si>
    <t>א. הקרן הבסיסית בסך 400,000 ש״ח ובנוסף</t>
  </si>
  <si>
    <t>ב. עמלת פרעון בסך 30,000 ש״ח ובנוסף</t>
  </si>
  <si>
    <t>ג. דמי אשראי בשיעור 10% מהקרן הבסיסית</t>
  </si>
  <si>
    <t xml:space="preserve">ההלוואה היא ל-6 שנים. </t>
  </si>
  <si>
    <t>נדרש: מהי הריבית האפקטיבית לשנה בעסקה.</t>
  </si>
  <si>
    <t>טיפ לפותר:</t>
  </si>
  <si>
    <t>השתמשו בנוסחה כדי לחשב</t>
  </si>
  <si>
    <t>את הריבית האפקטיבית לתקופת</t>
  </si>
  <si>
    <t>העסקה כולה</t>
  </si>
  <si>
    <t>באמצעות חזקה מתאימה המירו</t>
  </si>
  <si>
    <t>את התוצאה לשנה אחת</t>
  </si>
  <si>
    <t>אפשר לבצע את המכפלה</t>
  </si>
  <si>
    <t>ב-100 בתוך החישוב או אחר כך</t>
  </si>
  <si>
    <t>בשלב הראשון, מחשבים את הריבית האפקטיבית לתקופת העסקה כולה, לפי היחס בין סך התשלום בסוף בערך מוחלט</t>
  </si>
  <si>
    <t xml:space="preserve">לבין סך התקבול בהתחלה בערך מוחלט. </t>
  </si>
  <si>
    <t>סך התשלום בסוף:</t>
  </si>
  <si>
    <t>קרן בסיסית</t>
  </si>
  <si>
    <t>עמלת פרעון</t>
  </si>
  <si>
    <t>דמי אשראי</t>
  </si>
  <si>
    <t xml:space="preserve">10% * 400,000 = </t>
  </si>
  <si>
    <t>CFt</t>
  </si>
  <si>
    <t xml:space="preserve">שימו לב - למרות שנתון שמשלמים גם 32,000 ש״ח מיידית - הרי ש-CFt מוגדר בתור התשלומים בסוף בלבד. </t>
  </si>
  <si>
    <t>תשלום מיידי איננו תשלום בסוף, ולכן איננו חלק מה-CFt.</t>
  </si>
  <si>
    <t>סך התקבול בהתחלה:</t>
  </si>
  <si>
    <t>משולם מיד</t>
  </si>
  <si>
    <t>CF0</t>
  </si>
  <si>
    <t>כאשר נוטלים הלוואה ומיד במועד העמדתה</t>
  </si>
  <si>
    <t>צריך לשלם כסף, הסכום נטו שמקבלים בזמן זה,</t>
  </si>
  <si>
    <t xml:space="preserve">כלומר ה-CF0 יקטן. </t>
  </si>
  <si>
    <t>ריבית אפקטיבית לכל תקופת העסקה 6 שנים</t>
  </si>
  <si>
    <t xml:space="preserve">בשלב השני, נמיר את הריבית לתקופת העסקה כולה (6 שנים) לשנה אחת ע״י חזקה מתאימה שהיא היחס בין הרצוי (שנה) למצוי (שש שנים). </t>
  </si>
  <si>
    <t>ריבית אפקטיבית לשנה אחת = התשובה הסופית לשאלה.</t>
  </si>
  <si>
    <r>
      <t xml:space="preserve">המקרה </t>
    </r>
    <r>
      <rPr>
        <b/>
        <sz val="12"/>
        <color rgb="FFFF0000"/>
        <rFont val="David"/>
        <family val="2"/>
        <charset val="177"/>
      </rPr>
      <t>השני</t>
    </r>
    <r>
      <rPr>
        <b/>
        <sz val="12"/>
        <color theme="1"/>
        <rFont val="David"/>
        <family val="2"/>
        <charset val="177"/>
      </rPr>
      <t xml:space="preserve"> - חישוב ריבית אפקטיבית כאשר </t>
    </r>
    <r>
      <rPr>
        <b/>
        <u/>
        <sz val="12"/>
        <color theme="1"/>
        <rFont val="David"/>
        <family val="2"/>
        <charset val="177"/>
      </rPr>
      <t>הריבית הנקובה נתונה</t>
    </r>
    <r>
      <rPr>
        <b/>
        <sz val="12"/>
        <color theme="1"/>
        <rFont val="David"/>
        <family val="2"/>
        <charset val="177"/>
      </rPr>
      <t xml:space="preserve"> והיא </t>
    </r>
    <r>
      <rPr>
        <b/>
        <u/>
        <sz val="12"/>
        <color theme="1"/>
        <rFont val="David"/>
        <family val="2"/>
        <charset val="177"/>
      </rPr>
      <t>מחושבת כריבית דריבית</t>
    </r>
  </si>
  <si>
    <t>כאשר הריבית בעסקה היא ריבית נקובה ומחושבת מספר פעמים - נוצר תהליך חישובי שנקרא ״ריבית דריבית״</t>
  </si>
  <si>
    <t xml:space="preserve">שמוביל לכך שהריבית האפקטיבית / הכוללת היא גבוהה יותר מהריבית הרשומה בחוזה. </t>
  </si>
  <si>
    <t>מיד נדגים ונראה איך זה עובד.</t>
  </si>
  <si>
    <t>ונתרגל גם אותה.</t>
  </si>
  <si>
    <t>בשלב ראשון נבצע המחשה כדי להבין את ההיגיון (ארוך יחסית) ועל בסיס ההיגיון נבנה נוסחה מקוצרת</t>
  </si>
  <si>
    <r>
      <t>הריבית השנתית ה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היא 10%, והיא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</si>
  <si>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ב. מהי הריבית האפקטיבית השנתית (באחוזים).</t>
  </si>
  <si>
    <t>זה אומר שכל רבעון הבנק ״עוצר״ ומוסיף ריבית של רבעון אחד לקרן = כל רבעון הבנק יוסיף:</t>
  </si>
  <si>
    <t>10%/4 = 2.5%</t>
  </si>
  <si>
    <t>בתום הרבעון הראשון, הבנק יוסיף 2.5 לקרן והיתרה 102.5.</t>
  </si>
  <si>
    <t>בתום הרבעון השני, הבנק יוסיף 2.5% * 102.5 ל-102.5.</t>
  </si>
  <si>
    <t>וכן הלאה...</t>
  </si>
  <si>
    <t>בקצרה:</t>
  </si>
  <si>
    <t xml:space="preserve">100 * (1 + 10%/4) * (1+ 10%/4) * (1 + 10%/4) * (1 + 10%/4) </t>
  </si>
  <si>
    <t>יותר בקצרה:</t>
  </si>
  <si>
    <t xml:space="preserve">100 * (1 + 10%/4)^4 = </t>
  </si>
  <si>
    <t>סך הסכום הכספי שנקבל בסוף:</t>
  </si>
  <si>
    <t>פתרון - סעיף א</t>
  </si>
  <si>
    <t>במלים: כפלנו את הקרן הראשונית ב-1 ועוד ריבית יחסית לתקופת חישוב: 10% לשנה, חלקי 4 - כי החישוב כל רבעון.</t>
  </si>
  <si>
    <t>אחר כך העלינו בחזקת 4, כדי לבצע ריבית דריבית לשנה שלמה.</t>
  </si>
  <si>
    <r>
      <t xml:space="preserve">אם הריבית הנתונה </t>
    </r>
    <r>
      <rPr>
        <b/>
        <sz val="12"/>
        <color rgb="FFFF0000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לשנה: 10%.</t>
    </r>
  </si>
  <si>
    <r>
      <t xml:space="preserve">ונתון שהיא </t>
    </r>
    <r>
      <rPr>
        <b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</si>
  <si>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הכולל הנצבר בתום התקופה, הנוסחה תהיה:</t>
  </si>
  <si>
    <r>
      <t>אז בעצם: אם אני נתקל בשאלה שבה המלל הספציפי אומר ״</t>
    </r>
    <r>
      <rPr>
        <b/>
        <sz val="12"/>
        <color theme="1"/>
        <rFont val="David"/>
        <family val="2"/>
        <charset val="177"/>
      </rPr>
      <t>ריבית נקובה המחושבת כל</t>
    </r>
    <r>
      <rPr>
        <sz val="12"/>
        <color theme="1"/>
        <rFont val="David"/>
        <family val="2"/>
        <charset val="177"/>
      </rPr>
      <t>״ הרי שכדי לחשב את הסכום</t>
    </r>
  </si>
  <si>
    <t>הסכום הראשוני - הלוואה שאני לוקח/ת היום; או סכום הפקדה שאני מבצעת היום.</t>
  </si>
  <si>
    <t>הריבית הנקובה (החוזית) בלבד - אם הנתונים בשאלה אינם כוללים ריבית נקובה / חוזית לא נשתמש בנוסחה הזו.</t>
  </si>
  <si>
    <t xml:space="preserve">מספר תקופות חישוב הריבית בתקופת הריבית הנקובה הנתונה: </t>
  </si>
  <si>
    <t>הריבית הנקובה הנתונה = לשנה אחת פה = 10%</t>
  </si>
  <si>
    <t xml:space="preserve">אמרו שהריבית מחושבת כל רבעון. </t>
  </si>
  <si>
    <t xml:space="preserve">דרשו כאן - ריבית אפקטיבית לשנה. </t>
  </si>
  <si>
    <t>מספר תקופות חישוב הריבית בתקופה הנדרשת (הריבית האפקטיבית הנדרשת):</t>
  </si>
  <si>
    <t>הריבית מחושבת כל רבעון.</t>
  </si>
  <si>
    <r>
      <t xml:space="preserve">לכן ה-n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הנקובה (שנה)</t>
    </r>
    <r>
      <rPr>
        <sz val="12"/>
        <color theme="1"/>
        <rFont val="David"/>
        <family val="2"/>
        <charset val="177"/>
      </rPr>
      <t xml:space="preserve"> = 4.</t>
    </r>
  </si>
  <si>
    <r>
      <t xml:space="preserve">לכן ה-t הוא התשובה לשאלה: כמה רבעונים (תקופות חישוב) יש </t>
    </r>
    <r>
      <rPr>
        <u/>
        <sz val="12"/>
        <color theme="1"/>
        <rFont val="David"/>
        <family val="2"/>
        <charset val="177"/>
      </rPr>
      <t>בתקופת הריבית האפקטיבית הנדרשת (שנה)</t>
    </r>
    <r>
      <rPr>
        <sz val="12"/>
        <color theme="1"/>
        <rFont val="David"/>
        <family val="2"/>
        <charset val="177"/>
      </rPr>
      <t xml:space="preserve"> = 4. </t>
    </r>
  </si>
  <si>
    <t>נדרש ב - מהי הריבית האפקטיבית לשנה?</t>
  </si>
  <si>
    <t xml:space="preserve">העסקה כאן היא לשנה אחת. </t>
  </si>
  <si>
    <t xml:space="preserve">בעסקה אני מפקיד מיד 100 כלומר CF0=100, וכפי שהבהרתי בנדרש א, בסוף השנה אקבל: CFt=110.2891 </t>
  </si>
  <si>
    <t>אם אני יודע בדיוק כמה אני מפקיד בהתחלה וכמה אני מקבל בסוף, היחס בין הערכים פחות אחת הוא הריבית האפקטיבית</t>
  </si>
  <si>
    <t>לתקופת העסקה (שנה):</t>
  </si>
  <si>
    <t>טיפ: במקום לעבוד על נדרש א (חישוב הסכום הכולל) רק אז על נדרש ב (חישוב הריבית באחוזים), אפשר לעבוד</t>
  </si>
  <si>
    <t>על הנוסחה הבאה - לוקחת ריבית נקובה באחוזים המחושבת כל ____ והופכת אותה לאפקטיבית שנתית:</t>
  </si>
  <si>
    <t>כלומר - אין צורך חיוני לעבוד על CF אפשר להשתמש בנתונים</t>
  </si>
  <si>
    <t xml:space="preserve">באחוזים בלבד. </t>
  </si>
  <si>
    <t>re</t>
  </si>
  <si>
    <t>ריבית אפקטיבית באחוזים לתקופה הנדרשת</t>
  </si>
  <si>
    <t>R</t>
  </si>
  <si>
    <t>ריבית נקובה באחוזים</t>
  </si>
  <si>
    <t>כמה תקופות חישוב ריבית כלולות בתקופת הריבית הנקובה הנתונה</t>
  </si>
  <si>
    <t>t</t>
  </si>
  <si>
    <t>כמה תקופות חישוב ריבית כלולות בתקופת הריבית האפקטיבית הנדרשת</t>
  </si>
  <si>
    <t>שאלת מאי 3 - חישוב ריבית אפקטיבית בנוסחה המקצרת כאשר הריבית הנתונה נקובה ומחושבת מספר פעמים (ריבית דריבית)</t>
  </si>
  <si>
    <t xml:space="preserve">מאי מעוניינת לרכוש לארוסה מתנה לחתונה מקבוק פרו בעלות 30,000 ש״ח. </t>
  </si>
  <si>
    <t xml:space="preserve">לשם מימון 80% מסכום הרכישה, היא מעוניינת ליטול הלוואה לתקופה של 3 שנים. </t>
  </si>
  <si>
    <t xml:space="preserve">הריבית השנתית הנקובה בהלוואה היא 12%, והיא מחושבת כל חודש. </t>
  </si>
  <si>
    <t>א. מהי הריבית האפקטיבית השנתית?</t>
  </si>
  <si>
    <t>ב. כיצד תשתנה תשובתכם אם הריבית הנקובה החצי שנתית היא 8%, והיא מחושבת כל חודש?</t>
  </si>
  <si>
    <t xml:space="preserve">מבוא / רקע: למרות שיש כאן נתונים כספיים - כלומר, אפשר לחשב את CF0 ואת CFt, הואיל והמצב הוא שיש נתונים באחוזים </t>
  </si>
  <si>
    <t xml:space="preserve">של ריבית נקובה המחושבת כל _____ ניתן וכדאי להשתמש בנוסחת הקיצור כדי לחשב ריבית אפקטיבית שנתית באחוזים. </t>
  </si>
  <si>
    <t>כלומר, יש להשתמש בנוסחה הבאה:</t>
  </si>
  <si>
    <t>לשנה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</si>
  <si>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B050"/>
        <rFont val="David"/>
        <family val="2"/>
        <charset val="177"/>
      </rPr>
      <t>תקופת ריבית נקובה נתונה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</si>
  <si>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rgb="FF0070C0"/>
        <rFont val="David"/>
        <family val="2"/>
        <charset val="177"/>
      </rPr>
      <t>תקופת ריבית אפקטיבית נדרשת שנה</t>
    </r>
    <r>
      <rPr>
        <sz val="12"/>
        <color theme="1"/>
        <rFont val="David"/>
        <family val="2"/>
        <charset val="177"/>
      </rPr>
      <t xml:space="preserve">,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</si>
  <si>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לחצי שנה</t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</si>
  <si>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תקופת ריבית נקובה נתונה חצי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B050"/>
        <rFont val="David"/>
        <family val="2"/>
        <charset val="177"/>
      </rPr>
      <t>בחצי שנה</t>
    </r>
    <r>
      <rPr>
        <sz val="12"/>
        <color theme="1"/>
        <rFont val="David"/>
        <family val="2"/>
        <charset val="177"/>
      </rPr>
      <t xml:space="preserve"> = 6</t>
    </r>
  </si>
  <si>
    <r>
      <t xml:space="preserve">ב. כיצד תשתנה תשובתכם </t>
    </r>
    <r>
      <rPr>
        <b/>
        <sz val="12"/>
        <color theme="1"/>
        <rFont val="David"/>
        <family val="2"/>
        <charset val="177"/>
      </rPr>
      <t>לנדרש - ריבית אפקטיבית לשנה</t>
    </r>
    <r>
      <rPr>
        <sz val="12"/>
        <color theme="1"/>
        <rFont val="David"/>
        <family val="2"/>
        <charset val="177"/>
      </rPr>
      <t xml:space="preserve"> - אם הריבית הנקובה החצי שנתית היא 8%, והיא מחושבת כל חודש?</t>
    </r>
  </si>
  <si>
    <r>
      <t xml:space="preserve">הריבית </t>
    </r>
    <r>
      <rPr>
        <u/>
        <sz val="12"/>
        <color rgb="FFFF0000"/>
        <rFont val="David"/>
        <family val="2"/>
        <charset val="177"/>
      </rPr>
      <t>מחושבת כל חודש,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תקופת ריבית אפקטיבית נדרשת שנה,</t>
    </r>
    <r>
      <rPr>
        <sz val="12"/>
        <color theme="1"/>
        <rFont val="David"/>
        <family val="2"/>
        <charset val="177"/>
      </rPr>
      <t xml:space="preserve"> לכן גודל זה הוא התשובה לשאלה: כמה </t>
    </r>
    <r>
      <rPr>
        <u/>
        <sz val="12"/>
        <color rgb="FFFF0000"/>
        <rFont val="David"/>
        <family val="2"/>
        <charset val="177"/>
      </rPr>
      <t>חודשים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0070C0"/>
        <rFont val="David"/>
        <family val="2"/>
        <charset val="177"/>
      </rPr>
      <t>בשנה</t>
    </r>
    <r>
      <rPr>
        <sz val="12"/>
        <color theme="1"/>
        <rFont val="David"/>
        <family val="2"/>
        <charset val="177"/>
      </rPr>
      <t xml:space="preserve"> = 12</t>
    </r>
  </si>
  <si>
    <t>מפגש 8 - יסודות המימון א - לוחות סילוקין, הלוואות ואינפלציה</t>
  </si>
  <si>
    <t xml:space="preserve">החלק הראשון של המפגש - חזרה, תרגול, חידוד - ומבנה ״רמת בחינה״ בנושא חישובי ריבית אפקטיבית </t>
  </si>
  <si>
    <t>ריכוז נוסחאות בסיסיות בנושא חישובי ריבית:</t>
  </si>
  <si>
    <t>המרת ריבית נקובה ב-% המחושבת מספר פעמים (ריבית דריבית) לריבית אפקטיבית ב-%:</t>
  </si>
  <si>
    <t>הריבית האפקטיבית לתקופה הנדרשת</t>
  </si>
  <si>
    <t>ריבית נקובה</t>
  </si>
  <si>
    <t>מספר תקופות חישוב הריבית בתקופת הריבית הנקובה ב-R</t>
  </si>
  <si>
    <t>מספר תקופות חישוב הריבית בתקופת הריבית האפקטיבית הנדרשת ב-re</t>
  </si>
  <si>
    <t>המרה של ריבית ב-% המנוכה מראש לריבית אפקטיבית ב-%:</t>
  </si>
  <si>
    <t>ריבית אפקטיבית לתקופת העסקה</t>
  </si>
  <si>
    <t>d</t>
  </si>
  <si>
    <t>שיעור הניכוי מראש (שיעור הריבית מראש) לתקופת העסקה</t>
  </si>
  <si>
    <t>כאשר ידוע / ניתן לחשב בקלות את הסכום ״בזמן 0״ ואת הסכום ״בתום העסקה״</t>
  </si>
  <si>
    <t>התשלום / התקבול בסוף (בערך מוחלט)</t>
  </si>
  <si>
    <t>התשלום / התקבול ההתחלתי (בערך מוחלט)</t>
  </si>
  <si>
    <t>המרת ריבית אפקטיבית נתונה לריבית אפקטיבית לתקופה אחרת</t>
  </si>
  <si>
    <t>מספר תקופות הריבית האפקטיבית הנתונה בתקופה הנדרשת - התקופה הרצויה חלקי התקופה המצויה</t>
  </si>
  <si>
    <t>ריבית אפקטיבית לתקופה הנדרשת - רצויה</t>
  </si>
  <si>
    <t>ריבית אפקטיבית לתקופה כלשהי - מצוי</t>
  </si>
  <si>
    <t>תרגיל ״מאי הנעדרת והנהדרת״ - חישובי ריבית מסוגים שונים - סגנון בחינה ושילוב נוסחאות</t>
  </si>
  <si>
    <t xml:space="preserve">מאי מעוניינת ליטול הלוואה בסך 100,000 ש״ח לתקופה של חצי שנה. </t>
  </si>
  <si>
    <t>מציעים לה את מסלולי ההלוואה הבאים:</t>
  </si>
  <si>
    <t>ב. מסלול הדורש תשלום ריבית מראש בשיעור 5% (לכל תקופת העסקה).</t>
  </si>
  <si>
    <t>ג. מסלול הדורש ממנה לשלם בתום התקופה (בתום חצי שנה) את הקרן בתוספת עמלת פרעון בסך 13,000 ש״ח.</t>
  </si>
  <si>
    <t>א. ריבית נקובה שנתית בשיעור 12% המחושבת כל חודש.</t>
  </si>
  <si>
    <t>ד. מסלול הדורש עמלת עריכת מסמכים בסך 4,000 ש״ח בתחילת התקופה, וכן נושא ריבית נקובה חצי שנתית בשיעור 3%</t>
  </si>
  <si>
    <t>המחושבת כל חודש ומשולמת במועד הפרעון.</t>
  </si>
  <si>
    <r>
      <t xml:space="preserve">נדרש: על בסיס חישוב הריבית האפקטיבית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בכל חלופה, מהו המסלול שתעדיף מאי?</t>
    </r>
  </si>
  <si>
    <t>ריבית נקובה (או ריבית חוזית) היא הריבית המופיעה בהסכם ההלוואה / ההשקעה. במקרים רבים ריבית זו שונה מהריבית</t>
  </si>
  <si>
    <t xml:space="preserve">האמיתית / הכוללת / האפקטיבית. </t>
  </si>
  <si>
    <t xml:space="preserve">המטרה היא לזהות כיצד (נוסחה / תהליך חישובי) נבצע את ההמרה מריבית נקובה לאפקטיבית. </t>
  </si>
  <si>
    <t>כאשר נתון הנתוני השאלה: ״ריבית נקובה בשיעור ____ המחושבת כל ____״ = חישוב של ריבית דריבית, שכדי לבטא</t>
  </si>
  <si>
    <t>את הריבית האפקטיבית / הכוללת בגינו, נשתמש בנוסחה שמתאימה לריבית דריבית:</t>
  </si>
  <si>
    <t xml:space="preserve">ההלוואה עצמה היא לחצי שנה. </t>
  </si>
  <si>
    <t xml:space="preserve">ריבית נקובה 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</si>
  <si>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הנקובה</t>
    </r>
  </si>
  <si>
    <r>
      <t xml:space="preserve">למרות זאת </t>
    </r>
    <r>
      <rPr>
        <b/>
        <sz val="12"/>
        <color theme="1"/>
        <rFont val="David"/>
        <family val="2"/>
        <charset val="177"/>
      </rPr>
      <t xml:space="preserve">דרשו ריבית אפקטיבית </t>
    </r>
    <r>
      <rPr>
        <b/>
        <sz val="12"/>
        <color rgb="FFFF0000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 xml:space="preserve"> שלמה</t>
    </r>
    <r>
      <rPr>
        <sz val="12"/>
        <color theme="1"/>
        <rFont val="David"/>
        <family val="2"/>
        <charset val="177"/>
      </rPr>
      <t>.</t>
    </r>
  </si>
  <si>
    <t>טיפ: אם תקופת הריבית הנקובה (כאן - שנה) זהה לתקופת הריבית האפקטיבית הנדרשת (שנה)</t>
  </si>
  <si>
    <t xml:space="preserve">המכנה ומעריך החזקה זהים. </t>
  </si>
  <si>
    <t>אם למשל תקופת הריבית הנקובה שנה, וביקשו ריבית אפקטיבית לתקופה נדרשת של חצי שנה</t>
  </si>
  <si>
    <t>המכנה והמעריך היו שונים:</t>
  </si>
  <si>
    <r>
      <t xml:space="preserve">מספר </t>
    </r>
    <r>
      <rPr>
        <u/>
        <sz val="9"/>
        <color rgb="FFFF0000"/>
        <rFont val="David"/>
        <family val="2"/>
        <charset val="177"/>
      </rPr>
      <t>תקופות חישוב</t>
    </r>
    <r>
      <rPr>
        <sz val="9"/>
        <color theme="1"/>
        <rFont val="David"/>
        <family val="2"/>
        <charset val="177"/>
      </rPr>
      <t xml:space="preserve"> הריבית </t>
    </r>
    <r>
      <rPr>
        <u/>
        <sz val="9"/>
        <color theme="1"/>
        <rFont val="David"/>
        <family val="2"/>
        <charset val="177"/>
      </rPr>
      <t>בתקופה הנדרשת</t>
    </r>
    <r>
      <rPr>
        <sz val="9"/>
        <color theme="1"/>
        <rFont val="David"/>
        <family val="2"/>
        <charset val="177"/>
      </rPr>
      <t xml:space="preserve"> - האפקטיבית</t>
    </r>
  </si>
  <si>
    <r>
      <t xml:space="preserve">בקצרה: המרה </t>
    </r>
    <r>
      <rPr>
        <b/>
        <u/>
        <sz val="12"/>
        <color theme="1"/>
        <rFont val="David"/>
        <family val="2"/>
        <charset val="177"/>
      </rPr>
      <t>מריבית נקובה שנתית 12%</t>
    </r>
    <r>
      <rPr>
        <b/>
        <sz val="12"/>
        <color theme="1"/>
        <rFont val="David"/>
        <family val="2"/>
        <charset val="177"/>
      </rPr>
      <t xml:space="preserve"> </t>
    </r>
    <r>
      <rPr>
        <b/>
        <u/>
        <sz val="12"/>
        <color theme="1"/>
        <rFont val="David"/>
        <family val="2"/>
        <charset val="177"/>
      </rPr>
      <t>המחושבת</t>
    </r>
    <r>
      <rPr>
        <b/>
        <sz val="12"/>
        <color theme="1"/>
        <rFont val="David"/>
        <family val="2"/>
        <charset val="177"/>
      </rPr>
      <t xml:space="preserve"> מספר פעמים (</t>
    </r>
    <r>
      <rPr>
        <b/>
        <u/>
        <sz val="12"/>
        <color theme="1"/>
        <rFont val="David"/>
        <family val="2"/>
        <charset val="177"/>
      </rPr>
      <t>כל חודש</t>
    </r>
    <r>
      <rPr>
        <b/>
        <sz val="12"/>
        <color theme="1"/>
        <rFont val="David"/>
        <family val="2"/>
        <charset val="177"/>
      </rPr>
      <t xml:space="preserve">) לריבית אפקטיבית </t>
    </r>
    <r>
      <rPr>
        <b/>
        <u/>
        <sz val="12"/>
        <color theme="1"/>
        <rFont val="David"/>
        <family val="2"/>
        <charset val="177"/>
      </rPr>
      <t>לשנה</t>
    </r>
    <r>
      <rPr>
        <b/>
        <sz val="12"/>
        <color theme="1"/>
        <rFont val="David"/>
        <family val="2"/>
        <charset val="177"/>
      </rPr>
      <t>:</t>
    </r>
  </si>
  <si>
    <t>אם זיהיתי שיעור מסוים מסכום העסקה (אחוז מסוים) שעליי לשלם מראש, אזי סכום זה מקטין את הסכום הראשוני,</t>
  </si>
  <si>
    <t>והנוסחה המתאימה עבורו תהיה:</t>
  </si>
  <si>
    <t>הריבית האפקטיבית לתקופת העסקה</t>
  </si>
  <si>
    <t>ב. מסלול הדורש תשלום ריבית מראש בשיעור 5% (לכל תקופת העסקה). כאן תקופת העסקה חצי שנה.</t>
  </si>
  <si>
    <t>אחוז (שיעור) הניכוי מראש (משלמים מראש) בתחילת העסקה</t>
  </si>
  <si>
    <t>תזכורת: נתוני העסקה הם לחצי שנה, לכן הריבית האפקטיבית שחושבה בדרך זו שהיא לתקופת העסקה זוהי</t>
  </si>
  <si>
    <t>ריבית אפקטיבית חצי שנתית.</t>
  </si>
  <si>
    <t xml:space="preserve">אם רוצים (וזה הנדרש) לחשב ריבית אפקטיבית לשנה, נדרשת פעולה נוספת. </t>
  </si>
  <si>
    <t>ריבית אפקטיבית לתקופת העסקה = חצי שנה:</t>
  </si>
  <si>
    <t xml:space="preserve">אופן ההמרה מריבית אפקטיבית לחצי שנה - לריבית אפקטיבית לשנה שאותה דרשו - יבוצע עם נוסחה אחרת - </t>
  </si>
  <si>
    <t>נוסחת החזקה ה״מוכרת״:</t>
  </si>
  <si>
    <t>נדרשת - ריבית אפקטיבית לשנה</t>
  </si>
  <si>
    <t>נתונה / חושב</t>
  </si>
  <si>
    <t>קודם (לחצי שנה)</t>
  </si>
  <si>
    <t xml:space="preserve">מספר </t>
  </si>
  <si>
    <t>תקופות</t>
  </si>
  <si>
    <t>הריבית</t>
  </si>
  <si>
    <t>רצוי: שנה, חלקי מצוי: חצי שנה</t>
  </si>
  <si>
    <t>ריבית אפקטיבית לשנה מסלול 2:</t>
  </si>
  <si>
    <t>הנתונה - חצי שנה</t>
  </si>
  <si>
    <t>בתקופה הנדרשת - שנה, לכן 2</t>
  </si>
  <si>
    <r>
      <t xml:space="preserve">א. ריבית נקובה </t>
    </r>
    <r>
      <rPr>
        <b/>
        <sz val="12"/>
        <color rgb="FFFF0000"/>
        <rFont val="David"/>
        <family val="2"/>
        <charset val="177"/>
      </rPr>
      <t>שנתית</t>
    </r>
    <r>
      <rPr>
        <b/>
        <sz val="12"/>
        <color theme="1"/>
        <rFont val="David"/>
        <family val="2"/>
        <charset val="177"/>
      </rPr>
      <t xml:space="preserve"> בשיעור 12% המחושבת כל חודש.</t>
    </r>
  </si>
  <si>
    <t>כאשר זיהיתי שאלה שבה כל הסכומים כספיים - כלומר אומרים בסכום כספי כמה נקבל, כמה נשלם (הנתונים אינם</t>
  </si>
  <si>
    <t>באחוזים), בדרך כלל הדרך הקלה ביותר לחישוב הריבית האפקטיבית לתקופת העסקה - תתבסס על היחס בין הסכומים:</t>
  </si>
  <si>
    <t>נתוני השאלה: עסקת הלוואה לחצי שנה בסכום של 100,000 ש״ח, הדורשת תשלום בתום התקופה של הקרן בתוספת</t>
  </si>
  <si>
    <t xml:space="preserve">עמלת פרעון בסך 13,000 ש״ח. נדרש: ריבית אפקטיבית שנתית. </t>
  </si>
  <si>
    <t>הסכום הסופי נטו, שמתקבל / משולם בסיום העסקה: קרן 100,000 בתוספת 13,000 = 113,000</t>
  </si>
  <si>
    <t>הסכום הראשוני נטו, שמתקבל / משולם בזמן 0 - קרן נטו 100,000</t>
  </si>
  <si>
    <t>חשוב:מקרה זה (בדומה למקרה של ריבית מראש)</t>
  </si>
  <si>
    <t>מוביל לריבית אפקטיבית לתקופת העסקה</t>
  </si>
  <si>
    <t>כלומר התוצאה כאן היא ריבית אפקטיבית לחצי שנה</t>
  </si>
  <si>
    <t xml:space="preserve">כי ההלוואה היא לחצי שנה. </t>
  </si>
  <si>
    <t>אם דרשו (וכאן - אכן דרשו) להגיע לריבית האפקטיבית השנתית (לריבית אפקטיבית ששונה מתקופת העסקה)</t>
  </si>
  <si>
    <t>נדרש צעד נוסף - להמרה של האפקטיבית החצי שנתית לשנתית כי זו הדרישה:</t>
  </si>
  <si>
    <t>אפקטיבית חצי שנתית</t>
  </si>
  <si>
    <t>ריבית אפקטיבית לשנה מסלול 3:</t>
  </si>
  <si>
    <t>נתונים בקצרה: הלוואה 100,000 ש״ח, משלמים מיד 4,000 ש״ח, ובתום התקופה מחזירים קרן + ריבית נקובה חצי שנתית 3%</t>
  </si>
  <si>
    <t xml:space="preserve">כאשר מדובר במקרה מורכב הכולל שילוב של סכומים שונים, בתחילת תקופה, בתום תקופה, עם אחוזים וגם סכומים </t>
  </si>
  <si>
    <t>כספיים - ההמלצה החמה היא לייצר ציר זמן ועליו להציג את הערכים הכספיים נטו בתחילת התקופה ובסופה.</t>
  </si>
  <si>
    <t>כלומר, אעבוד עם נוסחת CF, פשוט תהיה לי עבודה נוספת כדי לחשב את ערכי CF.</t>
  </si>
  <si>
    <t>קרן הלוואה</t>
  </si>
  <si>
    <t>בניכוי תשלום מיידי</t>
  </si>
  <si>
    <t>תזרים נטו בזמן 0 = CF0</t>
  </si>
  <si>
    <t>המחושבת כל חודש. נדרשת ריבית אפקטיבית לשנה.</t>
  </si>
  <si>
    <t>כדי לחשב את סך התשלום בעתיד, כאשר הריבית הנקובה מחושבת מספר פעמים</t>
  </si>
  <si>
    <t>אעבוד באותו תהליך שדומה לנוסחת ריבית דריבית - ״בלי המינוס אחת״</t>
  </si>
  <si>
    <t>ה-n: מספר תקופות חישוב הריבית בתקופת הריבית הנקובה</t>
  </si>
  <si>
    <t>כאן: ריבית נקובה לחצי שנה, מחושבת כל חודש, =6</t>
  </si>
  <si>
    <t>ה-t: מספר תקופות חישוב הריבית בתקופה הנדרשת</t>
  </si>
  <si>
    <t>המטרה היא לחשב את סך ההחזר אחרי חצי שנה</t>
  </si>
  <si>
    <t>לכן המעריך הוא 6.</t>
  </si>
  <si>
    <t>לאחר שהסכומים בתחילת העסקה (זמן 0) ובסיומה (אחרי חצי שנה)</t>
  </si>
  <si>
    <t xml:space="preserve">ידועים, היחס ביניהם ישקף ריבית אפקטיבית לתקופת העסקה (חצי שנה). </t>
  </si>
  <si>
    <t>שימו לב, תמיד צריך לבדוק על מה הריבית מחושבת.</t>
  </si>
  <si>
    <t>אם הריבית מחושבת על כל הסכום הראשוני נטו,</t>
  </si>
  <si>
    <t>המקרה הפשוט והנפוץ, במקום המילה קרן</t>
  </si>
  <si>
    <t>יהיה C0</t>
  </si>
  <si>
    <t>ריבית אפקטיבית לחצי שנה:</t>
  </si>
  <si>
    <t>כאשר מדובר בעסקת הלוואה, הלווה יעדיף את החלופה שבה הריבית האפקטיבית במונחים שנתיים היא הנמוכה ביותר:</t>
  </si>
  <si>
    <t>תועדף חלופה ב שבה הריבית האפקטיבית היא הנמוכה ביותר.</t>
  </si>
  <si>
    <t xml:space="preserve">תשובה סופית </t>
  </si>
  <si>
    <t>לשאלת מבחן</t>
  </si>
  <si>
    <t>תרגיל ״מאי רפואה שלמה״ - חיזוק המקרה המורכב של ריבית מראש בתוספת צבירה של ריבית דריבית על סכום אחר</t>
  </si>
  <si>
    <t>מאי רפואה שלמה בע״מ (להלן: ״החברה״) נטלה ב-1.1.2025 הלוואה שתפרע כולה (קרן + ריבית צבורה) ב-31.12.2026</t>
  </si>
  <si>
    <t xml:space="preserve">כלומר בחלוף שנתיים שלמות. סכום קרן ההלוואה 500,000 ש״ח. </t>
  </si>
  <si>
    <t>ההלוואה דורשת תשלום מראש של דמי טיפול בשיעור 4% מסכום העסקה, כאשר קרן ההלוואה (המלאה) נושאת ריבית</t>
  </si>
  <si>
    <t>נקובה שנתית בשיעור 12% המחושבת כל חודש.</t>
  </si>
  <si>
    <t xml:space="preserve">א. מהי הריבית האפקטיבית לתקופת העסקה כולה (כלומר, ריבית אפקטיבית לשנתיים). </t>
  </si>
  <si>
    <t>נוסחת עזר (נוסחת ריבית) לחישוב CFt - כאשר קרן הלוואה / השקעה נושאת ריבית נקובה המחושבת מספר פעמים</t>
  </si>
  <si>
    <t>הסכום שעליו נצברת הריבית</t>
  </si>
  <si>
    <t>הריבית הנקובה הנתונה אשר נצברת על הקרן (אם יש כזו)</t>
  </si>
  <si>
    <t>מספר תקופות חישוב הריבית בתקופת הריבית הנקובה הנתונה</t>
  </si>
  <si>
    <t>מספר תקופות חישוב הריבית בתקופת העסקה</t>
  </si>
  <si>
    <t>כאשר אני מזהה שאלה שבה יש גם תשלומים בהתחלה, גם תשלומים בסוף, גם צבירה של ריבית דריבית - עירוב מקרים,</t>
  </si>
  <si>
    <t>בדרך כלל ההמלצה היא לנתח את הסכומים הכספיים בהתחלה ובסוף - CFt ו-CF0.</t>
  </si>
  <si>
    <t>ספציפית - אם זיהיתי עסקה שכוללת ריבית מראש / תשלום מראש, ובנוסף הקרן צוברת ריבית דריבית (ריבית נקובה</t>
  </si>
  <si>
    <t>המחושבת כל):</t>
  </si>
  <si>
    <t>קרן = קרן עסקה מוגדרת (לפני ניכויים)</t>
  </si>
  <si>
    <t>הערך d - שיעור התשלום מראש באחוזים</t>
  </si>
  <si>
    <t>הערך R - ריבית נקובה המשולמת בסוף</t>
  </si>
  <si>
    <t>הערך n - מספר תקופות חישוב הריבית בתקופת הנקובה</t>
  </si>
  <si>
    <t>הערך t - מספר תקופות חישוב הריבית בתקופת העסקה</t>
  </si>
  <si>
    <t>כך מגיעים לריבית האפקטיבית לתקופת</t>
  </si>
  <si>
    <t xml:space="preserve">העסקה כולה. </t>
  </si>
  <si>
    <t xml:space="preserve">תזכורת: הלוואה בסך 500,000 ש״ח, משלמים מיד שיעור של 4%, ובסוף העסקה (אחרי שנתיים) משלמים קרן בתוספת </t>
  </si>
  <si>
    <r>
      <t xml:space="preserve">ריבית נקובה שנתית בשיעור 12% המחושבת כל חודש.  </t>
    </r>
    <r>
      <rPr>
        <b/>
        <u/>
        <sz val="12"/>
        <color theme="1"/>
        <rFont val="David"/>
        <family val="2"/>
        <charset val="177"/>
      </rPr>
      <t>הנדרש הראשון שלנו (א) = ריבית אפקטיבית לתקופת העסקה (שנתיים).</t>
    </r>
    <r>
      <rPr>
        <b/>
        <sz val="12"/>
        <color theme="1"/>
        <rFont val="David"/>
        <family val="2"/>
        <charset val="177"/>
      </rPr>
      <t xml:space="preserve"> </t>
    </r>
  </si>
  <si>
    <t>מדוע n=12? גודל זה משקף את התשובה לשאלה: כמה תקופות חישוב ריבית (חודש)</t>
  </si>
  <si>
    <r>
      <t xml:space="preserve">נכנסות </t>
    </r>
    <r>
      <rPr>
        <u/>
        <sz val="12"/>
        <color theme="1"/>
        <rFont val="David"/>
        <family val="2"/>
        <charset val="177"/>
      </rPr>
      <t>בתקופת הריבית הנקובה</t>
    </r>
    <r>
      <rPr>
        <sz val="12"/>
        <color theme="1"/>
        <rFont val="David"/>
        <family val="2"/>
        <charset val="177"/>
      </rPr>
      <t xml:space="preserve"> (כאן - הריבית הנקובה היא לשנה). </t>
    </r>
  </si>
  <si>
    <t xml:space="preserve">לכן n הוא התשובה לשאלה - כמה חודשים נכנסים בשנה אחת = 12. </t>
  </si>
  <si>
    <t>מדוע t=24? גודל זה משקף את התשובה לשאלה: כמה תקופות חישוב ריבית (חודש)</t>
  </si>
  <si>
    <t xml:space="preserve">נכנסות בתקופת העסקה (כאן - תקופת העסקה היא שנתיים). </t>
  </si>
  <si>
    <t xml:space="preserve">לכן t הוא התשובה לשאלה - כמה חודשים נכנסים בשנתיים = 24. </t>
  </si>
  <si>
    <t>לתקופת העסקה כולה</t>
  </si>
  <si>
    <t>כלומר לשנתיים</t>
  </si>
  <si>
    <t>סעיף ב דרש ריבית אפקטיבית לשנה אחת - בשלב זה כבר יש ריבית אפקטיבית לשנתיים, לכן צריך רק חזקה מתאימה</t>
  </si>
  <si>
    <t>ריבית אפקטיבית לשנה אחת</t>
  </si>
  <si>
    <t>היחס הוא 0.5 ולכן זה מעריך החזקה.</t>
  </si>
  <si>
    <t xml:space="preserve">הסבר נוסף - המעריך בהתאמה האחרונה הוא התשובה לשאלה: מה היחס בין הרצוי (שנה) למצוי שחישבתי קודם (שנתיים). </t>
  </si>
  <si>
    <t>שאלת בית 1</t>
  </si>
  <si>
    <t>שיעורי בית לאחר מפגש 8 - במבחן יכולות להיות שאלות ברמה זו / ברמה שהוצגה במפגש / שילוב</t>
  </si>
  <si>
    <t>שאלת בית 2</t>
  </si>
  <si>
    <t>מסלול</t>
  </si>
  <si>
    <t>המועדפת</t>
  </si>
  <si>
    <t>לפירוט הדרך - לחצו דאבל קליק על התא הרלוונטי</t>
  </si>
  <si>
    <t>שאלת בית 3</t>
  </si>
  <si>
    <t>לווה יכולה לבחור בין החלופות הבאות בנטילת הלוואה ל-8 שנים אשר תוחזר בתשלום אחד של קרן וריבית:</t>
  </si>
  <si>
    <t>א. ריבית שנתית נקובה בשיעור 8% המחושבת כל 3 חודשים.</t>
  </si>
  <si>
    <t>ב. ריבית נקובה חצי שנתית בשיעור 4% המחושבת כל שנה.</t>
  </si>
  <si>
    <t>ג. ריבית נקובה חצי שנתית בשיעור 5% המחושבת כל רבעון.</t>
  </si>
  <si>
    <t>ד. ריבית שנתית נקובה בשיעור 9% המחושבת פעם בשנה.</t>
  </si>
  <si>
    <t xml:space="preserve">נדרש: חשבו את הריבית האפקטיבית השנתית בכל חלופה וציינו את החלופה המועדפת. </t>
  </si>
  <si>
    <t>חלופה</t>
  </si>
  <si>
    <t>ריבית אפק׳</t>
  </si>
  <si>
    <t xml:space="preserve">החלופה המועדפת היא חלופה ב. </t>
  </si>
  <si>
    <t>פתרון</t>
  </si>
  <si>
    <t>שאלת בית 4</t>
  </si>
  <si>
    <t>בונוני מעוניין לבצע הפקדה לפקדון לתקופה של 5 שנים. מציעים לו את החלופות הבאות:</t>
  </si>
  <si>
    <t xml:space="preserve">א. פקדון הנושא ריבית שנתית נקובה בשיעור 10% המחושבת כל חצי שנה. </t>
  </si>
  <si>
    <t>ב. פקדון הנושא ריבית חצי שנתית נקובה בשיעור 4% המחושבת כל חודש.</t>
  </si>
  <si>
    <t xml:space="preserve">ג. פקדון הנושא ריבית המשולמת מראש למשקיע בשיעור 40% לכל 5 השנים. </t>
  </si>
  <si>
    <t>ד. פקדון המקנה למשקיע תקבול חד פעמי בשיעור 10% מיד בסיום ההשקעה והקרן המקורית צוברת ריבית  בהתאם</t>
  </si>
  <si>
    <t>חשבו ריבית אפקטיבית שנתית בכל חלופה. מהו המסלול המועדף?</t>
  </si>
  <si>
    <t>קשה יותר</t>
  </si>
  <si>
    <t>א.</t>
  </si>
  <si>
    <t>ב.</t>
  </si>
  <si>
    <t>ג.</t>
  </si>
  <si>
    <t>שלב ראשון - ריבית אפקטיבית ל-5 שנים</t>
  </si>
  <si>
    <t>שלב שני - התאמה לשנה:</t>
  </si>
  <si>
    <t>ד.</t>
  </si>
  <si>
    <t>שלב שני - התאמה לשנה</t>
  </si>
  <si>
    <t xml:space="preserve">לריבית נקובה רבעונית בשיעור 2% המחושבת כל חודש. </t>
  </si>
  <si>
    <t xml:space="preserve">הואיל ומדובר בפקדון תועדף החלופה הנושאת את הריבית האפקטיבית הגבוהה ביותר, במקרה זה - חלופה ג. </t>
  </si>
  <si>
    <t>הסברים מורחבים יותר לבקשת משי:</t>
  </si>
  <si>
    <t>חלופה א:</t>
  </si>
  <si>
    <t xml:space="preserve">כאשר הריבית היא ריבית נקובה ה״מחושבת כל״ יש לפעול לפי הנוסחה שכוללת גם חילוק וגם חזקה. הואיל וחלקכם לא רואים טוב את </t>
  </si>
  <si>
    <t>הנוסחאות המתמטיות, אקליד כאן את הנוסחה בטקסט פשוט:</t>
  </si>
  <si>
    <t>הריבית הנקובה</t>
  </si>
  <si>
    <t>מספר תקופות החישוב בתקופת הריבית הנקובה</t>
  </si>
  <si>
    <t>מספר תקופות החישוב בתקופה הנדרשת (תקופת הריבית האפקטיבית שעליה שאלו)</t>
  </si>
  <si>
    <t>יישום:</t>
  </si>
  <si>
    <t>re = [(1 + R/n)^t - 1] * 100</t>
  </si>
  <si>
    <t xml:space="preserve">re = [(1 + 10%/4)^4 - 1] * 100 = </t>
  </si>
  <si>
    <t>כאשר 10% זו הריבית הנקובה, היא נתונה כריבית נקובה שנתית, ולכן - אם הריבית מחושבת כל רבעון, נחלק ב-4</t>
  </si>
  <si>
    <t xml:space="preserve">כי ישנם 4 רבעונים בשנה. </t>
  </si>
  <si>
    <t>לאחר מכן נעלה בחזקת 4. מדוע? כי החזקה מבטאת את מספר תקופות החישוב בתקופת הריבית האפקטיבית הנדרשת.</t>
  </si>
  <si>
    <t xml:space="preserve">למרות שהעסקה היא ל-5 שנים, רצו ריבית אפקטיבית לשנה; ובשנה יש 4 רבעונים. לכן החזקה 4. </t>
  </si>
  <si>
    <t>חלופה ב:</t>
  </si>
  <si>
    <t>בהתבסס על אותה נוסחה:</t>
  </si>
  <si>
    <t>היישום יהיה:</t>
  </si>
  <si>
    <t>re = [(1 + 4%/1)^2 - 1] * 100</t>
  </si>
  <si>
    <t>הריבית הנקובה עצמה נתונה - 4%. והיא לחצי שנה.</t>
  </si>
  <si>
    <t>בנוסף, נתון שהריבית מחושבת כל חצי שנה.</t>
  </si>
  <si>
    <t xml:space="preserve">אני מזכיר לכם שהמכנה (n) הוא התשובה לשאלה: כמה תקופות חישוב (חצי שנה) נכנסות בתקופה הנקובה (חצי שנה). </t>
  </si>
  <si>
    <t>כאן זה אומר ש-n=1 כי חצי שנה כלולה פעם אחת ב... חצי שנה. :)</t>
  </si>
  <si>
    <t>אחר כך נשאל את עצמנו, אם הריבית מחושבת כל חצי שנה, ואני נדרש לריבית אפקטיבית לשנה שלמה, מה מעריך החזקה?</t>
  </si>
  <si>
    <t>התשובה היא שמעריך החזקה t הוא התשובה לשאלה כמה תקופות חישוב (כמה חצאי שנים) נכנסים בתקופת הריבית</t>
  </si>
  <si>
    <t>האפקטיבית הנדרשת (בשנה) והתשובה היא 2. לכן, t=2.</t>
  </si>
  <si>
    <t>חלופה ג:</t>
  </si>
  <si>
    <t>re = [(1 + 3%/6)^12 - 1] * 100</t>
  </si>
  <si>
    <t>הריבית הנקובה עצמה נתונה - 3%, והיא לחצי שנה.</t>
  </si>
  <si>
    <t>בנוסף, נתון שהריבית מחושבת כל חודש.</t>
  </si>
  <si>
    <t xml:space="preserve">אני מזכיר לכם שהמכנה (n) הוא התשובה לשאלה: כמה תקופות חישוב ריבית (חודשים) נכנסות בתקופה הנקובה (חצי שנה). </t>
  </si>
  <si>
    <t xml:space="preserve">זה אומר ש-n=6 כי חודש נכנס ״6 פעמים״ בחצי שנה. </t>
  </si>
  <si>
    <t>אחר כך נשאל את עצמנו, אם הריבית מחושבת כל חודש, ואני נדרש לריבית אפקטיבית לשנה שלמה, מה מעריך החזקה?</t>
  </si>
  <si>
    <t xml:space="preserve">התשובה היא שמעריך החזקה t הוא התשובה לשאלה, כמה תקופות חישוב (כמה חודשים) נכנסים בתקופת הריבית </t>
  </si>
  <si>
    <t>האפקטיבית הנדרשת (בשנה) והתשובה היא 12. לכן  t=12.</t>
  </si>
  <si>
    <t>חלופה ד:</t>
  </si>
  <si>
    <t>re = [(1 + 10%/1)^1 - 1] * 100</t>
  </si>
  <si>
    <t>הריבית הנקובה עצמה נתונה - 10%, והיא לשנה.</t>
  </si>
  <si>
    <t>בנוסף נתון שהריבית מחושבת פעם בשנה.</t>
  </si>
  <si>
    <t>המכנה (n) הוא התשובה לשאלה: כמה תקופות חישוב ריבית (שנים) נכנסות בתקופה הנקובה (שנה). התשובה 1, לכן זה המכנה.</t>
  </si>
  <si>
    <t xml:space="preserve">המעריך (t) הוא התשובה לשאלה: כמה תקופות חישוב ריבית (שנים) נכנסות בתקופה האפקטיבית הנדרשת (שנה) לכן גם המעריך  1. </t>
  </si>
  <si>
    <t>נושא חדש - כדאיות פרויקטים</t>
  </si>
  <si>
    <t>הכלים שאותם יישמנו עד כה - ערך נוכחי - PV, ערך עתידי - FV, חילוצים, וחישובי ריבית - הם למעשה ״חישובים</t>
  </si>
  <si>
    <t>פיננסיים״. במלים אחרות, למדנו איך מחשבים שווי, או תמורה, או ריבית - ולא באמת עסקנו ״לעומק״ בקבלת</t>
  </si>
  <si>
    <t>החלטות עסקיות.</t>
  </si>
  <si>
    <t>אחת מסוגי ההחלטות העסקיות המשמעותיות ביותר - ברמת חברה - היא האם לבצע פרויקט / לנצל (לממש) הזדמנות</t>
  </si>
  <si>
    <t>השקעה או לא. ואנחנו צריכים להציג ולגבש קריטריונים שיעזרו לנו להחליט ״האם לבצע פרויקט או לא״.</t>
  </si>
  <si>
    <t>לשם כך:</t>
  </si>
  <si>
    <t xml:space="preserve">א. נגדיר פרויקט וסוגים שונים של פרויקטים. </t>
  </si>
  <si>
    <t>ב. נציג שני קריטריונים מרכזיים לבחינת כדאיות פרויקטים:</t>
  </si>
  <si>
    <t>IRR</t>
  </si>
  <si>
    <t xml:space="preserve">שיעור תשואה פנימי - Internal Rate of Return - שיעור תשואה באחוזים בפרויקט. </t>
  </si>
  <si>
    <t>NPV</t>
  </si>
  <si>
    <t xml:space="preserve">ערך נוכחי נקי - Net Present Value - שווי הפרויקט נטו, במונחים של ערך נוכחי. </t>
  </si>
  <si>
    <t>הגדרת פרויקט</t>
  </si>
  <si>
    <t>מבחינתנו - פרויקט מוגדר באופן פיננסי / תזרימי:</t>
  </si>
  <si>
    <t>אפיון מלא של סכומי תזרימי המזומנים (תשלומים - שלילי, ותקבולים - חיובי) ועיתויים (מתי בדיוק</t>
  </si>
  <si>
    <t xml:space="preserve">הם משולמים או מתקבלים). </t>
  </si>
  <si>
    <t>הדגמה למבנה של פרויקט ״סטנדרטי״ של השקעה היא כדלקמן:</t>
  </si>
  <si>
    <t>להלן נתוני פרויקט שמוצע לחברה:</t>
  </si>
  <si>
    <t>זמן</t>
  </si>
  <si>
    <t>זמן (שנים)</t>
  </si>
  <si>
    <t>תזרים - א׳ ש״ח</t>
  </si>
  <si>
    <t>האם פרויקט אחד (ספציפי) שמוצע לחברה הוא כדאי / לא - כלל הכרעה</t>
  </si>
  <si>
    <t xml:space="preserve">יש שתי גישות שעוזרות להחליט האם פרויקט מסויים הוא כדאי או לא. </t>
  </si>
  <si>
    <t xml:space="preserve">גישה 1: IRR = מחשבים את התשואה באחוזים שהפרויקט מניב (על ההשקעה). </t>
  </si>
  <si>
    <t xml:space="preserve">אחוז הריבית / עלות המימון </t>
  </si>
  <si>
    <t>שהחברה נדרשת לשלם</t>
  </si>
  <si>
    <t>לשם גיוס המימון הנדרש לפרויקט</t>
  </si>
  <si>
    <t>גם אם, למשל, התשואה מהפרויקט חיובית</t>
  </si>
  <si>
    <t>בשיעור 5% לשנה, אם כדי לגייס את הכסף</t>
  </si>
  <si>
    <t>להשקעה החברה נוטלת הלוואה בריבית 8%,</t>
  </si>
  <si>
    <t xml:space="preserve">הפרויקט לא יהיה כדאי. </t>
  </si>
  <si>
    <t xml:space="preserve">גישה 2 - NPV = מחשבים את שווי הפרויקט נטו להיום - בש״ח. </t>
  </si>
  <si>
    <t xml:space="preserve">חישוב שווי הפרויקט יתחשב גם בתזרימי המזומנים, בעיתויים (מתי), במחיר ההון. </t>
  </si>
  <si>
    <t>כך שבעצם: בעוד ש-IRR בפני עצמו</t>
  </si>
  <si>
    <t>לא מעיד על כדאיות ויש להשוותו למחיר ההון,</t>
  </si>
  <si>
    <t>ה-NPV כבר מביא בחשבון את מחיר ההון,</t>
  </si>
  <si>
    <t>הפרויקט יהיה כדאי (פרויקט בודד בפני</t>
  </si>
  <si>
    <t xml:space="preserve">עצמו) כאשר ה-NPV שלו חיובי, </t>
  </si>
  <si>
    <t xml:space="preserve">ללא צורך בבדיקה נוספת. </t>
  </si>
  <si>
    <r>
      <t xml:space="preserve">הפרויקט יהיה כדאי אם  שיעור התשואה הנ״ל גבוה יותר </t>
    </r>
    <r>
      <rPr>
        <b/>
        <u/>
        <sz val="12"/>
        <color theme="1"/>
        <rFont val="David"/>
        <family val="2"/>
        <charset val="177"/>
      </rPr>
      <t>ממחיר ההון של החברה</t>
    </r>
    <r>
      <rPr>
        <b/>
        <sz val="12"/>
        <color theme="1"/>
        <rFont val="David"/>
        <family val="2"/>
        <charset val="177"/>
      </rPr>
      <t xml:space="preserve">. </t>
    </r>
  </si>
  <si>
    <t>תרגיל 1 - ״ברזילאית״ - יישום בסיסי של NPV ו- IRR לבחינת כדאיות פרויקט בודד והנמקה</t>
  </si>
  <si>
    <t>לחברת ״ברזילאית בע״מ״ (להלן: ״החברה״) הוצע להשקיע בפרויקט הבא:</t>
  </si>
  <si>
    <t>תזרים (א׳ ש״ח)</t>
  </si>
  <si>
    <t xml:space="preserve">בנוסף, ידוע כי מחיר ההון של החברה הוא 8% לשנה. </t>
  </si>
  <si>
    <t>(*)</t>
  </si>
  <si>
    <t>מחיר ההון = הוא כעין ריבית. מדוע רק ״כעין ריבית״ = כי בחברה יש מגוון מקורות מימון, וה״ריבית״</t>
  </si>
  <si>
    <t xml:space="preserve">המשוקללת בגין כולם (גיוס הון עצמי, גיוס חוב...) היא מחיר ההון. </t>
  </si>
  <si>
    <t>Cost of capital = מחיר ההון באחוזים</t>
  </si>
  <si>
    <t>מושג זה לא יישאל בבחינה ואין צורך לחשבו, אני רק מנסה להסביר מדוע באופן כללי עסקנו כל הקורס ריבית,</t>
  </si>
  <si>
    <t xml:space="preserve">אבל כשעוברים לעולם החברות, מקובל יותר המושג ״מחיר הון״. </t>
  </si>
  <si>
    <t xml:space="preserve">נדרש: חשבו את ה-IRR ואת ה-NPV של הפרויקט. חוו דעתכם, על בסיס כל קריטריון - האם הפרויקט כדאי / לא. </t>
  </si>
  <si>
    <t>כאשר אני נתקל בשאלה הכוללת הגדרה ברורה של נתונים תזרימיים של פרויקט על ציר זמן, לצד מחיר ההון - חישוב הערכים</t>
  </si>
  <si>
    <t>המתאימים לקבלת החלטה בדבר ביצוע / דחייה - נשענים על NPV ו-IRR, שאופן חישובם (במחשבון הפיננסי) הוא כדלקמן:</t>
  </si>
  <si>
    <t>הכפתור / הלחצן במחשבון הפיננסי שבאמצעותו נחשב IRR ו-NPV לפרויקטים הוא:</t>
  </si>
  <si>
    <t>מחיר ההון של החברה = חובה להזינו לשם חישוב NPV, אך לא לשם IRR</t>
  </si>
  <si>
    <t>הואיל ובשלב ראשון אני מחשב IRR, אין צורך להזין %I לכן נזין 0</t>
  </si>
  <si>
    <t>EXE</t>
  </si>
  <si>
    <t>Csh. D. Editor       &gt;&gt;&gt;</t>
  </si>
  <si>
    <t xml:space="preserve">אקליד לפי הסדר את </t>
  </si>
  <si>
    <t>תזרימי המזומנים</t>
  </si>
  <si>
    <t>הנתונים של הפרויקט</t>
  </si>
  <si>
    <t>המחשבון המעצבן:</t>
  </si>
  <si>
    <t>1, 2, 3 = 0, 1, 2</t>
  </si>
  <si>
    <t>אחרי הקלדת כל מספר, לוחצים על EXE כדי לעבור לשורה הבאה</t>
  </si>
  <si>
    <t>לאחר הזנת התזרים האחרון ---</t>
  </si>
  <si>
    <t>ESC</t>
  </si>
  <si>
    <t xml:space="preserve">IRR = </t>
  </si>
  <si>
    <t xml:space="preserve">המשמעות: פרויקט זה מניב לחברה המשקיעה תשואה שנתית ממוצעת בשיעור 43.6827%. </t>
  </si>
  <si>
    <t xml:space="preserve">כדי לדעת האם הפרויקט כדאי - נבדוק האם ערך זה גבוה ממחיר ההון שנתונה בשאלה כ-8%. </t>
  </si>
  <si>
    <t>המסקנה: הואיל ו-IRR (תשואת הפרויקט, 43.6827%) גבוה ממחיר ההון (עלות גיוס ההון לפרויקט - 8%) כדאי לבצע</t>
  </si>
  <si>
    <t>את הפרויקט לפי קריטריון ה-IRR.</t>
  </si>
  <si>
    <t>חישוב ה-IRR וקבלת החלטה על בסיסו:</t>
  </si>
  <si>
    <t>חישוב ה-NPV וקבלת החלטה על בסיסו:</t>
  </si>
  <si>
    <t>אופן חישוב ה-NPV במחשבון הפיננסי זהה עקרונית לחישוב IRR, עם שני שינויים טכניים קטנים:</t>
  </si>
  <si>
    <t xml:space="preserve">א. חובה להזין ב-%I את מחיר ההון לשם חישוב ה-NPV (כאן - מחיר ההון 8% לכן נזין 8). </t>
  </si>
  <si>
    <t>ב. לאחר הזנת התזרימים מבצעים SOLVE על NPV.</t>
  </si>
  <si>
    <t>הואיל וכעת אני מחשב NPV אני חייב להזין כאן את מחיר ההון שנתון כ-8%</t>
  </si>
  <si>
    <t xml:space="preserve">טיפ: אם כבר הזנתי את התזרימים קודם, לשם חישוב IRR, </t>
  </si>
  <si>
    <t xml:space="preserve">המחשבון זוכר אותם ואין צורך להזינם שנית. </t>
  </si>
  <si>
    <t xml:space="preserve">NPV = </t>
  </si>
  <si>
    <t xml:space="preserve">מסקנה: שווי הפרויקט נטו, בהתחשב בכל הסכומים - הסכום שמשלמים, הסכום שמקבלים ובהתחשב במחיר ההון - הריבית, </t>
  </si>
  <si>
    <t xml:space="preserve">הוא שווי חיובי של 1,081.19 באלפי ש״ח. </t>
  </si>
  <si>
    <t>הואיל והשווי נטו חיובי הפרויקט כדאי לפי קריטריון ה-NPV.</t>
  </si>
  <si>
    <t>למדנו בינתיים שכאשר מציגים בפניי פרויקט בודד ושואלים האם כדאי / לא כדאי לקבלו לפי קריטריון מסוים, נחשב</t>
  </si>
  <si>
    <t xml:space="preserve">את ערך הקריטריון ונשווה לתוצאה הרצויה. </t>
  </si>
  <si>
    <t xml:space="preserve">במקרה של חישוב IRR - הדרישה היא לערך גבוה ממחיר ההון. </t>
  </si>
  <si>
    <t xml:space="preserve">במקרה של חישוב NPV - הדרישה היא לערך חיובי. </t>
  </si>
  <si>
    <t>דיון בסיסי - המקרה שבו נדרש לבחור בין שני פרויקטים (״פרויקטים המוציאים זה את זה״)</t>
  </si>
  <si>
    <t>בדיון שנערך בתרגיל הקודם, עסקנו בפרויקט בודד.</t>
  </si>
  <si>
    <t xml:space="preserve">הגדרנו את התנאים לכדאיותו (NPV חיובי, ו-IRR שגבוה ממחיר ההון). </t>
  </si>
  <si>
    <t xml:space="preserve">אבל מה לגבי מצב שבו אין רק אפשרות אחת - אלא מוצעות בפניי (בפני החברה) מספר אפשרויות, וצריך לקחת </t>
  </si>
  <si>
    <t>את הטובה מביניהן?</t>
  </si>
  <si>
    <t>ככלל:</t>
  </si>
  <si>
    <t>כאשר מדרגים פרויקטים (מקבלים מספר פרויקטים ויש לבחור מי עדיף על מי), אזי:</t>
  </si>
  <si>
    <t xml:space="preserve">אם מבקשים לפעול לפי קריטריון ה-IRR: יועדף הפרויקט שה-IRR שלו הגבוה ביותר. </t>
  </si>
  <si>
    <t>אם מבקשים לפעול לפי קריטריון ה-NPV: יועדף הפרויקט שבו ה-NPV הגבוה ביותר.</t>
  </si>
  <si>
    <t>האם תתכן סתירה בדירוג לפי הקריטריונים? כן. במקרה כזה:</t>
  </si>
  <si>
    <t>ההחלטה הכלכלית - כלומר זו שעדיפה מנקודת ראות החברה באופן גורף - היא זו שמתבססת על NPV</t>
  </si>
  <si>
    <t xml:space="preserve">כי מטרת החברה איננה למקסם ערך באחוזים אלא למקסם את שוויה הכספי. </t>
  </si>
  <si>
    <t>תרגיל עמרי - בחירה בין פרויקטים של השקעה - לפי קריטריונים שונים</t>
  </si>
  <si>
    <t>לחברת ״עמרי״ בע״מ הוצע לבצע אחד מבין שני הפרויקטים הבאים (מוציאים זה את זה):</t>
  </si>
  <si>
    <t>א: אלפי ש״ח</t>
  </si>
  <si>
    <t>ב: אלפי ש״ח</t>
  </si>
  <si>
    <t>א. מהו ה-IRR של כל פרויקט?</t>
  </si>
  <si>
    <t>ב. איזה פרויקט יועדף לפי כלל ה-IRR בהנחה שמחיר ההון של החברה 4% לשנה?</t>
  </si>
  <si>
    <t>ג. מהו ה-NPV של כל פרויקט בהנחה שמחיר ההון של החברה 4% לשנה?</t>
  </si>
  <si>
    <t>ד. איזה פרויקט יועדף לפי כלל ה-NPV?</t>
  </si>
  <si>
    <t xml:space="preserve">ה. הסבירו את השוני בדירוג הפרויקטים. מה הסיבה לו, וכיצד תכריעו ביניהם מבחינה ניהולית.  </t>
  </si>
  <si>
    <t>טיפ למבחן - ברמה הטכנית - אם עליכם לחשב NPV וגם IRR</t>
  </si>
  <si>
    <t>למספר פרויקטים, הדרך הקצרה היא לחשב את שני הקריטריונים</t>
  </si>
  <si>
    <t>עבור כל פרויקט:</t>
  </si>
  <si>
    <t>מזינים את כל תזרימי הפרויקט &gt;&gt;&gt; SOLVE IRR</t>
  </si>
  <si>
    <t>ובלי לאפס מחשבון - מזינים ב-%I את מחיר ההון &gt;&gt;&gt; SOLVE NPV</t>
  </si>
  <si>
    <t>לאחר מכן מזינים את תזרימי הפרויקט הבא וחוזרים על התהליך</t>
  </si>
  <si>
    <t>לנדרשים א, ג</t>
  </si>
  <si>
    <t xml:space="preserve">משום שהוא גבוה יותר - ובעצמו גבוה ממחיר ההון. </t>
  </si>
  <si>
    <t>משום שהוא גבוה יותר - וחיובי בפני עצמו</t>
  </si>
  <si>
    <r>
      <rPr>
        <b/>
        <sz val="12"/>
        <color rgb="FFFF0000"/>
        <rFont val="David"/>
        <family val="2"/>
        <charset val="177"/>
      </rPr>
      <t>נדרש ב:</t>
    </r>
    <r>
      <rPr>
        <sz val="12"/>
        <color theme="1"/>
        <rFont val="David"/>
        <family val="2"/>
        <charset val="177"/>
      </rPr>
      <t xml:space="preserve"> הואיל ונדרש לבחור אחד מביניהם לכל היותר בלבד - בחירה לפי IRR היא כזו שתעדיף את א</t>
    </r>
  </si>
  <si>
    <r>
      <rPr>
        <b/>
        <sz val="12"/>
        <color rgb="FFFF0000"/>
        <rFont val="David"/>
        <family val="2"/>
        <charset val="177"/>
      </rPr>
      <t>נדרש ד:</t>
    </r>
    <r>
      <rPr>
        <sz val="12"/>
        <color theme="1"/>
        <rFont val="David"/>
        <family val="2"/>
        <charset val="177"/>
      </rPr>
      <t xml:space="preserve"> הואיל ונדרש לבחור לכל היותר אחד מבינהם, בחירה לפי NPV היא כזו שתעדיף את ב</t>
    </r>
  </si>
  <si>
    <t>נדרש ה - מה שקיבלנו זה שדירוג הפרויקטים לפי IRR שונה / סותר את דירוגם (והבחירה ביניהם) לפי NPV.</t>
  </si>
  <si>
    <t>מדוע זה קרה? איך יכול להיות שהפרויקט שנותן יותר באחוזים (כלומר IRR יותר גבוה, אפשרות א) מניב ערך כספי נמוך יותר (NPV של א נמוך יותר)?</t>
  </si>
  <si>
    <t>הסיבה: גודל השקעה שונה.</t>
  </si>
  <si>
    <t xml:space="preserve">אמנם בפרויקט א׳ אני מרוויח כ-13.82%, אבל תשואה זו היא על השקעה קטנה יחסית של 200. </t>
  </si>
  <si>
    <t xml:space="preserve">בפרויקט ב׳ אני מרוויח כ-5.92%, אבל תשואה זו היא על השקעה מאד גדולה של 2,000. </t>
  </si>
  <si>
    <t xml:space="preserve">בשפה פשוטה - להרוויח פחות באחוזים אבל על ״יותר כסף״ או על ״השקעה גבוהה יותר״ עשוי להוביל למצב שבו הערך הכספי יהיה גבוה יותר דווקא בחלופה עם התשואה הנמוכה (וההשקעה הגדולה). </t>
  </si>
  <si>
    <t>כלומר: אם עליי לבחור בין לבצע את (א) לבדו או את (ב) לבדו - יש להעדיף את הפרויקט שמגלם את השווי הכספי הגבוה ביותר - כלומר הבחירה הכלכלית היא לפי NPV</t>
  </si>
  <si>
    <t xml:space="preserve">ויש להעדיף את ב. </t>
  </si>
  <si>
    <t>בקצרה - מדריך למשתמש/ת:</t>
  </si>
  <si>
    <t>כאשר מקבלים נתונים על מספר פרויקטים המוציאים את זה = ניתן לבצע לכל היותר אחד מביניהם:</t>
  </si>
  <si>
    <t>א. אם דורשים במפורש להכריע לפי IRR - אז נחשב IRR ונבחר בגבוה.</t>
  </si>
  <si>
    <t xml:space="preserve">ב. אם דורשים במפורש להכריע לפי NPV - אז נחשב NPV ונבחר בגבוה. </t>
  </si>
  <si>
    <t xml:space="preserve">ג. אם דורשים את ההכרעה הנכונה ביותר מבחינה כלכלית - הNPV יכריע. </t>
  </si>
  <si>
    <t>ד. אחת מהסיבות המרכזיות לשוני בדירוג לפי IRR לעומת NPV הוא גודל השקעה שונה. לכן עקרונית / כלכלית</t>
  </si>
  <si>
    <t xml:space="preserve">עלינו להזהר מאד מקבלת החלטות על בסיס IRR במצבים שבהם סכומי ההשקעה שונים. </t>
  </si>
  <si>
    <t>שאלה בסגנון מבחן - NPV ו-IRR</t>
  </si>
  <si>
    <t>לפניכם נתונים לגבי 3 פרויקטים:</t>
  </si>
  <si>
    <t xml:space="preserve">מחיר ההון של החברה הוא 4% לשנה. </t>
  </si>
  <si>
    <t xml:space="preserve">א. חשבו את ה-NPV ואת ה-IRR של כל פרויקט. </t>
  </si>
  <si>
    <t>ב. בהנחה וניתן לבצע את הפרויקטים ללא מגבלה, איזה / אילו מהפרויקטים כדאי לבצע?</t>
  </si>
  <si>
    <t>ג. בהנחה שהפרויקטים מוציאים זה את זה, איזה פרויקט יועדף לפי IRR ואיזה יועדף לפי NPV?</t>
  </si>
  <si>
    <t xml:space="preserve">ד. האם התקבלה סתירה בין הדירוגים בסעיף ג? במידה וכן, ציינו בקצרה את הסיבה לה. </t>
  </si>
  <si>
    <t>ה. הניחו כעת כי ניתן לבצע את פרויקט א - 10 פעמים, וכי את הפרויקטים האחרים ניתן לבצע פעם אחת בלבד.</t>
  </si>
  <si>
    <t xml:space="preserve">מה החברה תבחר במצב כזה אם האפשרויות: 10 פעמים א, או: ב פעם אחת; או: ג פעם אחת. </t>
  </si>
  <si>
    <t>פתרון א, ב, ג, ד</t>
  </si>
  <si>
    <t>התהליך היה כזה:</t>
  </si>
  <si>
    <t xml:space="preserve">מזינים את התזרימים של פרויקט א, </t>
  </si>
  <si>
    <t>ואז מבצעים SOLVE IRR</t>
  </si>
  <si>
    <t>ואז חוזרים אחורה - ESC</t>
  </si>
  <si>
    <t>מזינים ב-%I את מחיר ההון 4</t>
  </si>
  <si>
    <t>ואז מבצעים SOLVE NPV</t>
  </si>
  <si>
    <t xml:space="preserve">על התהליך הנ״ל חוזרים במלואו גם עבור הפרויקטים ב ו-ג. </t>
  </si>
  <si>
    <t xml:space="preserve">כאשר ניתן לבצע פרויקטים ״ללא מגבלה״ = ניתן לבצע אחד מביניהם, שילוב כלשהו שלהם, או אף אחד. </t>
  </si>
  <si>
    <t xml:space="preserve">במצב כזה, כמובן שנבחר לבצע את כל הפרויקטים - בכולם ה-IRR גבוה ממחיר ההון ובכולם ה-NPV חיובי. </t>
  </si>
  <si>
    <t>לפי IRR - אם הפרויקטים מוציאים זה את זה (ניתן לבצע לכל היותר אחד מביניהם) יועדף הפרויקט בעל ה-IRR המירבי: א.</t>
  </si>
  <si>
    <t xml:space="preserve">לפי NPV - אם הפרויקטים מוציאים זה את זה יועדף הפרויקט בעל ה-NPV המירבי: ג. </t>
  </si>
  <si>
    <t xml:space="preserve">מבחינה כלכלית - ההחלטה הנכונה לחברה תשען על NPV שמגשים את מטרת הפירמה - השאת ערך כספי: ג. </t>
  </si>
  <si>
    <t>ד. הסבירו את מקור הסתירה בדירוג בין IRR לבין NPV</t>
  </si>
  <si>
    <t>הסיבה לסתירה היא גודל השקעה שונה: פרויקט א מניב תשואה גבוהה באחוזים על השקעה קטנה משמעותית</t>
  </si>
  <si>
    <t xml:space="preserve">מיתר הפרויקטים. לכן המשמעות הכספית (השווי הכספי) של הפרויקט כמשתקף ב-NPV נמוך יותר. </t>
  </si>
  <si>
    <t>א  כפול 10</t>
  </si>
  <si>
    <t>תזרימי פרויקט א כפול 10 חושבו באופן פשוט</t>
  </si>
  <si>
    <t>על ידי מכפלת התזרים בכל תקופה ותקופה</t>
  </si>
  <si>
    <t xml:space="preserve">ב-10. </t>
  </si>
  <si>
    <t>במידה וניתן לשכפל פרויקט:</t>
  </si>
  <si>
    <t>אפשר לכפול את תזרימיו בהתאם, ולחשב מחדש IRR ו-NPV</t>
  </si>
  <si>
    <t>ה-IRR חייב להשאר זהה</t>
  </si>
  <si>
    <t>וה-NPV גדל פי מספר השכפולים של הפרויקט:</t>
  </si>
  <si>
    <t xml:space="preserve">122.007 * 10 = </t>
  </si>
  <si>
    <t xml:space="preserve">NPV(A)*10 = </t>
  </si>
  <si>
    <t>שכפול פרויקט - התייחסות לבחירתך:</t>
  </si>
  <si>
    <t>שכפול התזרימים וחישוב מחדש</t>
  </si>
  <si>
    <r>
      <t xml:space="preserve">לחילופין -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:</t>
    </r>
  </si>
  <si>
    <r>
      <t xml:space="preserve">או לפי </t>
    </r>
    <r>
      <rPr>
        <b/>
        <sz val="12"/>
        <color rgb="FF00B050"/>
        <rFont val="David"/>
        <family val="2"/>
        <charset val="177"/>
      </rPr>
      <t>כלל הקיצור</t>
    </r>
    <r>
      <rPr>
        <sz val="12"/>
        <color theme="1"/>
        <rFont val="David"/>
        <family val="2"/>
        <charset val="177"/>
      </rPr>
      <t>.</t>
    </r>
  </si>
  <si>
    <t>ולכן, בריכוז הנתונים:</t>
  </si>
  <si>
    <t>הבחירה הכלכלית (שהיא הבחירה של החברה, אלא אם נאמר אחרת)</t>
  </si>
  <si>
    <t>היא לפי האפשרות שממקסמת את ה-NPV.</t>
  </si>
  <si>
    <t xml:space="preserve">ה-NPV המירבי הוא עדיין חלופה ג. </t>
  </si>
  <si>
    <t>מפגש 9 - כדאיות פרויקטים</t>
  </si>
  <si>
    <t xml:space="preserve">נקובה רבעונית בשיעור 2% המחושבת כל חודש. </t>
  </si>
  <si>
    <t>מענק</t>
  </si>
  <si>
    <t>קרן מקורית עם ריבית</t>
  </si>
  <si>
    <t>סך הכל תקבול בסוף</t>
  </si>
  <si>
    <t>סך הכל הריבית ל-5 שנים:</t>
  </si>
  <si>
    <t xml:space="preserve">(1.5898/1 - 1) * 100 = </t>
  </si>
  <si>
    <t xml:space="preserve">CFt = </t>
  </si>
  <si>
    <t xml:space="preserve">CF0 = </t>
  </si>
  <si>
    <t xml:space="preserve">(CFt / CF0 - 1) * 100 = </t>
  </si>
  <si>
    <t>כאשר בשאלה משלבים לי בין ריבית, למענקים, עם תוספות ועוד אירועים - כדאי לעבוד בגישה העקרונית של:</t>
  </si>
  <si>
    <t>חישוב סך הסכום שמשקיעים, נטו; לצדו חישוב סך הסכום שמקבלים בסוף - שמתחשב בתוספת המענק או בכל נתון אחר שמקבלים;</t>
  </si>
  <si>
    <t>ואז לעבוד על הנוסחה הזו:</t>
  </si>
  <si>
    <t xml:space="preserve">והטיפ הנוסף שלנו הוא: אם אין מידע כספי על קרן ההשקעה / ההלוואה, אפשר בהחלט להניח לצרכי החישוב קרן 1. </t>
  </si>
  <si>
    <t>אז מה עשינו פה? אמרנו, על כל השקעה של 1 ש״ח, בסוף התקופה מקבלים 10% מהשקל הזה (0.1),</t>
  </si>
  <si>
    <t>ובנוסף מקבלים את השקל כולו בתוספת ריבית דריבית:</t>
  </si>
  <si>
    <t xml:space="preserve">1*(1+2%/3)^60 = </t>
  </si>
  <si>
    <t xml:space="preserve">הרי נתון שהריבית 2% לרבעון מחושבת כל חודש - לכן חולקה ב-3, ואז העלינו בחזקת 60, כי יש 60 חודשים ב-5 שנים. </t>
  </si>
  <si>
    <t>ומדוע בחישוב של השקל עם הריבית אין מינוס אחת? כי המטרה היא לחשב סכום כולל בהקשר הזה לטובת CFt ולא את אחוז הריבית.</t>
  </si>
  <si>
    <t>ריבית זו חושבה לפי היחס בין התקבול בסוף התקופה לתקבול בתחילת התקופה, וכל זה פחות אחת. זו הריבית לתקופת העסקה</t>
  </si>
  <si>
    <t xml:space="preserve">כולה כלומר ל-5 שנים. </t>
  </si>
  <si>
    <t>ומה לגבי המרת הריבית למונחים שנתיים אפקטיביים? ובכן, המרה של ריבית אפקטיבית מתקופה לתקופה מבוצעת באמצעות</t>
  </si>
  <si>
    <t xml:space="preserve">מעריך חזקה מתאים; והואיל וצריך שנה מתוך 5, המעריך יהיה 1/5. </t>
  </si>
  <si>
    <t>לכן הריבית האפקטיבית השנתית המתאימה לסעיף ד׳ היא:</t>
  </si>
  <si>
    <t xml:space="preserve">[(1 + 58.9846%)^(1/5) - 1] * 100 = </t>
  </si>
  <si>
    <r>
      <rPr>
        <b/>
        <sz val="12"/>
        <color theme="1"/>
        <rFont val="David"/>
        <family val="2"/>
        <charset val="177"/>
      </rPr>
      <t>הסבר לסעיף ד - מפורט</t>
    </r>
    <r>
      <rPr>
        <sz val="12"/>
        <color theme="1"/>
        <rFont val="David"/>
        <family val="2"/>
        <charset val="177"/>
      </rPr>
      <t xml:space="preserve"> - פקדון המקנה למשקיע תקבול חד פעמי, 10%, מיד בסיום ההשקעה, והקרן המקורית צוברת ריבית לפי </t>
    </r>
  </si>
  <si>
    <t>הסבר לסעיף ג - מפורט:</t>
  </si>
  <si>
    <t xml:space="preserve">כאשר ישנה ריבית מראש בלבד, ללא תוספות או שינויים נוספים (בשונה מסעיף ד), הדרך הקלה ביותר לחשב ריבית אפקטיבית </t>
  </si>
  <si>
    <t>היא על ידי הנוסחה:</t>
  </si>
  <si>
    <t xml:space="preserve">1/(1-d) - 1 </t>
  </si>
  <si>
    <t>כאן:</t>
  </si>
  <si>
    <t xml:space="preserve">1/(1-40%) - 1 = </t>
  </si>
  <si>
    <t xml:space="preserve">זו הריבית האפקטיבית לכל תקופת העסקה, ל-5 שנים. </t>
  </si>
  <si>
    <t xml:space="preserve">[(1 + 66.667%)^(1/5) - 1] * 100 = </t>
  </si>
  <si>
    <t>הסברים נוספים ותרגול עצמי לא להגשה:</t>
  </si>
  <si>
    <t>מפגש 10 - בניית תזרימי מזומנים לתכניות השקעה</t>
  </si>
  <si>
    <t>למשל: הנה פרויקט</t>
  </si>
  <si>
    <t>כלומר במפגש הקודם וגם בשאלות הבחינה</t>
  </si>
  <si>
    <t>שיישענו עליו, קיבלנו את נתוני התזרים נטו</t>
  </si>
  <si>
    <t>באופן מלא - כמה משלמים או מקבלים</t>
  </si>
  <si>
    <t xml:space="preserve">בסך הכל בכל נקודת זמן. </t>
  </si>
  <si>
    <r>
      <rPr>
        <b/>
        <u/>
        <sz val="12"/>
        <color theme="1"/>
        <rFont val="David"/>
        <family val="2"/>
        <charset val="177"/>
      </rPr>
      <t>במפגש הקודם</t>
    </r>
    <r>
      <rPr>
        <sz val="12"/>
        <color theme="1"/>
        <rFont val="David"/>
        <family val="2"/>
        <charset val="177"/>
      </rPr>
      <t xml:space="preserve"> הגדרנו פרויקט בתור רצף של תזרימי מזומנים. </t>
    </r>
  </si>
  <si>
    <t>במפגש הנוכחי - מה שנרצה לעשות זה להבין - ממה בנויים תזרימי המזומנים הללו. הרי ברמה העסקית - תיאור של</t>
  </si>
  <si>
    <t>פרויקט כולל הכנסות, הוצאות, חומרי גלם, שכר עבודה, מסים ורכיבים רבים נוספים של תשלום / תקבול. כדי להגיע</t>
  </si>
  <si>
    <t xml:space="preserve">ואיך מחברים או מחסרים ביניהן כדי להגיע לתזרים נטו. </t>
  </si>
  <si>
    <t>לתזרים המזומנים נטו אנחנו צריכים להיות מסוגלים לקרוא את נתוני השאלה, להבין מה ההכנסות, מה ההוצאות</t>
  </si>
  <si>
    <t>בקצרה: במפגש זה לא נקבל נתונים תמציתיים אלא ״סיפור״ ונצטרך לבנות סביבו את התזרים נטו לשם בחינת הכדאיות.</t>
  </si>
  <si>
    <t>דוגמת המחשה ראשונית - בניית תזרימי מזומנים</t>
  </si>
  <si>
    <t xml:space="preserve">חברת ״המאורסים״ בע״מ שוקלת לבצע פרויקט. </t>
  </si>
  <si>
    <t>לשם איסוף הנתונים הכלכליים שלו היא שכרה לפני שנה שירותיו של כלכלן ושילמה לו שכר טרחה של 100,000 ש״ח.</t>
  </si>
  <si>
    <t xml:space="preserve">לשם ביצוע הפרויקט החברה נדרשת לבצע השקעה במכונה לחימום נקניק בעלות של 500,000 ש״ח. </t>
  </si>
  <si>
    <t>הפרויקט ידרוש תשלום שכר עבודה ל-2 עובדים חדשים שיגוייסו רק לתקופת הפרויקט, בעלות 20,000 ש״ח לעובד לשנה.</t>
  </si>
  <si>
    <t xml:space="preserve">כמו כן, תקצה החברה לפרויקט עובד קיים, קבוע, שלא ניתן לפטרו ועלות השכר שלו 80,000 ש״ח לשנה. </t>
  </si>
  <si>
    <t xml:space="preserve">עלויות שנתיות שוטפות נוספות (חומרי גלם וכיו״ב) לפרויקט הן בסך 35,000 ש״ח לשנה. </t>
  </si>
  <si>
    <t>החברה צופה שההכנסות השנתיות מהפרויקט יתחילו בתום השנה ה-2 בסכום קבוע של 200,000 ש״ח לשנה (בתום</t>
  </si>
  <si>
    <t xml:space="preserve">כל אחת מהשנים 2, 3, 4, 5). </t>
  </si>
  <si>
    <t>החברה כפופה למס חברות בשיעור 25% לשנה.</t>
  </si>
  <si>
    <t>מחיר ההון של החברה הוא 10% לשנה.</t>
  </si>
  <si>
    <t xml:space="preserve">נדרש: הציגו את תזרימי המזומנים נטו של הפרויקט, חשבו את שוויו (NPV) וחוו דיעה בדבר כדאיותו. </t>
  </si>
  <si>
    <t>פרטים</t>
  </si>
  <si>
    <r>
      <rPr>
        <b/>
        <sz val="12"/>
        <color rgb="FFFF0000"/>
        <rFont val="David"/>
        <family val="2"/>
        <charset val="177"/>
      </rPr>
      <t>אורך החיים של הפרויקט הוא 5 שנים</t>
    </r>
    <r>
      <rPr>
        <sz val="12"/>
        <color theme="1"/>
        <rFont val="David"/>
        <family val="2"/>
        <charset val="177"/>
      </rPr>
      <t xml:space="preserve">, אך תקופת ההפחתה של המכונה לצורך מס היא 4 שנים. </t>
    </r>
  </si>
  <si>
    <t>בניתי טבלה לייצוג התזרימים מ-0 עד 5 כי משך הפרויקט 5 שנים</t>
  </si>
  <si>
    <r>
      <t xml:space="preserve">עלות </t>
    </r>
    <r>
      <rPr>
        <u/>
        <sz val="12"/>
        <color theme="1"/>
        <rFont val="David"/>
        <family val="2"/>
        <charset val="177"/>
      </rPr>
      <t>היסטורית</t>
    </r>
    <r>
      <rPr>
        <sz val="12"/>
        <color theme="1"/>
        <rFont val="David"/>
        <family val="2"/>
        <charset val="177"/>
      </rPr>
      <t xml:space="preserve"> של כלכלן (*)</t>
    </r>
  </si>
  <si>
    <t>לא רלוונטי</t>
  </si>
  <si>
    <r>
      <t xml:space="preserve">כדי לבחון כדאיות פרויקטים, נרצה לדעת תמיד את ההשפעה של ביצועם על תזרימי המזומנים </t>
    </r>
    <r>
      <rPr>
        <b/>
        <u/>
        <sz val="12"/>
        <color theme="1"/>
        <rFont val="David"/>
        <family val="2"/>
        <charset val="177"/>
      </rPr>
      <t>העתידיים</t>
    </r>
    <r>
      <rPr>
        <sz val="12"/>
        <color theme="1"/>
        <rFont val="David"/>
        <family val="2"/>
        <charset val="177"/>
      </rPr>
      <t xml:space="preserve">. </t>
    </r>
  </si>
  <si>
    <t xml:space="preserve">עלות היסטורית שכבר נוצרה, ולא ניתן להשפיע עליה - היא לא רלוונטית לקבלת החלטות (עלות שקועה - Sunk Cost). </t>
  </si>
  <si>
    <t>עלות היסטורית של כלכלן - הסבר - מדוע לא רלוונטית:</t>
  </si>
  <si>
    <t>השקעה במכונה</t>
  </si>
  <si>
    <t>השקעה במכונה:</t>
  </si>
  <si>
    <t xml:space="preserve">כאשר לצורך ביצוע פרויקט נדרש לרכוש מכונות / ציוד / כלי רכב / מבנים / מחשבים וכו׳ - פריטי רכוש קבוע, </t>
  </si>
  <si>
    <t xml:space="preserve">כברירת מחדל - יש לשלם בעדם מיד (בזמן 0). נרשום את מלוא עלותם במועד הרכישה בסימן שלילי. </t>
  </si>
  <si>
    <t>מגן המס על הפחת</t>
  </si>
  <si>
    <t>מגן המס על הפחת:</t>
  </si>
  <si>
    <t>כאשר חברה רוכשת ציוד, למשל כאן - בעלות 500,000 ש״ח, ותקופת הפחתתו הנתונה 4 שנים, הרי שכברירת מחדל,</t>
  </si>
  <si>
    <t xml:space="preserve">החברה תדווח על הוצאות פחת שנתיות לפי 125,000 ש״ח = 4 / 500,000. </t>
  </si>
  <si>
    <t xml:space="preserve">במלים: עלות הנכס מחולקת בתקופת הפחתתו אלו הוצאות הפחת לשנה. </t>
  </si>
  <si>
    <t xml:space="preserve">הפחת עצמו איננו תזרים (הוא לא כסף אמיתי שיוצא מהקופה). הוא רק משקף כעין ״ירידת ערך״. </t>
  </si>
  <si>
    <t xml:space="preserve">אלא שלאור הדיווח על ההוצאה בגין פחת - רשות המסים מעניקה לנו זיכוי מס / החזר מס: </t>
  </si>
  <si>
    <t>בכל שנה ושנה שבה מדווח הפחת החברה תקבל זיכוי מס בגובה:</t>
  </si>
  <si>
    <t xml:space="preserve">הוצאות פחת </t>
  </si>
  <si>
    <t xml:space="preserve">500,000 / 4 = </t>
  </si>
  <si>
    <t>עלות הפריט</t>
  </si>
  <si>
    <r>
      <t xml:space="preserve">תקופת הפחתתו </t>
    </r>
    <r>
      <rPr>
        <u/>
        <sz val="12"/>
        <color theme="1"/>
        <rFont val="David"/>
        <family val="2"/>
        <charset val="177"/>
      </rPr>
      <t>לצורך מס</t>
    </r>
  </si>
  <si>
    <t>כי המטרה היא לחשב את זיכוי המס</t>
  </si>
  <si>
    <t>שיעור מס</t>
  </si>
  <si>
    <t>נתון:</t>
  </si>
  <si>
    <t xml:space="preserve">125,000 * 25% = </t>
  </si>
  <si>
    <t xml:space="preserve">בטבלה: בכל אחת מהשנים 1-4 (תקופת הפחת ותקופת הזיכוי היא 4 שנים לצורך מס) נשבץ את מגן המס על </t>
  </si>
  <si>
    <t xml:space="preserve">הפחת / זיכוי המס בסכום של 31,250 ש״ח לשנה. בסימן חיובי. </t>
  </si>
  <si>
    <t>רווח נטו אחרי מס</t>
  </si>
  <si>
    <t>רווח נטו אחרי מס:</t>
  </si>
  <si>
    <t>הרווח נטו אחרי מס מתבסס על כל ההכנסות (בסימן חיובי) בניכוי כל ההוצאות התזרימיות (עלויות שוטפות שמשולמות</t>
  </si>
  <si>
    <t xml:space="preserve">בכסף אמיתי, כלומר ללא פחת) - ואותו כופלים באחת פחות שיעור המס. </t>
  </si>
  <si>
    <t xml:space="preserve">בשנה ה-1 כנתון, אין הכנסות אלא רק הוצאות. </t>
  </si>
  <si>
    <t>ההוצאות בגין שכר העבודה של העובד הקיים הקבוע - לא רלוונטיות (כי נשלם לו בכל מקרה, הוא לא</t>
  </si>
  <si>
    <t xml:space="preserve">תזרים שנובע מביצוע הפרויקט). </t>
  </si>
  <si>
    <t>תזכורת - נתון ששיעור המס 25%, שמועסקים 2 עובדים חדשים לפי 20,000 לשנה לעובד, ועלות</t>
  </si>
  <si>
    <t xml:space="preserve">חומרי הגלם לשנה 35,000 ש״ח. </t>
  </si>
  <si>
    <t>לכן התזרים בשנה ה-1: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</si>
  <si>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(-2 * 20,000 - 35,0000) * (1 - 25%) = </t>
    </r>
  </si>
  <si>
    <t>עלות (במינוס) השכר השנתי (20,000)</t>
  </si>
  <si>
    <t>של שני עובדים (2)</t>
  </si>
  <si>
    <t>עלות שנתית</t>
  </si>
  <si>
    <t>חומר גלם</t>
  </si>
  <si>
    <t xml:space="preserve">סך הרווח / ההפסד </t>
  </si>
  <si>
    <t>מוכפל ב-1 פחות המס</t>
  </si>
  <si>
    <t>כדי לבטא ערכו נטו</t>
  </si>
  <si>
    <t>בשנים 2, 3, 4, 5 העלויות (במינוס) זהות,</t>
  </si>
  <si>
    <t>אך בנוסף יש הכנסות בסימן חיובי בסך 200,000 לשנה:</t>
  </si>
  <si>
    <t>התזרים בכל אחת מהשנים 2-5:</t>
  </si>
  <si>
    <t>בסימן חיובי</t>
  </si>
  <si>
    <t>כאשר יש נתוני הכנסה נתייחס אליהם</t>
  </si>
  <si>
    <t>עלויות שנתיות עובדים חדשים לפי 2 עובדים</t>
  </si>
  <si>
    <t>כפול 20,000 עלות לשנה (עלות במינוס)</t>
  </si>
  <si>
    <t>חומרי גלם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</si>
  <si>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(200,000 - 2*20,000 - 35,000) * (1 - 25%) = </t>
    </r>
  </si>
  <si>
    <t>כופלים את</t>
  </si>
  <si>
    <t>הרווח ב-1</t>
  </si>
  <si>
    <t>פחות המס</t>
  </si>
  <si>
    <t>לבטא ערכו</t>
  </si>
  <si>
    <t>נטו</t>
  </si>
  <si>
    <t>סה״כ תזרים נטו</t>
  </si>
  <si>
    <t>מחיר ההון</t>
  </si>
  <si>
    <t>Csh. D.Editor       &gt;&gt;&gt;&gt;</t>
  </si>
  <si>
    <t>&lt;&lt;&lt;ESC&lt;&lt;&lt;</t>
  </si>
  <si>
    <t xml:space="preserve">Solve NPV = </t>
  </si>
  <si>
    <t>ה-NPV שלילי,</t>
  </si>
  <si>
    <t xml:space="preserve">לא כדאי לבצע את הפרויקט. </t>
  </si>
  <si>
    <t>דוגמת המחשה ראשונית - עבודת כיתה - בניית תזרימי מזומנים</t>
  </si>
  <si>
    <t xml:space="preserve">ד״ר צבאן בע״מ (להלן: ״החברה״) שוקלת לבצע פרויקט. </t>
  </si>
  <si>
    <t xml:space="preserve">הסכום ישולם לו בפועל רק בשנה הבאה, אך החברה לא יכולה להמנע מהתשלום לו. </t>
  </si>
  <si>
    <t>להלן הנתונים שמסר הכלכלן:</t>
  </si>
  <si>
    <t xml:space="preserve">לפטרם. </t>
  </si>
  <si>
    <t>ה. הפרויקט ידרוש שימוש בקרקע קיימת שכרגע מושכרת ללקוח בתמורה ל-40,000 ש״ח בשנה. בתקופת הביצוע,</t>
  </si>
  <si>
    <t xml:space="preserve">החברה לא תקבל הכנסות שכירות אלו. </t>
  </si>
  <si>
    <t xml:space="preserve">ו. החברה כפופה למס חברות בשיעור 25%, ומחיר ההון שלה 8% לשנה. </t>
  </si>
  <si>
    <t xml:space="preserve">נדרש: חשבו את ה-NPV של הפרויקט, וחוו דיעה בדבר כדאיותו. </t>
  </si>
  <si>
    <t xml:space="preserve">מהשנים הבאות. </t>
  </si>
  <si>
    <t>השקעה</t>
  </si>
  <si>
    <t>(-)</t>
  </si>
  <si>
    <t>בכל שנה עד תום תקופת ההפחתה: חיובי: עלות השקעה חלקי תקופת הפחתה כפול אחוז המס</t>
  </si>
  <si>
    <t>מגן מס על הפחת - לפי נתוני ״לצורך מס״</t>
  </si>
  <si>
    <t>רווח נטו</t>
  </si>
  <si>
    <t>בכל שנה: הכנסות שנתיות, בניכוי עלויות שנתיות ללא פחת ועלויות קבועות - כפול אחת פחות אחוז המס</t>
  </si>
  <si>
    <t>תזרים נטו</t>
  </si>
  <si>
    <t>סיכום הערכים בכל אחת מהשנים - יכול להיות חיובי / שלילי</t>
  </si>
  <si>
    <r>
      <rPr>
        <u/>
        <sz val="12"/>
        <color theme="1"/>
        <rFont val="David"/>
        <family val="2"/>
        <charset val="177"/>
      </rPr>
      <t>בשנה האחרונה</t>
    </r>
    <r>
      <rPr>
        <sz val="12"/>
        <color theme="1"/>
        <rFont val="David"/>
        <family val="2"/>
        <charset val="177"/>
      </rPr>
      <t xml:space="preserve"> עבד יועץ כלכלי ששכרה החברה כדי לאמוד את </t>
    </r>
    <r>
      <rPr>
        <sz val="12"/>
        <color rgb="FFFF0000"/>
        <rFont val="David"/>
        <family val="2"/>
        <charset val="177"/>
      </rPr>
      <t>נתוני הפרויקט בעלות של 80,000 ש״ח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</si>
  <si>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א. הפרויקט ידרוש </t>
    </r>
    <r>
      <rPr>
        <sz val="12"/>
        <color rgb="FFFF0000"/>
        <rFont val="David"/>
        <family val="2"/>
        <charset val="177"/>
      </rPr>
      <t>השקעה במכונה בעלות של 300,000 ש״ח</t>
    </r>
    <r>
      <rPr>
        <sz val="12"/>
        <color theme="1"/>
        <rFont val="David"/>
        <family val="2"/>
        <charset val="177"/>
      </rPr>
      <t xml:space="preserve"> שתקופת הפחתתה לצרכים חשבונאיים היא שנתיים, </t>
    </r>
  </si>
  <si>
    <r>
      <t xml:space="preserve">אך </t>
    </r>
    <r>
      <rPr>
        <sz val="12"/>
        <color rgb="FFFF0000"/>
        <rFont val="David"/>
        <family val="2"/>
        <charset val="177"/>
      </rPr>
      <t>תקופת הפחתתה לצורך מס היא 4 שנים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</si>
  <si>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הפרויקט ידרוש </t>
    </r>
    <r>
      <rPr>
        <u/>
        <sz val="12"/>
        <color rgb="FFFF0000"/>
        <rFont val="David"/>
        <family val="2"/>
        <charset val="177"/>
      </rPr>
      <t>להקצות</t>
    </r>
    <r>
      <rPr>
        <sz val="12"/>
        <color theme="1"/>
        <rFont val="David"/>
        <family val="2"/>
        <charset val="177"/>
      </rPr>
      <t xml:space="preserve"> לפרויקט 3 </t>
    </r>
    <r>
      <rPr>
        <u/>
        <sz val="12"/>
        <color rgb="FFFF0000"/>
        <rFont val="David"/>
        <family val="2"/>
        <charset val="177"/>
      </rPr>
      <t>עובדים קבועים</t>
    </r>
    <r>
      <rPr>
        <sz val="12"/>
        <color theme="1"/>
        <rFont val="David"/>
        <family val="2"/>
        <charset val="177"/>
      </rPr>
      <t>, שעלות השכר של כל אחד מהם 30,000 ש״ח לשנה, ולא ניתן</t>
    </r>
  </si>
  <si>
    <r>
      <t xml:space="preserve">ג. </t>
    </r>
    <r>
      <rPr>
        <sz val="12"/>
        <color rgb="FFFF0000"/>
        <rFont val="David"/>
        <family val="2"/>
        <charset val="177"/>
      </rPr>
      <t>ההכנסות</t>
    </r>
    <r>
      <rPr>
        <sz val="12"/>
        <color theme="1"/>
        <rFont val="David"/>
        <family val="2"/>
        <charset val="177"/>
      </rPr>
      <t xml:space="preserve"> השנתיות מהפרויקט צפויות להיות </t>
    </r>
    <r>
      <rPr>
        <sz val="12"/>
        <color rgb="FFFF0000"/>
        <rFont val="David"/>
        <family val="2"/>
        <charset val="177"/>
      </rPr>
      <t>200,000 ש״ח בתום השנה הראשונה, ו-70,000 ש״ח בתום כל אחת</t>
    </r>
  </si>
  <si>
    <r>
      <t xml:space="preserve">ד. הפרויקט ידרוש </t>
    </r>
    <r>
      <rPr>
        <sz val="12"/>
        <color rgb="FFFF0000"/>
        <rFont val="David"/>
        <family val="2"/>
        <charset val="177"/>
      </rPr>
      <t>עלויות שוטפות נוספות</t>
    </r>
    <r>
      <rPr>
        <sz val="12"/>
        <color theme="1"/>
        <rFont val="David"/>
        <family val="2"/>
        <charset val="177"/>
      </rPr>
      <t xml:space="preserve"> לטובת הביצוע, </t>
    </r>
    <r>
      <rPr>
        <sz val="12"/>
        <color rgb="FFFF0000"/>
        <rFont val="David"/>
        <family val="2"/>
        <charset val="177"/>
      </rPr>
      <t>בסך של</t>
    </r>
    <r>
      <rPr>
        <sz val="12"/>
        <color theme="1"/>
        <rFont val="David"/>
        <family val="2"/>
        <charset val="177"/>
      </rPr>
      <t xml:space="preserve"> 70,000 ש״ח בשנה הראשונה, ו-25,000 ש״ח </t>
    </r>
  </si>
  <si>
    <r>
      <t>בתום כל שנה עוקבת (</t>
    </r>
    <r>
      <rPr>
        <u/>
        <sz val="12"/>
        <color rgb="FFFF0000"/>
        <rFont val="David"/>
        <family val="2"/>
        <charset val="177"/>
      </rPr>
      <t>עד וכולל תום השנה ה-6</t>
    </r>
    <r>
      <rPr>
        <sz val="12"/>
        <color theme="1"/>
        <rFont val="David"/>
        <family val="2"/>
        <charset val="177"/>
      </rPr>
      <t xml:space="preserve">). </t>
    </r>
  </si>
  <si>
    <t>תבנית מאד כללית:</t>
  </si>
  <si>
    <t>חישוב בפועל והסברים:</t>
  </si>
  <si>
    <t xml:space="preserve">I% = </t>
  </si>
  <si>
    <t>Csh. D. Editor</t>
  </si>
  <si>
    <t>הסברים נוספים לאופן הטיפול בנתונים:</t>
  </si>
  <si>
    <t>במלים אחרות - אם עבודה מסוימת כבר בוצעה בעבר, לא משנה מתי שילמנו / נשלם עליה - התשלום יבוצע ללא קשר לפרויקט;</t>
  </si>
  <si>
    <t xml:space="preserve">כל נתון היסטורי ו/או תשלום שנובע מעבודה היסטורית הוא בגדר ״עלות שקועה״ שלא תשפיע על ההחלטה. </t>
  </si>
  <si>
    <r>
      <t xml:space="preserve">נתון זה </t>
    </r>
    <r>
      <rPr>
        <b/>
        <sz val="12"/>
        <color theme="1"/>
        <rFont val="David"/>
        <family val="2"/>
        <charset val="177"/>
      </rPr>
      <t>איננו רלוונטי</t>
    </r>
    <r>
      <rPr>
        <sz val="12"/>
        <color theme="1"/>
        <rFont val="David"/>
        <family val="2"/>
        <charset val="177"/>
      </rPr>
      <t>. מדוע? משום שכדי להעריך כדאיות פרויקט, עלינו להבין מהם התזרימים הנובעים מקבלת ההחלטה על ביצועו.</t>
    </r>
  </si>
  <si>
    <t>הסבר / טיפול:</t>
  </si>
  <si>
    <t xml:space="preserve">בנוסף נתון ששיעור המס 25%. </t>
  </si>
  <si>
    <t xml:space="preserve">במועד ההשקעה (זמן אפס) תזרים שלילי של 300,000. </t>
  </si>
  <si>
    <t>בכל אחת מ-4 השנים לאחר מכן - תקופת הפחתה לצורך מס - זכאים לקבל את ״מגן המס״ שמחושב לפי:</t>
  </si>
  <si>
    <t xml:space="preserve">300,000 / 4 * 25% = </t>
  </si>
  <si>
    <t>עלות ההשקעה</t>
  </si>
  <si>
    <t>תקופת ההפחתה לצורך מס</t>
  </si>
  <si>
    <t>שיעור המס</t>
  </si>
  <si>
    <t xml:space="preserve">וזיכוי המס נקבע לפי אופן ההפחתה עבור רשות המסים. </t>
  </si>
  <si>
    <r>
      <t xml:space="preserve">הערה: </t>
    </r>
    <r>
      <rPr>
        <sz val="12"/>
        <color rgb="FFFF0000"/>
        <rFont val="David"/>
        <family val="2"/>
        <charset val="177"/>
      </rPr>
      <t>תקופת הפחתה לצרכים חשבונאיים איננה רלוונטית לדיון כלל</t>
    </r>
    <r>
      <rPr>
        <sz val="12"/>
        <color theme="1"/>
        <rFont val="David"/>
        <family val="2"/>
        <charset val="177"/>
      </rPr>
      <t>. המטרה שלנו היא לחשב את זיכוי המס השנתי - כסף אמיתי.</t>
    </r>
  </si>
  <si>
    <t>ולא גיוס הכוונה היא שזה עובד קיים ואתה רק משייך אותו לפרויקט, לא בסכום כספי חדש שאתה צריך לשלם) - אזי אין שינוי</t>
  </si>
  <si>
    <t xml:space="preserve">תזרימי ולא מתייחסים לנתון. </t>
  </si>
  <si>
    <t>זכרו: בחישוב תזרימי פרויקט, אנו כוללים תמיד רק את השינויים בתזרים הנובעים מביצועו. אם יש עלות / הכנסה שתתחולל</t>
  </si>
  <si>
    <t xml:space="preserve">בכל מקרה, בין אם נבצע את הפרויקט בין אם לאו, היא לא רלוונטית. </t>
  </si>
  <si>
    <t>נתוני הכנסות והוצאות שוטפות (כולל אובדן הכנסות):</t>
  </si>
  <si>
    <t>תזכורת: שיעור המס 25%</t>
  </si>
  <si>
    <t>כל ההכנסות השוטפות מהפרויקט בסימן חיובי, בניכוי כל העלויות השוטפות של הפרויקט בסימן שלילי - מהוות את הרווח,</t>
  </si>
  <si>
    <t xml:space="preserve">שכדי לבטא את סכומו נטו, אחרי מס, נכפול אותו ב-1 פחות שיעור המס. </t>
  </si>
  <si>
    <t>(הכנסות</t>
  </si>
  <si>
    <t>-</t>
  </si>
  <si>
    <t>עלויות שוטפות</t>
  </si>
  <si>
    <t>ללא פחת</t>
  </si>
  <si>
    <t>וכולל</t>
  </si>
  <si>
    <t>אובדן הכנסות</t>
  </si>
  <si>
    <t xml:space="preserve">) * (1 - שיעור המס) = </t>
  </si>
  <si>
    <t>בשנה ה-1:</t>
  </si>
  <si>
    <t xml:space="preserve">(200,000 - 70,000 - 40,000) * (1 - 25%) = </t>
  </si>
  <si>
    <t>הכנסה בשנה ה-1</t>
  </si>
  <si>
    <t>עלות שוטפת בשנה ה-1</t>
  </si>
  <si>
    <r>
      <t xml:space="preserve">נתון זה </t>
    </r>
    <r>
      <rPr>
        <sz val="12"/>
        <color rgb="FFFF0000"/>
        <rFont val="David"/>
        <family val="2"/>
        <charset val="177"/>
      </rPr>
      <t>לא רלוונטי</t>
    </r>
    <r>
      <rPr>
        <sz val="12"/>
        <color theme="1"/>
        <rFont val="David"/>
        <family val="2"/>
        <charset val="177"/>
      </rPr>
      <t xml:space="preserve"> (נתון סרק). הואיל ומדובר בעובדים קבועים - כאלו שלא ניתן לפטר אותם, והם כבר קיימים (כשכתוב הקצאה</t>
    </r>
  </si>
  <si>
    <t>גם אובדן הכנסות מפרויקטים אחרים - מטופל כעלות שוטפת</t>
  </si>
  <si>
    <t>בשנים 2 - 6:</t>
  </si>
  <si>
    <t xml:space="preserve">(70,000 - 25,000 - 40,000) * (1 - 25%) = </t>
  </si>
  <si>
    <t>הכנסה שנתית בכל אחת מהשנים 2 - 6</t>
  </si>
  <si>
    <t>עלות שוטפת שנתית בכל אחת מהשנים 2 - 6</t>
  </si>
  <si>
    <t>אובדן הכנסות מפרויקטים אחרים - בכל אחת מהשנים 2 - 6</t>
  </si>
  <si>
    <t>שימו לב, חשוב מאד להתייחס לכל שנה / כל נקודת זמן בנפרד; אין לחבר ערכים של הכנסות / הוצאות בשנים שונות.</t>
  </si>
  <si>
    <t>תזכורת:
שכר עובדים
קבועים
לא רלוונטי
כי ישולם 
בכל מקרה</t>
  </si>
  <si>
    <t>הואיל וה-NPV שלילי,</t>
  </si>
  <si>
    <t xml:space="preserve">הפרויקט איננו כדאי. </t>
  </si>
  <si>
    <t>שיעור 11 - השלמה תוכנית קטנה לגבי תזרים מזומנים ורווח הון, והתחלת חזרה לבחינה</t>
  </si>
  <si>
    <t>שאלה</t>
  </si>
  <si>
    <t>נושא</t>
  </si>
  <si>
    <t>דגשים</t>
  </si>
  <si>
    <t>הלוואות - לוח שפיצר - כל הסעיפים שהוצגו</t>
  </si>
  <si>
    <t>חילוץ ריבית מהסדר תשלומים</t>
  </si>
  <si>
    <t>איזון אקטוארי: הפקדות ומשיכות</t>
  </si>
  <si>
    <t>חישובי ריבית אפקטיבית</t>
  </si>
  <si>
    <t>חישובי פרויקטים: NPV, IRR, לפי מה מכריעים</t>
  </si>
  <si>
    <t>תזרימי מזומנים לתכניות השקעה</t>
  </si>
  <si>
    <t>מספר רב של שינויי ריבית, תדירות וסכומים</t>
  </si>
  <si>
    <t>תרגיל פשוט = מספר קטן יחסית של שינויי ריבית, תדירות וסכומים</t>
  </si>
  <si>
    <t>תרגיל פשוט = מספר מצומצם יחסית של שינויי ריבית, תדירות וסכומים</t>
  </si>
  <si>
    <t>חישוב תשלום תקופתי; חישוב ריבית לתקופת תשלום (כשהיא נקובה וכשהיא אפקטיבית)</t>
  </si>
  <si>
    <t>חילוץ ריבית מהסדר תשלומים והעיקרון של שווי נטו לשם חילוץ</t>
  </si>
  <si>
    <t>בוחרים בחלופה שבה הערך הנוכחי של התשלומים הוא הנמוך ביותר</t>
  </si>
  <si>
    <t>כולל חילוץ סכום ההפקדות הנדרש למטרה מוגדרת, כולל מקרה עם / ללא יתרה בסוף התהליך</t>
  </si>
  <si>
    <t>ריבית נקובה, ריבית דריבית, ריבית מראש, המרות</t>
  </si>
  <si>
    <t>חישוב NPV ו-IRR כשאפשר לבצע ללא מגבלה, סתירות והגורמים להן</t>
  </si>
  <si>
    <t>כל הסוגיות: עלויות לא רלוונטיות (שקועות / הקצאה), השקעות, פחת</t>
  </si>
  <si>
    <t>הכנסות והוצאות, רווח / הפסד הון, הון חוזר</t>
  </si>
  <si>
    <t>מבחנים לדוגמא:</t>
  </si>
  <si>
    <t>מבחן לדוגמה 1 - באתר עם פתרון מזה כשבוע. הפתרון סופר מפורט, תלמדו אותו טוב.</t>
  </si>
  <si>
    <t>מבחן לדוגמה 2 - באתר עם פתרון מהיום. נעבור על חלקים נבחרים ממנו ככל שנספיק.</t>
  </si>
  <si>
    <t xml:space="preserve">מבחן לדוגמה 3 - יעלה לקראת המפגש הבא. </t>
  </si>
  <si>
    <t xml:space="preserve">מבחן לדוגמה 4 - יעלה לאחר המפגש הבא. </t>
  </si>
  <si>
    <t>תרגיל מרכזי 1 חשוב להיום - תזרימי מזומנים רמת מבחן עם כל הסוגיות הרלוונטיות</t>
  </si>
  <si>
    <t>חברה שוקלת לבצע פרויקט. לשם בחינת נתוניו שילמה לד״ר צבאן עבור מחקר שוק מעמיק סכום של 90,000 ש״ח. בנוסף, תנאי התשלום מכתיבים שעבור העבודה</t>
  </si>
  <si>
    <t>שכאמור כבר בוצעה, תשלם לד״ר צבאן סכום נוסף של 150,000 ש״ח בעוד שנתיים.</t>
  </si>
  <si>
    <t>להלן נתוני הפרויקט:</t>
  </si>
  <si>
    <t xml:space="preserve">א. הפרויקט ידרוש השקעה במכונה לחימום נקניק שעלותה 300,000 ש״ח. המכונה מופחתת לצרכים חשבונאיים על פני 3 שנים אך לצורך מס המכונה מופחתת </t>
  </si>
  <si>
    <t xml:space="preserve">במשך 8 שנים, וזאת למרות שמשך הפרויקט הוא 6 שנים. </t>
  </si>
  <si>
    <t xml:space="preserve">ג. ההכנסות השנתיות הצפויות בפרויקט הן בסכום של 100,000 ש״ח בכל אחת מהשנתיים הראשונות של הפרויקט, ו-250,000 ש״ח בכל שנה עוקבת. </t>
  </si>
  <si>
    <t>ד. ההוצאות השנתיות מהפרויקט לדברי החברה כוללות שימוש בחומרי גלם שיירכש לטובת הפרויקט בעלות 80,000 ש״ח לשנה, שכר עבודה לעובדים זמניים</t>
  </si>
  <si>
    <t>שיגוייסו לתקופת הפרויקט בלבד בסך 20,000 ש״ח לשנה, והקצאת עובדים קבועים שלא ניתן לפטרם שעלות שכרם 60,000 ש״ח לשנה.</t>
  </si>
  <si>
    <t xml:space="preserve">ה. ביצוע הפרויקט יוביל לפגיעה בהכנסות מפרויקטים אחרים בסכום של 25,000 ש״ח לשנה, וכן יגדיל הוצאות בפרויקטים אחרים בסך 10,000 ש״ח לשנה. </t>
  </si>
  <si>
    <t>ז. מחיר ההון של החברה הוא 8% לשנה.</t>
  </si>
  <si>
    <t xml:space="preserve">נדרש: חשבו את ה- NPV של הפרויקט וחוו דעתכם בדבר כדאיותו. </t>
  </si>
  <si>
    <t>תרגיל מרכזי 2 חשוב להיום - הפקדות ומשיכות / פנסיה</t>
  </si>
  <si>
    <t xml:space="preserve">משי בת 20 היום וברצונה להפקיד בתום כל חודש סכום קבוע לפנסיה, במשך 40 שנים. </t>
  </si>
  <si>
    <t>לאחר מכן, החל מגיל 60 וחודש, תבצע 200 משיכות חודשיות בסכום של 14,000 ש״ח לחודש כקצבת פנסיה.</t>
  </si>
  <si>
    <t>הריבית החודשית בקרן הפנסיה היא 1%.</t>
  </si>
  <si>
    <t>כמו כן, משי מעוניינת שלאחר המשיכה ה-200 יוותרו בקרן הפנסיה 300,000 ש״ח.</t>
  </si>
  <si>
    <t>נדרש: בנתונים אלו, מהי ההפקדה החודשית הנדרשת אותה תצטרך לבצע משי במשך 40 השנים?</t>
  </si>
  <si>
    <t>מקום פתוח להתייחסות לשאלות הקהל לגבי המבחן (ברמת המנהלות בלבד, בנושאים מקצועיים נטפל אחרי השלמת השפיצים הקטנים של החומר)</t>
  </si>
  <si>
    <t>דף השער של הבחינה (קופי פייסט - אשכרה הבחינה האמיתית):</t>
  </si>
  <si>
    <t>בכל המועדים של סמסטר 2025ג (א, ב, חריג) - מבנה הבחינה ונושאיה זהה. היא מחולקת כדלקמן:</t>
  </si>
  <si>
    <t>ערך עתידי - FV - פשוט יחסית</t>
  </si>
  <si>
    <t>ערך עתידי  - FV - מורכב</t>
  </si>
  <si>
    <t>ערך נוכחי - PV - פשוט יחסית</t>
  </si>
  <si>
    <t>ערך נוכחי - PV - מורכב</t>
  </si>
  <si>
    <t>״מהו הסכום שיעמוד לרשותך בעתיד...״</t>
  </si>
  <si>
    <t>״מהו הסכום שתצטרך להחזיר בעוד...״</t>
  </si>
  <si>
    <t>״מהו הערך הנוכחי״</t>
  </si>
  <si>
    <t>״מה השווי היום / מה הסכום שתדרוש היום״</t>
  </si>
  <si>
    <t>ראו שיעור 6, שורה 64</t>
  </si>
  <si>
    <t>שיעור 6</t>
  </si>
  <si>
    <t>ערך נוכחי PV-ככלי לבחירה בין חלופות תשלומים בעד מוצר</t>
  </si>
  <si>
    <t xml:space="preserve">ח. הפרויקט דורש השקעה בהון חוזר בסך 50,000 ש״ח. </t>
  </si>
  <si>
    <t>טיפים:</t>
  </si>
  <si>
    <t>ראשית, כדאי לזהות לכמה שנים הפרויקט. הדבר יקבע כמה עמודות</t>
  </si>
  <si>
    <t xml:space="preserve">יהיו בטבלה שנייצר כדי לפתור. </t>
  </si>
  <si>
    <t xml:space="preserve">נתחיל מ-0 עד מספר השנים של הפרויקט. </t>
  </si>
  <si>
    <t>עלויות שנוצרו בעבר וגם עלויות שישולמו בעתיד עבור עבודה שכבר</t>
  </si>
  <si>
    <t>נעשתה בעבר, אינן רלוונטיות.</t>
  </si>
  <si>
    <t>מגן מס-פחת</t>
  </si>
  <si>
    <t>לגבי מגן המס על הפחת: לפי ההגדרה מתבסס על עלות ההשקעה: 300,000</t>
  </si>
  <si>
    <t>המחולקת בתקופת ההפחתה לצורך מס (8 שנים), וכל זה כפול שיעור</t>
  </si>
  <si>
    <t>מס החברות (30%). כלומר:</t>
  </si>
  <si>
    <t>300,000 / 8 * 30% = 11,250</t>
  </si>
  <si>
    <t>לגבי מכירת ההשקעה:</t>
  </si>
  <si>
    <t>תמורת המכירה כנתון היא 20% מהעלות: 60,000 = 20% * 300,000</t>
  </si>
  <si>
    <t>כדי לדעת כמה מס ירד מהמכירה הזו עלינו לחשב את רווח ההון (רווח</t>
  </si>
  <si>
    <t xml:space="preserve">ממכירת השקעה). </t>
  </si>
  <si>
    <t>תמורה:</t>
  </si>
  <si>
    <t>בניכוי עלות מופחתת ערב המכירה (עלות בניכוי פחת נצבר):</t>
  </si>
  <si>
    <t xml:space="preserve">300,000 - 300,000/8 * 6 = </t>
  </si>
  <si>
    <t>רווח / הפסד הון - כאן - ההפרש שלילי - הפסד הון:</t>
  </si>
  <si>
    <t>על ההפסד הזה מקבלים זיכוי מס לפי מכפלת ההפסד בשיעור מס רווח הון:</t>
  </si>
  <si>
    <t xml:space="preserve">15,000 * 20% = </t>
  </si>
  <si>
    <t>אז בתכל׳ס, כמה כסף נכנס לקופה במועד המכירה של ההשקעה?</t>
  </si>
  <si>
    <t>תמורה ברוטו מהקונה:</t>
  </si>
  <si>
    <t>בתוספת זיכוי מס בעד הפסד הון</t>
  </si>
  <si>
    <t>תמורה נטו:</t>
  </si>
  <si>
    <t>בדרך קיצור במשוואה אחת:</t>
  </si>
  <si>
    <t>ביטוי המס</t>
  </si>
  <si>
    <t>תמורה ברוטו, נתון</t>
  </si>
  <si>
    <t>תמורה ברוטו</t>
  </si>
  <si>
    <t>עלות מופחתת ערב המכירה:</t>
  </si>
  <si>
    <t>עלות בניכוי פחת לשנה כפול שנים עד המכירה</t>
  </si>
  <si>
    <t>שיעור</t>
  </si>
  <si>
    <t>מס</t>
  </si>
  <si>
    <t>רווח</t>
  </si>
  <si>
    <t>הון</t>
  </si>
  <si>
    <r>
      <rPr>
        <sz val="12"/>
        <color rgb="FFFF0000"/>
        <rFont val="David"/>
        <family val="2"/>
        <charset val="177"/>
      </rPr>
      <t>60,000</t>
    </r>
    <r>
      <rPr>
        <sz val="12"/>
        <color theme="1"/>
        <rFont val="David"/>
        <family val="2"/>
        <charset val="177"/>
      </rPr>
      <t xml:space="preserve"> - [</t>
    </r>
    <r>
      <rPr>
        <sz val="12"/>
        <color rgb="FFFF0000"/>
        <rFont val="David"/>
        <family val="2"/>
        <charset val="177"/>
      </rPr>
      <t>60,000</t>
    </r>
    <r>
      <rPr>
        <sz val="12"/>
        <color theme="1"/>
        <rFont val="David"/>
        <family val="2"/>
        <charset val="177"/>
      </rPr>
      <t xml:space="preserve"> - </t>
    </r>
    <r>
      <rPr>
        <sz val="12"/>
        <color rgb="FF00B050"/>
        <rFont val="David"/>
        <family val="2"/>
        <charset val="177"/>
      </rPr>
      <t>(300,000 - 300,000/8 * 6)</t>
    </r>
    <r>
      <rPr>
        <sz val="12"/>
        <color theme="1"/>
        <rFont val="David"/>
        <family val="2"/>
        <charset val="177"/>
      </rPr>
      <t>] * 20% = 63,000</t>
    </r>
  </si>
  <si>
    <t>הון חוזר</t>
  </si>
  <si>
    <t>סה״כ</t>
  </si>
  <si>
    <t>מכירת השקעה, סכום נטו - לאחר התחשבות במס רווח הון / הפסד הון</t>
  </si>
  <si>
    <t>תדריך מקוצר בעברית לנושא מכירת השעה ומס רווח הון:</t>
  </si>
  <si>
    <t xml:space="preserve">א. החלק המורכב ביותר - הוא העלות המופחתת (הביטוי בירוק - </t>
  </si>
  <si>
    <t xml:space="preserve">או - העלות בניכוי הפחת הנצבר). </t>
  </si>
  <si>
    <t>ב. ברגע שהעלות המופחתת ידועה, הסכום שנקבל נטו במכירת</t>
  </si>
  <si>
    <t>ההשקעה יהיה: התמורה ברוטו, בניכוי רווח / הפסד ההון (שהוא</t>
  </si>
  <si>
    <t>ההפרש בין התמורה לבין העלות המופחתת) וכל זה כפול שיעור</t>
  </si>
  <si>
    <t xml:space="preserve">מס רווח הון. </t>
  </si>
  <si>
    <t>לאחר שטבלת התזרימים ידועה, ניגש ל-CASH ונחשב NPV שהוא התשובה הסופית:</t>
  </si>
  <si>
    <t>מחיר ההון - נתון ז</t>
  </si>
  <si>
    <t>Csh. D. Editor &gt;&gt;&gt; EXE &gt;&gt;&gt;&gt;</t>
  </si>
  <si>
    <t>&lt;&lt;&lt;</t>
  </si>
  <si>
    <t>הואיל וה-NPV שלילי, הפרויקט לא כדאי.</t>
  </si>
  <si>
    <r>
      <t xml:space="preserve">ו. החברה כפופה למס חברות בשיעור 30% </t>
    </r>
    <r>
      <rPr>
        <b/>
        <sz val="12"/>
        <color rgb="FF00B050"/>
        <rFont val="David"/>
        <family val="2"/>
        <charset val="177"/>
      </rPr>
      <t>ולמס רווחי הון בשיעור 20%.</t>
    </r>
  </si>
  <si>
    <r>
      <t xml:space="preserve">ב. בסיום הפרויקט החברה צופה כי תוכל למכור את המכונה </t>
    </r>
    <r>
      <rPr>
        <b/>
        <sz val="12"/>
        <color rgb="FFFF0000"/>
        <rFont val="David"/>
        <family val="2"/>
        <charset val="177"/>
      </rPr>
      <t>בתמורה המהווה 20% מעלותה.</t>
    </r>
    <r>
      <rPr>
        <sz val="12"/>
        <color rgb="FFFF0000"/>
        <rFont val="David"/>
        <family val="2"/>
        <charset val="177"/>
      </rPr>
      <t xml:space="preserve"> </t>
    </r>
  </si>
  <si>
    <t>בכמה הרכוש הקבוע נמכר:</t>
  </si>
  <si>
    <t>נתון שיימכר ב-20% מעלותו</t>
  </si>
  <si>
    <t>אם נצטרך לשלם / לקבל החזר מס במכירת הרכוש</t>
  </si>
  <si>
    <t xml:space="preserve">הקבוע, לפי איזה שיעור מס זה יחושב: לפי </t>
  </si>
  <si>
    <t xml:space="preserve">שיעור מס רווח הון - שיעור מס שחל רק על רווח / </t>
  </si>
  <si>
    <t xml:space="preserve">הפסד ממכירת רכוש קבוע. </t>
  </si>
  <si>
    <t>תרגילון - דוגמה ספציפית לחיזוק ההבנה של אופן החישוב של התקבול במכירה בלבד, ורווח / הפסד הון</t>
  </si>
  <si>
    <t>לצורך פרויקט נדרש לרכוש השקעה בעלות של 500,000 ש״ח המופחתת לצורך מס על פני 10 שנים.</t>
  </si>
  <si>
    <t xml:space="preserve">משך הפרויקט 4 שנים ובסיומו ההשקעה תמכר בתמורה ל-390,000 ש״ח. </t>
  </si>
  <si>
    <t>הדרכה:</t>
  </si>
  <si>
    <t xml:space="preserve">א. חשבו את העלות המופחתת - עלות כוללת בניכוי פחת נצבר ל-4 שנים. </t>
  </si>
  <si>
    <t xml:space="preserve">ב. חשבו את ההפרש בין התמורה לבין העלות המופחתת - אם היא חיובית, זה רווח הון, אם היא שלילית - זה הפסד הון. </t>
  </si>
  <si>
    <t>לחילופין, תוכלו להשתמש בנוסחה הזו:</t>
  </si>
  <si>
    <r>
      <t xml:space="preserve">בהנחה ששיעור מס החברות הוא 30% ושיעור מס רווחי ההון הוא 15%, </t>
    </r>
    <r>
      <rPr>
        <b/>
        <sz val="12"/>
        <color theme="1"/>
        <rFont val="David"/>
        <family val="2"/>
        <charset val="177"/>
      </rPr>
      <t>חשבו את הסכום נטו (לאחר מס רווח הון) שיתקבל ממכירת המכונה בתום השנה ה-4.</t>
    </r>
  </si>
  <si>
    <t>תמורה: הסכום שבו מוכרים את ההשקעה</t>
  </si>
  <si>
    <t xml:space="preserve">ג. התמורה בניכוי רווח / הפסד ההון כפול שיעור מס רווח הון, היא התמורה נטו שנכלול בתזרים המזומנים. </t>
  </si>
  <si>
    <t>התשובה - הסכום בזמן 4.</t>
  </si>
  <si>
    <t>מקבילה לשאלה 11 בבחינה</t>
  </si>
  <si>
    <t>מקבילה לשאלה 8 במבחן</t>
  </si>
  <si>
    <t>ההפקדות כל חודש, לכן נדרשת ריבית חודשית.</t>
  </si>
  <si>
    <t>לשמחתנו, היא נתונה.</t>
  </si>
  <si>
    <t>אם היתה נתונה ריבית שנתית היינו צריכים להתאים אותה לשנה (עם חזקה 1/12).</t>
  </si>
  <si>
    <t>שימו לב, ייתכנו 2 סוגי שאלות בנושא איזון אקטוארי:</t>
  </si>
  <si>
    <r>
      <t xml:space="preserve">בשאלות </t>
    </r>
    <r>
      <rPr>
        <u/>
        <sz val="12"/>
        <color theme="2" tint="-0.249977111117893"/>
        <rFont val="David"/>
        <family val="2"/>
        <charset val="177"/>
      </rPr>
      <t>אחרות</t>
    </r>
    <r>
      <rPr>
        <sz val="12"/>
        <color theme="2" tint="-0.249977111117893"/>
        <rFont val="David"/>
        <family val="2"/>
        <charset val="177"/>
      </rPr>
      <t xml:space="preserve"> - אנו יודעים מה ההפקדות, ולא יודעים את המשיכות (ראו בשיעורים) לכן לוקחים את ההפקדות קדימה - מחשבים FV להפקדות ואז ממשיכים. </t>
    </r>
  </si>
  <si>
    <r>
      <t xml:space="preserve">בשאלות </t>
    </r>
    <r>
      <rPr>
        <b/>
        <sz val="12"/>
        <color theme="1"/>
        <rFont val="David"/>
        <family val="2"/>
        <charset val="177"/>
      </rPr>
      <t>כדוגמת זו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 xml:space="preserve">אנו יודעים מה </t>
    </r>
    <r>
      <rPr>
        <b/>
        <sz val="12"/>
        <color rgb="FF00B050"/>
        <rFont val="David"/>
        <family val="2"/>
        <charset val="177"/>
      </rPr>
      <t>המשיכות</t>
    </r>
    <r>
      <rPr>
        <sz val="12"/>
        <color theme="1"/>
        <rFont val="David"/>
        <family val="2"/>
        <charset val="177"/>
      </rPr>
      <t xml:space="preserve">, ולא יודעים את </t>
    </r>
    <r>
      <rPr>
        <b/>
        <sz val="12"/>
        <color rgb="FFFF0000"/>
        <rFont val="David"/>
        <family val="2"/>
        <charset val="177"/>
      </rPr>
      <t>ההפקדות</t>
    </r>
    <r>
      <rPr>
        <sz val="12"/>
        <color theme="1"/>
        <rFont val="David"/>
        <family val="2"/>
        <charset val="177"/>
      </rPr>
      <t xml:space="preserve">. לכן לוקחים את המשיכות אחורה - מחשבים PV למשיכות ואז ממשיכים. </t>
    </r>
  </si>
  <si>
    <t>PV משיכות</t>
  </si>
  <si>
    <t>FV הפקדות</t>
  </si>
  <si>
    <t>FV = 300,000</t>
  </si>
  <si>
    <t xml:space="preserve">תשובה סופית: משי תצטרך להפקיד בתום כל חודש 106.22 ש״ח. </t>
  </si>
  <si>
    <t>להתנסות</t>
  </si>
  <si>
    <t xml:space="preserve">מאי בת 22 היום ובכוונתה להפקיד בתום כל חודש במשך 30 שנה סכום קבוע. </t>
  </si>
  <si>
    <t xml:space="preserve">פרט לכך, תפקיד היום סכום חד פעמי של 40,000 ש״ח. </t>
  </si>
  <si>
    <t xml:space="preserve">בחלוף 30 השנים, תתחיל למשוך: המשיכות תבוצענה בתום כל חודש, במשך 50 שנה, בסכום של 55,000 ש״ח לחודש. </t>
  </si>
  <si>
    <t>בסיום תקופת המשיכות, מעוניינת מאי למשוך סכום חד פעמי נוסף של 1,000,000 ש״ח.</t>
  </si>
  <si>
    <t>בהנחה שהריבית השנתית היא 10%, מהו הסכום החודשי שתצטרך מאי להפקיד, כדי לעמוד ביעדים הללו?</t>
  </si>
  <si>
    <t>תדריך:</t>
  </si>
  <si>
    <t xml:space="preserve">זכרו - אם אתם יודעים כמה אתם מושכים, ואינם יודעים כמה אתם מפקידים, הצעד הראשון הוא PV למשיכות. </t>
  </si>
  <si>
    <t xml:space="preserve">הצעד השני - מתייחס ל-PV של המשיכות בתור ה-FV של ההפקדות בסימן הפוך. </t>
  </si>
  <si>
    <t>PV (משיכות)</t>
  </si>
  <si>
    <t>FV (הפקדות)</t>
  </si>
  <si>
    <t>כי המשיכות הן הידועות
לכן נתחיל מהן</t>
  </si>
  <si>
    <t>מספר המשיכות</t>
  </si>
  <si>
    <t>משיכה / יתרה בסוף</t>
  </si>
  <si>
    <t>הפקדה חד פעמית 
התחלתית</t>
  </si>
  <si>
    <t>הערך המחושב
 - Solve</t>
  </si>
  <si>
    <t>משיכה תקופתית - 
בפלוס</t>
  </si>
  <si>
    <t>הערך המחולץ - 
התשובה - SOLVE</t>
  </si>
  <si>
    <t>אם הריבית הנתונה שונה מפרק הזמן בין תשלומים</t>
  </si>
  <si>
    <t>נמיר את הריבית עם מעריך חזקה מתאים:</t>
  </si>
  <si>
    <t xml:space="preserve">המשיכות בתום כל חודש 50 שנה, ההפקדות בתום כל חודש 30 שנה </t>
  </si>
  <si>
    <t>תשובה סופית: מאי צריכה להפקיד כל חודש</t>
  </si>
  <si>
    <t>סכום חודשי של 2,980.88 ש״ח כדי לעמוד ביעדים</t>
  </si>
  <si>
    <t>תרגיל מרכזי 3 חשוב להיום - הפקדות ומשיכות / פנסיה</t>
  </si>
  <si>
    <t>תרגיל מרכזי 3 חשוב להיום - הפקדות ומשיכות / פנסיה - בסדר הפוך (כאשר נתונות דווקא ההפקדות)</t>
  </si>
  <si>
    <t xml:space="preserve">ד״ר צבאן מעוניין להפקיד בתום כל חודש במשך 10 שנים סכום של 3,000 ש״ח. </t>
  </si>
  <si>
    <t xml:space="preserve">לאחר מכן, בכוונתו למשוך בתום כל חודש במשך 30 שנה סכום קבוע. </t>
  </si>
  <si>
    <t xml:space="preserve">בסיום תקופת המשיכות, ד״ר צבאן מעוניין להשאר עם יתרה של 10,000 ש״ח. </t>
  </si>
  <si>
    <t>בהנחה שהריבית השנתית בתקופת ההפקדות היא 10%, ובתקופת המשיכות היא 5%, מהו הסכום החודשי אותו יוכל ד״ר צבאן למשוך?</t>
  </si>
  <si>
    <t>כי ההפקדות ידועות
לכן נתחיל מהן</t>
  </si>
  <si>
    <t>סכום ההפקדה 
הקבוע במינוס</t>
  </si>
  <si>
    <t>הערך המחושב
SOLVE</t>
  </si>
  <si>
    <t>הערך המחולץ
SOLVE«
התשובה!</t>
  </si>
  <si>
    <t>להעביר
בסימן הפוך</t>
  </si>
  <si>
    <t xml:space="preserve">הריביות השנתיות הומרו לחודשיות בחזקת 1/12 </t>
  </si>
  <si>
    <t xml:space="preserve">תשובה סופית לסימון: הקצבה החודשית של הדוקטור תהיה כ- 3,165.9 ש״ח. </t>
  </si>
  <si>
    <t>שיעור 12 - מרתון אחרון לקראת הבחינה</t>
  </si>
  <si>
    <t xml:space="preserve">שימו לב: מבנה הבחינה השתנה לטובתכם! הוא קוצר! במקום 10 שאלות עונים על 8, משך הבחינה שעתיים בלבד. </t>
  </si>
  <si>
    <t>כמו כן, דאגתי להוריד את השאלות ה״ארוכות״ ביותר של ערך נוכחי מורכב מאד וערך עתידי מורכב מאד, מה שצפוי</t>
  </si>
  <si>
    <t xml:space="preserve">לרווח את הבחינה באופן משמעותי. </t>
  </si>
  <si>
    <t>במבחן 9 שאלות בסך הכל, יש לבחור להשיב על 8, משקל כל שאלה 12.5 נק׳, הנושאים כדלקמן:</t>
  </si>
  <si>
    <t>מס׳ שאלה</t>
  </si>
  <si>
    <t>ערך עתידי - FV</t>
  </si>
  <si>
    <t>רמת קושי ״בינונית״</t>
  </si>
  <si>
    <t>ייכלל חישוב בכמה עמודות / שלבים</t>
  </si>
  <si>
    <t>אבל לא ברמה של השאלות הכי מורכבות</t>
  </si>
  <si>
    <t>ובתהליך קצר יותר מאשר בשאלה ״2״ במבחנים לדוגמה</t>
  </si>
  <si>
    <t>ערך נוכחי - PV</t>
  </si>
  <si>
    <t>כאשר שואלים ״מה המחיר היום״</t>
  </si>
  <si>
    <t>או ״מה הסכום שתדרוש היום״</t>
  </si>
  <si>
    <t>עוסקים בערך נוכחי PV.</t>
  </si>
  <si>
    <t>הלוואות - לוח שפיצר - תשלומים שווים</t>
  </si>
  <si>
    <t>נלמד בהקשר ליישומי ערך נוכחי בקורס</t>
  </si>
  <si>
    <t>נדרש לדעת לחשב את הריבית לתקופת תשלום (גם כאשר</t>
  </si>
  <si>
    <t>היא נקובה, וגם כאשר היא אפקטיבית)</t>
  </si>
  <si>
    <t>חישוב התשלום התקופתי הקבוע</t>
  </si>
  <si>
    <r>
      <t>לא צריך</t>
    </r>
    <r>
      <rPr>
        <sz val="12"/>
        <color theme="1"/>
        <rFont val="David"/>
        <family val="2"/>
        <charset val="177"/>
      </rPr>
      <t xml:space="preserve"> לחשב ערכים כגון: יתרת ההלוואה או סך </t>
    </r>
  </si>
  <si>
    <t>תשלומי הריבית.</t>
  </si>
  <si>
    <t>חילוץ ריבית מגולמת בהסדר תשלומים</t>
  </si>
  <si>
    <t>לפעמים מציעים לנו לרכוש מוצר בתשלומים, לכאורה</t>
  </si>
  <si>
    <t>ללא ריבית. אבל בפועל, אם מחיר המוצר במזומן</t>
  </si>
  <si>
    <t>הוא נמוך יותר - המשמעות היא שמגולמת ריבית בעסקה.</t>
  </si>
  <si>
    <t>כולל המרה אפשרית של הריבית למונחים שנתיים.</t>
  </si>
  <si>
    <t>נניח שהתשלומים הם כל חודש בהסדר - אם מחלצים</t>
  </si>
  <si>
    <t>ריבית היא חודשית. צריך לדעת להמירה לשנתית.</t>
  </si>
  <si>
    <t>בחירה בין חלופות תשלום (PV)</t>
  </si>
  <si>
    <t>אם מציעים לשלם בעד מוצר בכמה אפשרויות, למשל:</t>
  </si>
  <si>
    <t>לשלם כל חודש 100 ש״ח</t>
  </si>
  <si>
    <t xml:space="preserve">או כל חודשיים 180 ש״ח </t>
  </si>
  <si>
    <t xml:space="preserve">וכיו״ב. </t>
  </si>
  <si>
    <t>הדרך לבחור ביניהן תתבסס על חישוב PV של כל חלופה,</t>
  </si>
  <si>
    <t xml:space="preserve">ובחירה בזולה ביותר (זו שה-PV בערך מוחלט הכי נמוך). </t>
  </si>
  <si>
    <t>איזון אקטוארי - הפקדות ומשיכות</t>
  </si>
  <si>
    <t>צריך לדעת את שני המצבים:</t>
  </si>
  <si>
    <t>א. ההפקדות ידועות - וצריך לחלץ את המשיכה / הקצבה האפשרית.</t>
  </si>
  <si>
    <t>ב. המשיכות ידועות - וצריך לחלץ את ההפקדה הנדרשת.</t>
  </si>
  <si>
    <t>בעיקר:</t>
  </si>
  <si>
    <t>ריבית נקובה בשיעור ____ ל____ מחושבת כל _____.</t>
  </si>
  <si>
    <t>בנוסף:</t>
  </si>
  <si>
    <t>כולל מצב של עסקאות ארוכות משנה, שיש לבטא במונחים</t>
  </si>
  <si>
    <t>שנתיים, וכולל קבלת החלטה:</t>
  </si>
  <si>
    <t>אם מדובר בסכומים שאנו מפקידים - נרצה ריבית אפקטיבית גבוהה ככל הניתן;</t>
  </si>
  <si>
    <t xml:space="preserve">אם מדובר בהלוואה - נרצה ריבית אפקטיבית נמוכה ככל הניתן. </t>
  </si>
  <si>
    <t xml:space="preserve">ללא שיגועים רבים מדי. </t>
  </si>
  <si>
    <r>
      <t xml:space="preserve">מצב של ריבית / ניכוי מראש &gt;&gt;&gt; </t>
    </r>
    <r>
      <rPr>
        <b/>
        <sz val="12"/>
        <color rgb="FFFF0000"/>
        <rFont val="David"/>
        <family val="2"/>
        <charset val="177"/>
      </rPr>
      <t>לא אשלב בין ריבית מראש לריבית רגילה באותה חלופה.</t>
    </r>
  </si>
  <si>
    <t>חישובי פרויקטים - שתזרימיהם ידועים</t>
  </si>
  <si>
    <t>חברה שוקלת להשקיע בפרויקטים הבאים:</t>
  </si>
  <si>
    <t>פרויקט א: דורש השקעה של 70 ומניב 50 כל שנה, 4 שנים.</t>
  </si>
  <si>
    <t xml:space="preserve">פרויקט ב: דורש השקעה של ___ ומניב ____ </t>
  </si>
  <si>
    <t>פרויקט ג: דורש השקעה של ___ ומניב ____</t>
  </si>
  <si>
    <t>א. לדעת לחשב IRR והאם כדאי לפיו</t>
  </si>
  <si>
    <t>ב. לדעת לחשב NPV והאם כדאי לפיו</t>
  </si>
  <si>
    <t xml:space="preserve">ג. יש לדעת כיצד לבחור - גם כשאין מגבלה, וגם כשחייבים לבחור רק אחד מביניהם </t>
  </si>
  <si>
    <t>ד. להבין את ההיגיון - מה כל קריטריון אומר, מתי יש סתירות</t>
  </si>
  <si>
    <t>קיצוב הון (בניית תזרימי מזומנים</t>
  </si>
  <si>
    <t>לתכניות השקעה)</t>
  </si>
  <si>
    <t>כל סוגיות:</t>
  </si>
  <si>
    <t>א. עלויות היסטוריות - שאינן רלוונטיות (צריך לדעת להתעלם מהן)</t>
  </si>
  <si>
    <t>ב. התייחסות להשקעה, למגן המס על הפחת בגינה, למכירתה ולמס רווח ההון</t>
  </si>
  <si>
    <t>ג. עלויות קבועות / הקצאת עלויות - זיהוי עלויות לא רלוונטיות</t>
  </si>
  <si>
    <t>ד. הכנסות והוצאות שוטפות - כולל מיסויין</t>
  </si>
  <si>
    <t>ה. השפעות על פרויקטים אחרים - אם פרויקט מסוים מגדיל הכנסה מפרויקט</t>
  </si>
  <si>
    <t>אחר, נתייחס לכך כהכנסה נוספת, ואם הוא מגדיל הוצאה של פרויקט אחר,</t>
  </si>
  <si>
    <t xml:space="preserve">נתייחס לכך כהוצאה נוספת וכו׳. </t>
  </si>
  <si>
    <t xml:space="preserve">ו. ההבדל בין מס חברות למס רווח הון (מס רווח הון - רק במכירה של רכוש קבוע). </t>
  </si>
  <si>
    <t xml:space="preserve">ז. הון חוזר (ערך שלילי בהתחלה, ערך חיובי בסוף). </t>
  </si>
  <si>
    <t>במבחנים לדוגמא, בנושאי PV ו-FV,</t>
  </si>
  <si>
    <t>יש שתי שאלות בכל אחד מהנושאים:</t>
  </si>
  <si>
    <t>שאלה אחת פשוטה יחסית,</t>
  </si>
  <si>
    <t xml:space="preserve">ושאלה נוספת ״מהגיהנום״. </t>
  </si>
  <si>
    <t>במבחן הנוכחי, תהיה שאלה אחת</t>
  </si>
  <si>
    <t xml:space="preserve">קלה-בינונית (אין שאלת גיהנום של PV ו-FV). </t>
  </si>
  <si>
    <t>שאלות לדוגמא בנושאים השונים</t>
  </si>
  <si>
    <t>משי שוקלת לבצע הפקדות לחסכון לפי הנתונים הבאים:</t>
  </si>
  <si>
    <t xml:space="preserve">בסוף כל חצי שנה במשך 5 שנים תפקיד 18,000 ש״ח. </t>
  </si>
  <si>
    <t xml:space="preserve">לאחר מכן, תפקיד כל חודשיים במשך 4 שנים סכום של 5,000 ש״ח. </t>
  </si>
  <si>
    <t>מיד לאחר ההפקדה האחרונה בסך 5,000 ש״ח, משי תוסיף סכום חד פעמי של 70,000 ש״ח,</t>
  </si>
  <si>
    <t>והחסכון ימשיך לצבור ריבית ללא הפקדות נוספות במשך 8 שנים.</t>
  </si>
  <si>
    <t xml:space="preserve">במשך 5 השנים הראשונות, 9% לשנה בכל אחת מ-4 השנים לאחר מכן, ו-10% לשנה בכל שנה עוקבת. </t>
  </si>
  <si>
    <r>
      <t xml:space="preserve">נדרש: מהו הסכום הכולל שיעמוד לרשותה של משי </t>
    </r>
    <r>
      <rPr>
        <u/>
        <sz val="12"/>
        <color theme="1"/>
        <rFont val="David"/>
        <family val="2"/>
        <charset val="177"/>
      </rPr>
      <t>במועד פדיון החסכון</t>
    </r>
    <r>
      <rPr>
        <sz val="12"/>
        <color theme="1"/>
        <rFont val="David"/>
        <family val="2"/>
        <charset val="177"/>
      </rPr>
      <t>, אם ידוע שהריבית השנתית היא 8% לשנה</t>
    </r>
  </si>
  <si>
    <t>שנים 1-5</t>
  </si>
  <si>
    <t>שנים 10-17</t>
  </si>
  <si>
    <t>שימו לב: בשלב האחרון, ההפקדה החד פעמית ב-PV כוללת שני חלקים:</t>
  </si>
  <si>
    <t>גם הפקדה שנובעת מהשלב האחרון:</t>
  </si>
  <si>
    <t>וגם התוספת החד פעמית במועד זה:</t>
  </si>
  <si>
    <t>לכן בסך הכל הסכום המופקד בשלב האחרון:</t>
  </si>
  <si>
    <t xml:space="preserve">במינוס כמובן. </t>
  </si>
  <si>
    <t>כמו כן, הואיל ובשלב האחרון אין סדרה, אלא רק צבירת ריבית,</t>
  </si>
  <si>
    <t>פשוט ניקח את הריבית השנתית 10 = %I ונציב ב-n את מספר השנים.</t>
  </si>
  <si>
    <t xml:space="preserve">ד״ר צבאן נוטל היום הלוואה בסך 800,000 ש״ח. </t>
  </si>
  <si>
    <t xml:space="preserve">תקופת ההלוואה 12 שנים, והיא מסולקת בתשלומים חודשיים שווים (גישת ״לוח שפיצר״). </t>
  </si>
  <si>
    <t xml:space="preserve">הריבית השנתית בהלוואה היא ריבית אפקטיבית בשיעור 10%. </t>
  </si>
  <si>
    <t>א. מהי הריבית האפקטיבית החודשית?</t>
  </si>
  <si>
    <t>ב. כיצד תשתנה תשובתך לסעיף א׳ אם הריבית הנתונה היא ריבית נקובה בשיעור 10%.</t>
  </si>
  <si>
    <t xml:space="preserve">ג. מהו התשלום החודשי הקבוע, בהנחות נדרש א (שהריבית הנתונה אפקטיבית). </t>
  </si>
  <si>
    <t>א. מהי הריבית האפקטיבית החודשית</t>
  </si>
  <si>
    <t xml:space="preserve">בשאלה אמרו שהריבית האפקטיבית השנתית היא 10%. </t>
  </si>
  <si>
    <t>לכן כל שעליי לעשות הוא לבצע המרה של ריבית אפקטיבית משנתית לחודשית (עם מעריך חזקה מתאים):</t>
  </si>
  <si>
    <t>ב. כיצד תשתנה תשובתך לסעיף א׳ אם הריבית הנתונה היא ריבית נקובה בשיעור 10%?</t>
  </si>
  <si>
    <t>כאשר הריבית היא ריבית נקובה שנתית בשיעור 10%, והיא משרתת הלוואה שתשלומיה חודשיים - המשמעות היא</t>
  </si>
  <si>
    <t>שהריבית מחושבת כל חודש.</t>
  </si>
  <si>
    <t>כיצד נחשב ריבית אפקטיבית חודשית כאשר הריבית הנקובה שנתית ומחושבת כל חודש?</t>
  </si>
  <si>
    <t>תקופת חישוב: חודש</t>
  </si>
  <si>
    <t>ריבית נקובה נתונה: לשנה</t>
  </si>
  <si>
    <t>התשובה לשאלה: כמה תקופות חישוב ריבית ״נכנסות״ בתקופת הריבית הנקובה הנתונה: 12</t>
  </si>
  <si>
    <t xml:space="preserve">לשם העמקת ההסבר - </t>
  </si>
  <si>
    <t>נתחיל בלהציג ריבית אפקטיבית לשנה:</t>
  </si>
  <si>
    <t>תקופת הריבית האפקטיבית שנדרש ממני לחשב: שנה</t>
  </si>
  <si>
    <t>כמה תקופות חישוב ריבית ״נכנסות״ בתקופה הנדרשת (כמה חודשים נכנסים בשנה): 12</t>
  </si>
  <si>
    <t>((1 + R/n)^t - 1) * 100 = ((1 + 10%/12)^12 - 1) * 100</t>
  </si>
  <si>
    <t>אלא שכאן - המטרה היא להגיע לריבית אפקטיבית לחודש (פרק הזמן בין תשלומים) ולא לשנה, ולכן התהליך דורש חזקת 1 בלבד:</t>
  </si>
  <si>
    <t>כמה תקופות חישוב ריבית ״נכנסות״ בתקופה הנדרשת (כמה חודשים נכנסים בחודש): 1</t>
  </si>
  <si>
    <t xml:space="preserve">((1 + R/n)^t - 1) * 100 = ((1 + 10%/12)^1 - 1) * 100 = </t>
  </si>
  <si>
    <r>
      <rPr>
        <b/>
        <sz val="12"/>
        <rFont val="David"/>
        <family val="2"/>
        <charset val="177"/>
      </rPr>
      <t>תקופת הריבית האפקטיבית שנדרש ממני לחשב</t>
    </r>
    <r>
      <rPr>
        <sz val="12"/>
        <rFont val="David"/>
        <family val="2"/>
        <charset val="177"/>
      </rPr>
      <t xml:space="preserve">: </t>
    </r>
    <r>
      <rPr>
        <b/>
        <u/>
        <sz val="12"/>
        <rFont val="David"/>
        <family val="2"/>
        <charset val="177"/>
      </rPr>
      <t>חודש - כי פרק הזמן בין תשלומים הוא חודש</t>
    </r>
  </si>
  <si>
    <t>תקציר תהליך עבודה:</t>
  </si>
  <si>
    <t>תמיד ולעולם, בין אם יש נדרש מפורש על זה או לא,</t>
  </si>
  <si>
    <t>כדי לחשב את התשלום התקופתי הקבוע בשפיצר,</t>
  </si>
  <si>
    <t>אנו זקוקים לריבית האפקטיבית לתקופת תשלום.</t>
  </si>
  <si>
    <t>אם הריבית בשאלה</t>
  </si>
  <si>
    <t>אפקטיבית</t>
  </si>
  <si>
    <t>אמיר אותה לתקופת</t>
  </si>
  <si>
    <t>תשלום עם חזקה בלבד</t>
  </si>
  <si>
    <t>נקובה</t>
  </si>
  <si>
    <t>תשלום בשני שלבים:</t>
  </si>
  <si>
    <t>שלב 1: חלוקה כדי להגיע</t>
  </si>
  <si>
    <t>לתקופת חישוב</t>
  </si>
  <si>
    <t>שלב 2: חזקה - כדי לעבור</t>
  </si>
  <si>
    <t>מתקופת חישוב לתקופת</t>
  </si>
  <si>
    <t>תשלום (בד״כ 1 בשאלות אלו)</t>
  </si>
  <si>
    <t>ד. מהו התשלום החודשי הקבוע, בהנחות נדרש ב?</t>
  </si>
  <si>
    <t xml:space="preserve">Solve </t>
  </si>
  <si>
    <t>לדאוג לרשום לי בתיבת הטקסט:</t>
  </si>
  <si>
    <t>התשלום החודשי הקבוע בהנחה שהריבית אפקטיבית:</t>
  </si>
  <si>
    <t>עוד הערה:</t>
  </si>
  <si>
    <t>ברוב השאלות (וזו גם ברירת מחדל) הריבית הנתונה</t>
  </si>
  <si>
    <t>היא אפקטיבית, וככל שתדרשו להמיר אותה, הדבר</t>
  </si>
  <si>
    <t>יבוצע (ברירת מחדל) עם מעריך חזקה מתאים (ללא חלוקה).</t>
  </si>
  <si>
    <t>באילו נושאים כן עשויה להדרש חלוקה?</t>
  </si>
  <si>
    <t xml:space="preserve">להשתולל. </t>
  </si>
  <si>
    <t xml:space="preserve">לוח שפיצר (3) - שבו, אם הריבית נקובה, צריך לחלק. </t>
  </si>
  <si>
    <t>שאלה ספציפית על חישובי ריבית (7) - ששם אני יכול</t>
  </si>
  <si>
    <t xml:space="preserve">קוז׳יקרו שוקל לבצע הפקדה לחסכון לתקופה של 18 שנים. </t>
  </si>
  <si>
    <t>להלן מסלולי ההפקדה שהוצעו לקוז׳יקרו:</t>
  </si>
  <si>
    <t>ה</t>
  </si>
  <si>
    <t>ריבית שנתית נקובה בשיעור 12% המחושבת כל חודש</t>
  </si>
  <si>
    <t>ריבית שנתית נקובה בשיעור 8% המחושבת כל חודשיים</t>
  </si>
  <si>
    <t>ריבית רבעונית נקובה בשיעור 6% המחושבת כל חודש</t>
  </si>
  <si>
    <t>ריבית חצי שנתית נקובה בשיעור 9% המחושבת כל חודשיים</t>
  </si>
  <si>
    <t xml:space="preserve">ריבית נקובה לכל תקופת העסקה (18 שנים) בשיעור 30% מסכום העסקה, המשולמת מראש. </t>
  </si>
  <si>
    <t>נדרש: מהי הריבית האפקטיבית השנתית בכל חלופה, ועל פיה - איזו חלופה יעדיף קוז׳יקרו?</t>
  </si>
  <si>
    <t>%</t>
  </si>
  <si>
    <t>כאשר אני נתקל בתשלום מראש / ריבית מראש, תהליך חישוב הריבית האפקטיבית שונה לחלוטין,</t>
  </si>
  <si>
    <t>והוא מבוצע דרך המכנה:</t>
  </si>
  <si>
    <t xml:space="preserve">(1/(1-d) - 1) * 100 = </t>
  </si>
  <si>
    <t>הערך d הוא אחוז הריבית מראש / הניכוי מראש לתקופת העסקה כולה</t>
  </si>
  <si>
    <t>חשוב להדגיש: תוצאת נוסחה זו היא הריבית האפקטיבית לתקופת העסקה כולה</t>
  </si>
  <si>
    <t xml:space="preserve">(1/(1-30%)-1) * 100 = </t>
  </si>
  <si>
    <t xml:space="preserve">תוצאת נוסחת ריבית מראש היא הריבית האפקטיבית </t>
  </si>
  <si>
    <t>לתקופת העסקה כולה = מתחילתה ועד סופה = 18 שנים</t>
  </si>
  <si>
    <t>אך נדרשת ריבית אפקטיבית לשנה - כלומר נדרש צעד נוסף, שימיר ריבית אפקטיבית בשיעור 42.85714286% מ-18 שנים לשנה אחת.</t>
  </si>
  <si>
    <t>המרת ריבית זו, בהיותה אפקטיבית - תבוצע עם מעריך חזקה בלבד:</t>
  </si>
  <si>
    <t xml:space="preserve">((1 + 42.85714286%)^(1/18) - 1)*100 = </t>
  </si>
  <si>
    <t>ראו חישוב למטה (שני שלבים):</t>
  </si>
  <si>
    <t>תשובה סופית:</t>
  </si>
  <si>
    <t>ג - המועדפת:</t>
  </si>
  <si>
    <t>רבעון הוא 1/4 שנה</t>
  </si>
  <si>
    <t>כלומר 3 חודשים = 12 * 1/4</t>
  </si>
  <si>
    <t>בפני חברת חורטיצה בע״מ עלתה לאחרונה אפשרות להשקיע בפרויקטים שהוצעו לה כדלקמן:</t>
  </si>
  <si>
    <t>פרויקט א: דורש השקעה בסך 100,000 ש״ח והוא מניב סכום חיובי של 40,000 ש״ח בתום כל שנה במשך 4 שנים,</t>
  </si>
  <si>
    <t>ולאחר מכן 20,000 ש״ח בתום כל שנה במשך שנתיים.</t>
  </si>
  <si>
    <t>ולאחר מכן 35,000 ש״ח בתום כל שנה במשך שנתיים.</t>
  </si>
  <si>
    <t>פרויקט ב: דורש השקעה בסך 200,000 ש״ח והוא מניב סכום חיובי של 75,000 ש״ח בתום כל שנה במשך 4 שנים,</t>
  </si>
  <si>
    <t>פרויקט ג: דורש השקעה בסך 300,000 ש״ח והוא מניב סכום חיובי של 100,000 ש״ח בתום כל שנה במשך 4 שנים,</t>
  </si>
  <si>
    <t>ולאחר מכן 60,000 ש״ח בתום כל שנה במשך שנתיים.</t>
  </si>
  <si>
    <t>ידוע שמחיר ההון של החברה הוא 5% לשנה.</t>
  </si>
  <si>
    <t>א. חשבו את ה-NPV של כל אחד מהפרויקטים. בהנחה שהחברה יכולה לבצע אילו פרויקטים שתרצה, מי מהם יבוצע?</t>
  </si>
  <si>
    <t>ב. בהמשך לסעיף א, בהנחה שניתן לבחור לבצע פרויקט אחד בלבד, איזה יבוצע?</t>
  </si>
  <si>
    <t xml:space="preserve">ג. חשבו את ה-IRR של כל אחד מהפרויקטים, והסבירו בקצרה משמעותו. </t>
  </si>
  <si>
    <t xml:space="preserve">ד. דרגו את הפרויקטים לפי ה-IRR - מהטוב ביותר לפחות טוב על פי הממצאים של סעיף ג. </t>
  </si>
  <si>
    <t xml:space="preserve">ה. האם דירוג הפרויקטים לפי NPV זהה לדירוג הפרויקטים לפי IRR? הסבירו מדוע.  </t>
  </si>
  <si>
    <t>שאלה בנושא פרויקטים שתזרימי המזומנים מהם ידועים נשענת על הזנת הערכים בפונקציית CASH:</t>
  </si>
  <si>
    <t>חובה להזין %I (מחיר הון) לשם חישוב NPV. אין חובה להזינו לשם חישוב IRR.</t>
  </si>
  <si>
    <t>למרות שזה לא הנדרש עדיין, יעיל מאד לחשב גם IRR וגם</t>
  </si>
  <si>
    <t>את ה-NPV לפני שעוברים לפרויקט הבא</t>
  </si>
  <si>
    <t>רק זהירות: כשלוחצים SOLVE IRR אוטומטית</t>
  </si>
  <si>
    <t xml:space="preserve">המחשבון הפיננסי ישנה את %I לערך זה. </t>
  </si>
  <si>
    <t>לכן, בחישוב ה-NPV הבא, הקפידו לשנות חזרה את %I למחיר ההון</t>
  </si>
  <si>
    <t>סעיף א:</t>
  </si>
  <si>
    <t>החברה תבצע את כל הפרויקטים (NPV חיובי)</t>
  </si>
  <si>
    <t xml:space="preserve">אם היא לא מוגבלת. </t>
  </si>
  <si>
    <t>סעיף ב:</t>
  </si>
  <si>
    <t>לפי NPV, נבחר בפרויקט שערכו הגבוה ביותר - פרויקט ג.</t>
  </si>
  <si>
    <t>סעיף ג:</t>
  </si>
  <si>
    <t>דרך החישוב</t>
  </si>
  <si>
    <t>למעלה.</t>
  </si>
  <si>
    <t>ה-IRR הוא שיעור התשואה (רווחיות) התקופתי הממוצע על ההשקעה בפרויקט.</t>
  </si>
  <si>
    <t>בשפה פשוטה יותר - פרויקט א׳ מניב תשואה בשיעור של כ-28% לשנה על ההשקעה; פרויקט ב מניב כ-24.453% לשנה על ההשקעה וכן הלאה.</t>
  </si>
  <si>
    <t>מקום 1:</t>
  </si>
  <si>
    <t>פרויקט ב</t>
  </si>
  <si>
    <t>מקום 2:</t>
  </si>
  <si>
    <t>מקום 3:</t>
  </si>
  <si>
    <t>פרויקט ג</t>
  </si>
  <si>
    <t xml:space="preserve">כשאנחנו מדברים על IRR, התוצאה היא תשואה ביחס להשקעה באחוזים (יחסי). </t>
  </si>
  <si>
    <t xml:space="preserve">לעומת זאת, ה-NPV משקף את השווי הכספי (בש״ח). </t>
  </si>
  <si>
    <t>אם מביטים על תזרימי הפרויקטים, קל לראות שהפרויקטים בעלי ההשקעה הגבוהה ביותר,</t>
  </si>
  <si>
    <t xml:space="preserve">הם אלו שמניבים תשואה נמוכה יותר באחוזים. </t>
  </si>
  <si>
    <t xml:space="preserve">למעשה בשפה פשוטה: פרויקט א׳ נותן יותר באחוזים על ״פחות כסף״. </t>
  </si>
  <si>
    <t>לקבל יותר אחוזים על השקעה קטנה יכול להוביל לפחות כסף (פחות ערך) מאשר</t>
  </si>
  <si>
    <t>תשואה קטנה יותר על השקעה גדולה.</t>
  </si>
  <si>
    <t>הדגמה קטנה מעולם אחר:</t>
  </si>
  <si>
    <t xml:space="preserve">אם הפקדתי 100 ש״ח וקיבלתי עליהם תשואה של 30%, הרווחתי 30 ש״ח. </t>
  </si>
  <si>
    <t xml:space="preserve">אם הפקדתי 1,000,000 ש״ח וקיבלתי עליהם תשואה של 20%, הרווחתי 200,000 ש״ח. </t>
  </si>
  <si>
    <t>הפרויקט שהוא הרווחי ביותר באחוזים, היה גם הקטן ביותר בסכום ההשקעה בו.</t>
  </si>
  <si>
    <t>לכן, ערכו הכספי הוביל לערך הנמוך ביותר.</t>
  </si>
  <si>
    <r>
      <t xml:space="preserve">בקצרה: הסיבה לסתירה בין הגדלים היא גודל </t>
    </r>
    <r>
      <rPr>
        <b/>
        <u/>
        <sz val="12"/>
        <color theme="1"/>
        <rFont val="David"/>
        <family val="2"/>
        <charset val="177"/>
      </rPr>
      <t>השקעה שונה</t>
    </r>
    <r>
      <rPr>
        <b/>
        <sz val="12"/>
        <color theme="1"/>
        <rFont val="David"/>
        <family val="2"/>
        <charset val="177"/>
      </rPr>
      <t>:</t>
    </r>
  </si>
  <si>
    <t>תדריך קצר:</t>
  </si>
  <si>
    <t>פותחים מיד את CASH,</t>
  </si>
  <si>
    <t xml:space="preserve">מזינים את מחיר ההון, </t>
  </si>
  <si>
    <t>מחשבים NPV ו-IRR לכל פרויקט בנפרד</t>
  </si>
  <si>
    <t xml:space="preserve">ורושמים את התוצאות </t>
  </si>
  <si>
    <t>כל הנתונים בידי:</t>
  </si>
  <si>
    <t>כשאין מגבלות:</t>
  </si>
  <si>
    <t>לפי NPV נבצע כל פרויקט שה-NPV שלו חיובי</t>
  </si>
  <si>
    <t>לפי IRR נבצע כל פרויקט שה-IRR שלו גבוה ממחיר ההון</t>
  </si>
  <si>
    <t>כשניתן לבצע רק פרויקט אחד מבין כולם:</t>
  </si>
  <si>
    <t>לפי NPV נבחר ב-NPV המירבי</t>
  </si>
  <si>
    <t>לפי IRR נבחר ב-IRR המירבי (בתנאי שגבוה ממחיר ההון)</t>
  </si>
  <si>
    <t>אם מבקשים לפעול בצורה כלכלית הנכונה ביותר:</t>
  </si>
  <si>
    <t>פועלים לפי NPV מירבי</t>
  </si>
  <si>
    <t>סתירה בדירוג בין NPV ל-IRR אפשרית (לא מתחייבת);</t>
  </si>
  <si>
    <t xml:space="preserve">אם מתקיימת סתירה - היא נובעת (אצלנו) מגודל </t>
  </si>
  <si>
    <t xml:space="preserve">השקעה שונה. </t>
  </si>
  <si>
    <t>שימו לב - זה מבנה בחינה לא עדכני,</t>
  </si>
  <si>
    <t>ראו בשיעור 12 מבנה עדכני</t>
  </si>
  <si>
    <t>שאלה 1 - ערך עתידי FV</t>
  </si>
  <si>
    <t>שאלה 3 - הלוואות שפיצר</t>
  </si>
  <si>
    <t>שאלה 4 - חישובי ריבית אפקטיבית</t>
  </si>
  <si>
    <t>שאלה 5 - חישובי פרויקטים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</si>
</sst>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  <numFmt numFmtId="175" formatCode="0.0000000%"/>
    <numFmt numFmtId="176" formatCode="_(* #,##0_);_(* \(#,##0\);_(* &quot;-&quot;??_);_(@_)"/>
  </numFmts>
  <fonts count="4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  <font>
      <u/>
      <sz val="12"/>
      <color rgb="FF00B050"/>
      <name val="David"/>
      <family val="2"/>
      <charset val="177"/>
    </font>
    <font>
      <sz val="8"/>
      <name val="Aptos Narrow"/>
      <family val="2"/>
      <scheme val="minor"/>
    </font>
    <font>
      <u/>
      <sz val="12"/>
      <color rgb="FF0070C0"/>
      <name val="David"/>
      <family val="2"/>
      <charset val="177"/>
    </font>
    <font>
      <u/>
      <sz val="9"/>
      <color theme="1"/>
      <name val="David"/>
      <family val="2"/>
      <charset val="177"/>
    </font>
    <font>
      <u/>
      <sz val="9"/>
      <color rgb="FFFF0000"/>
      <name val="David"/>
      <family val="2"/>
      <charset val="177"/>
    </font>
    <font>
      <sz val="10"/>
      <color theme="2" tint="-0.249977111117893"/>
      <name val="David"/>
      <family val="2"/>
      <charset val="177"/>
    </font>
    <font>
      <sz val="12"/>
      <color rgb="FF000000"/>
      <name val="David"/>
      <family val="2"/>
      <charset val="177"/>
    </font>
    <font>
      <sz val="12"/>
      <color theme="2" tint="-0.249977111117893"/>
      <name val="David"/>
      <family val="2"/>
      <charset val="177"/>
    </font>
    <font>
      <u/>
      <sz val="12"/>
      <color theme="2" tint="-0.249977111117893"/>
      <name val="David"/>
      <family val="2"/>
      <charset val="177"/>
    </font>
    <font>
      <b/>
      <sz val="12"/>
      <color theme="2" tint="-0.249977111117893"/>
      <name val="David"/>
      <family val="2"/>
      <charset val="177"/>
    </font>
    <font>
      <b/>
      <u/>
      <sz val="12"/>
      <name val="David"/>
      <family val="2"/>
      <charset val="177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 diagonalUp="1" diagonalDown="1">
      <left/>
      <right/>
      <top/>
      <bottom style="thin">
        <color indexed="64"/>
      </bottom>
      <diagonal style="thin">
        <color auto="1"/>
      </diagonal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84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9" fontId="2" fillId="0" borderId="0" xfId="0" applyNumberFormat="1" applyFont="1"/>
    <xf numFmtId="0" fontId="24" fillId="0" borderId="0" xfId="0" applyFont="1"/>
    <xf numFmtId="0" fontId="2" fillId="0" borderId="19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center"/>
    </xf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7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1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8" fillId="22" borderId="12" xfId="0" applyNumberFormat="1" applyFont="1" applyFill="1" applyBorder="1" applyAlignment="1">
      <alignment horizontal="center"/>
    </xf>
    <xf numFmtId="0" fontId="2" fillId="23" borderId="0" xfId="0" applyFont="1" applyFill="1"/>
    <xf numFmtId="0" fontId="3" fillId="23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29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29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0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0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24" borderId="0" xfId="0" applyFont="1" applyFill="1"/>
    <xf numFmtId="0" fontId="4" fillId="24" borderId="0" xfId="0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2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0" fontId="26" fillId="0" borderId="0" xfId="0" applyFont="1" applyAlignment="1">
      <alignment horizontal="center" wrapText="1"/>
    </xf>
    <xf numFmtId="0" fontId="31" fillId="22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25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15" fillId="0" borderId="0" xfId="0" applyFont="1" applyAlignment="1">
      <alignment horizontal="center"/>
    </xf>
    <xf numFmtId="0" fontId="2" fillId="25" borderId="0" xfId="0" applyFont="1" applyFill="1" applyAlignment="1">
      <alignment horizontal="center"/>
    </xf>
    <xf numFmtId="169" fontId="2" fillId="25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2" borderId="0" xfId="0" quotePrefix="1" applyFont="1" applyFill="1"/>
    <xf numFmtId="1" fontId="2" fillId="22" borderId="0" xfId="0" applyNumberFormat="1" applyFont="1" applyFill="1" applyAlignment="1">
      <alignment horizontal="center"/>
    </xf>
    <xf numFmtId="0" fontId="4" fillId="26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0" borderId="0" xfId="0" applyNumberFormat="1" applyFont="1" applyFill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  <xf numFmtId="0" fontId="27" fillId="0" borderId="0" xfId="0" applyFont="1" applyAlignment="1">
      <alignment horizontal="center"/>
    </xf>
    <xf numFmtId="0" fontId="2" fillId="16" borderId="0" xfId="0" applyFont="1" applyFill="1" applyAlignment="1">
      <alignment horizontal="center"/>
    </xf>
    <xf numFmtId="175" fontId="2" fillId="2" borderId="0" xfId="0" applyNumberFormat="1" applyFont="1" applyFill="1"/>
    <xf numFmtId="172" fontId="2" fillId="2" borderId="0" xfId="1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172" fontId="2" fillId="9" borderId="0" xfId="1" applyNumberFormat="1" applyFont="1" applyFill="1"/>
    <xf numFmtId="0" fontId="3" fillId="0" borderId="12" xfId="0" applyFont="1" applyBorder="1"/>
    <xf numFmtId="0" fontId="2" fillId="0" borderId="3" xfId="0" applyFont="1" applyBorder="1" applyAlignment="1">
      <alignment horizontal="center"/>
    </xf>
    <xf numFmtId="9" fontId="2" fillId="0" borderId="0" xfId="0" applyNumberFormat="1" applyFont="1" applyAlignment="1">
      <alignment horizontal="center"/>
    </xf>
    <xf numFmtId="168" fontId="2" fillId="2" borderId="0" xfId="0" applyNumberFormat="1" applyFont="1" applyFill="1"/>
    <xf numFmtId="0" fontId="2" fillId="4" borderId="0" xfId="0" applyFont="1" applyFill="1" applyAlignment="1">
      <alignment horizontal="center"/>
    </xf>
    <xf numFmtId="168" fontId="2" fillId="2" borderId="0" xfId="1" applyNumberFormat="1" applyFont="1" applyFill="1" applyAlignment="1">
      <alignment vertical="center"/>
    </xf>
    <xf numFmtId="0" fontId="2" fillId="27" borderId="0" xfId="0" applyFont="1" applyFill="1"/>
    <xf numFmtId="0" fontId="2" fillId="2" borderId="2" xfId="0" applyFont="1" applyFill="1" applyBorder="1"/>
    <xf numFmtId="0" fontId="2" fillId="2" borderId="3" xfId="0" applyFont="1" applyFill="1" applyBorder="1"/>
    <xf numFmtId="167" fontId="2" fillId="0" borderId="0" xfId="1" applyNumberFormat="1" applyFont="1" applyAlignment="1">
      <alignment horizontal="center"/>
    </xf>
    <xf numFmtId="167" fontId="2" fillId="2" borderId="0" xfId="1" applyNumberFormat="1" applyFont="1" applyFill="1" applyAlignment="1">
      <alignment horizontal="center"/>
    </xf>
    <xf numFmtId="0" fontId="40" fillId="0" borderId="0" xfId="0" applyFont="1"/>
    <xf numFmtId="168" fontId="2" fillId="2" borderId="0" xfId="1" applyNumberFormat="1" applyFont="1" applyFill="1" applyAlignment="1">
      <alignment horizontal="center"/>
    </xf>
    <xf numFmtId="10" fontId="2" fillId="2" borderId="0" xfId="1" applyNumberFormat="1" applyFont="1" applyFill="1" applyAlignment="1">
      <alignment horizontal="center"/>
    </xf>
    <xf numFmtId="3" fontId="2" fillId="3" borderId="0" xfId="0" applyNumberFormat="1" applyFont="1" applyFill="1" applyAlignment="1">
      <alignment horizontal="center"/>
    </xf>
    <xf numFmtId="10" fontId="3" fillId="0" borderId="5" xfId="0" applyNumberFormat="1" applyFont="1" applyBorder="1"/>
    <xf numFmtId="10" fontId="3" fillId="0" borderId="0" xfId="0" applyNumberFormat="1" applyFont="1"/>
    <xf numFmtId="166" fontId="3" fillId="0" borderId="0" xfId="0" applyNumberFormat="1" applyFont="1"/>
    <xf numFmtId="0" fontId="3" fillId="0" borderId="10" xfId="0" applyFont="1" applyBorder="1"/>
    <xf numFmtId="176" fontId="2" fillId="2" borderId="0" xfId="2" applyNumberFormat="1" applyFont="1" applyFill="1"/>
    <xf numFmtId="167" fontId="2" fillId="12" borderId="0" xfId="1" applyNumberFormat="1" applyFont="1" applyFill="1"/>
    <xf numFmtId="0" fontId="5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41" fillId="0" borderId="0" xfId="0" applyFont="1" applyAlignment="1">
      <alignment readingOrder="2"/>
    </xf>
    <xf numFmtId="0" fontId="41" fillId="0" borderId="0" xfId="0" applyFont="1" applyAlignment="1">
      <alignment readingOrder="1"/>
    </xf>
    <xf numFmtId="10" fontId="41" fillId="0" borderId="0" xfId="0" applyNumberFormat="1" applyFont="1" applyAlignment="1">
      <alignment readingOrder="1"/>
    </xf>
    <xf numFmtId="0" fontId="2" fillId="0" borderId="6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/>
    <xf numFmtId="0" fontId="25" fillId="23" borderId="0" xfId="0" applyFont="1" applyFill="1"/>
    <xf numFmtId="10" fontId="2" fillId="4" borderId="0" xfId="0" applyNumberFormat="1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1" xfId="0" applyFont="1" applyBorder="1"/>
    <xf numFmtId="10" fontId="2" fillId="4" borderId="21" xfId="0" applyNumberFormat="1" applyFont="1" applyFill="1" applyBorder="1" applyAlignment="1">
      <alignment horizontal="center"/>
    </xf>
    <xf numFmtId="2" fontId="2" fillId="27" borderId="0" xfId="0" applyNumberFormat="1" applyFont="1" applyFill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10" fontId="2" fillId="0" borderId="0" xfId="1" applyNumberFormat="1" applyFont="1" applyAlignment="1">
      <alignment horizontal="center"/>
    </xf>
    <xf numFmtId="171" fontId="2" fillId="0" borderId="0" xfId="0" applyNumberFormat="1" applyFont="1"/>
    <xf numFmtId="0" fontId="2" fillId="0" borderId="0" xfId="1" applyNumberFormat="1" applyFont="1"/>
    <xf numFmtId="0" fontId="3" fillId="14" borderId="0" xfId="0" applyFont="1" applyFill="1"/>
    <xf numFmtId="9" fontId="2" fillId="0" borderId="13" xfId="0" applyNumberFormat="1" applyFont="1" applyBorder="1" applyAlignment="1">
      <alignment horizontal="center"/>
    </xf>
    <xf numFmtId="3" fontId="2" fillId="2" borderId="17" xfId="0" applyNumberFormat="1" applyFont="1" applyFill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15" borderId="0" xfId="0" applyFont="1" applyFill="1" applyAlignment="1">
      <alignment horizontal="center"/>
    </xf>
    <xf numFmtId="176" fontId="2" fillId="15" borderId="0" xfId="2" applyNumberFormat="1" applyFont="1" applyFill="1"/>
    <xf numFmtId="3" fontId="2" fillId="0" borderId="13" xfId="0" applyNumberFormat="1" applyFont="1" applyBorder="1" applyAlignment="1">
      <alignment horizontal="center"/>
    </xf>
    <xf numFmtId="0" fontId="2" fillId="13" borderId="13" xfId="0" applyFont="1" applyFill="1" applyBorder="1" applyAlignment="1">
      <alignment horizontal="center"/>
    </xf>
    <xf numFmtId="3" fontId="2" fillId="13" borderId="17" xfId="0" applyNumberFormat="1" applyFont="1" applyFill="1" applyBorder="1" applyAlignment="1">
      <alignment horizontal="center"/>
    </xf>
    <xf numFmtId="9" fontId="3" fillId="0" borderId="0" xfId="0" applyNumberFormat="1" applyFont="1" applyAlignment="1">
      <alignment horizontal="center"/>
    </xf>
    <xf numFmtId="2" fontId="2" fillId="2" borderId="4" xfId="0" applyNumberFormat="1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2" fillId="8" borderId="0" xfId="0" applyFont="1" applyFill="1"/>
    <xf numFmtId="0" fontId="2" fillId="17" borderId="0" xfId="0" applyFont="1" applyFill="1"/>
    <xf numFmtId="0" fontId="2" fillId="12" borderId="0" xfId="0" applyFont="1" applyFill="1"/>
    <xf numFmtId="3" fontId="2" fillId="2" borderId="0" xfId="0" applyNumberFormat="1" applyFont="1" applyFill="1"/>
    <xf numFmtId="0" fontId="2" fillId="0" borderId="0" xfId="0" applyFont="1" applyAlignment="1">
      <alignment horizontal="left"/>
    </xf>
    <xf numFmtId="3" fontId="2" fillId="0" borderId="17" xfId="0" applyNumberFormat="1" applyFont="1" applyBorder="1" applyAlignment="1">
      <alignment horizontal="center"/>
    </xf>
    <xf numFmtId="0" fontId="2" fillId="0" borderId="23" xfId="0" applyFont="1" applyBorder="1"/>
    <xf numFmtId="0" fontId="2" fillId="0" borderId="24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9" xfId="0" applyFont="1" applyFill="1" applyBorder="1"/>
    <xf numFmtId="0" fontId="2" fillId="2" borderId="10" xfId="0" applyFont="1" applyFill="1" applyBorder="1"/>
    <xf numFmtId="0" fontId="2" fillId="2" borderId="11" xfId="0" applyFont="1" applyFill="1" applyBorder="1"/>
    <xf numFmtId="3" fontId="2" fillId="2" borderId="4" xfId="0" applyNumberFormat="1" applyFont="1" applyFill="1" applyBorder="1" applyAlignment="1">
      <alignment horizontal="center"/>
    </xf>
    <xf numFmtId="3" fontId="2" fillId="15" borderId="7" xfId="0" applyNumberFormat="1" applyFont="1" applyFill="1" applyBorder="1"/>
    <xf numFmtId="0" fontId="42" fillId="0" borderId="0" xfId="0" applyFont="1"/>
    <xf numFmtId="2" fontId="2" fillId="2" borderId="0" xfId="0" applyNumberFormat="1" applyFont="1" applyFill="1"/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/>
    </xf>
    <xf numFmtId="0" fontId="19" fillId="22" borderId="0" xfId="0" applyFont="1" applyFill="1" applyAlignment="1">
      <alignment horizontal="center" vertical="center" wrapText="1"/>
    </xf>
    <xf numFmtId="2" fontId="19" fillId="2" borderId="0" xfId="0" applyNumberFormat="1" applyFont="1" applyFill="1" applyAlignment="1">
      <alignment horizontal="center" vertical="center" wrapText="1"/>
    </xf>
    <xf numFmtId="2" fontId="19" fillId="2" borderId="0" xfId="0" applyNumberFormat="1" applyFont="1" applyFill="1" applyAlignment="1">
      <alignment horizontal="center" vertical="center"/>
    </xf>
    <xf numFmtId="2" fontId="19" fillId="22" borderId="0" xfId="0" applyNumberFormat="1" applyFont="1" applyFill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168" fontId="19" fillId="0" borderId="0" xfId="1" applyNumberFormat="1" applyFont="1" applyAlignment="1">
      <alignment horizontal="center" vertical="center"/>
    </xf>
    <xf numFmtId="2" fontId="19" fillId="27" borderId="0" xfId="0" applyNumberFormat="1" applyFont="1" applyFill="1" applyAlignment="1">
      <alignment horizontal="center" vertical="center" wrapText="1"/>
    </xf>
    <xf numFmtId="0" fontId="15" fillId="0" borderId="25" xfId="0" applyFont="1" applyBorder="1"/>
    <xf numFmtId="0" fontId="15" fillId="0" borderId="18" xfId="0" applyFont="1" applyBorder="1"/>
    <xf numFmtId="0" fontId="2" fillId="0" borderId="26" xfId="0" applyFont="1" applyBorder="1"/>
    <xf numFmtId="0" fontId="15" fillId="0" borderId="27" xfId="0" applyFont="1" applyBorder="1"/>
    <xf numFmtId="0" fontId="2" fillId="0" borderId="28" xfId="0" applyFont="1" applyBorder="1"/>
    <xf numFmtId="0" fontId="15" fillId="0" borderId="29" xfId="0" applyFont="1" applyBorder="1"/>
    <xf numFmtId="0" fontId="15" fillId="0" borderId="13" xfId="0" applyFont="1" applyBorder="1"/>
    <xf numFmtId="0" fontId="2" fillId="0" borderId="30" xfId="0" applyFont="1" applyBorder="1"/>
    <xf numFmtId="0" fontId="3" fillId="22" borderId="0" xfId="0" applyFont="1" applyFill="1"/>
    <xf numFmtId="168" fontId="2" fillId="2" borderId="0" xfId="1" applyNumberFormat="1" applyFont="1" applyFill="1"/>
    <xf numFmtId="0" fontId="44" fillId="0" borderId="0" xfId="0" applyFont="1"/>
    <xf numFmtId="168" fontId="15" fillId="0" borderId="0" xfId="0" applyNumberFormat="1" applyFont="1" applyAlignment="1">
      <alignment horizontal="center"/>
    </xf>
    <xf numFmtId="167" fontId="15" fillId="0" borderId="0" xfId="1" applyNumberFormat="1" applyFont="1" applyAlignment="1">
      <alignment horizontal="center"/>
    </xf>
    <xf numFmtId="166" fontId="2" fillId="2" borderId="0" xfId="1" applyNumberFormat="1" applyFont="1" applyFill="1" applyAlignment="1">
      <alignment horizontal="center"/>
    </xf>
    <xf numFmtId="0" fontId="15" fillId="0" borderId="4" xfId="0" applyFont="1" applyBorder="1"/>
    <xf numFmtId="0" fontId="15" fillId="0" borderId="5" xfId="0" applyFont="1" applyBorder="1"/>
    <xf numFmtId="0" fontId="15" fillId="0" borderId="6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9" xfId="0" applyFont="1" applyBorder="1"/>
    <xf numFmtId="0" fontId="15" fillId="0" borderId="10" xfId="0" applyFont="1" applyBorder="1"/>
    <xf numFmtId="0" fontId="15" fillId="0" borderId="11" xfId="0" applyFont="1" applyBorder="1"/>
    <xf numFmtId="0" fontId="2" fillId="28" borderId="0" xfId="0" applyFont="1" applyFill="1" applyAlignment="1">
      <alignment horizontal="center"/>
    </xf>
    <xf numFmtId="10" fontId="2" fillId="28" borderId="0" xfId="0" applyNumberFormat="1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10" fontId="2" fillId="29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168" fontId="2" fillId="2" borderId="0" xfId="1" applyNumberFormat="1" applyFont="1" applyFill="1" applyAlignment="1">
      <alignment horizontal="center" vertical="center"/>
    </xf>
    <xf numFmtId="167" fontId="2" fillId="0" borderId="0" xfId="1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5" fillId="0" borderId="13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0" xfId="0" applyFont="1" applyAlignment="1">
      <alignment horizontal="center" wrapText="1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8AD8"/>
      <color rgb="FFD5FC79"/>
      <color rgb="FF73FDD6"/>
      <color rgb="FFD883FF"/>
      <color rgb="FFFFD579"/>
      <color rgb="FFE8FFC5"/>
      <color rgb="FF929000"/>
      <color rgb="FF8E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7247827"/>
          <a:ext cx="1514489" cy="13589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635938"/>
          <a:ext cx="482599" cy="56173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3951" y="34320698"/>
          <a:ext cx="1141052" cy="949773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116</xdr:row>
      <xdr:rowOff>164081</xdr:rowOff>
    </xdr:from>
    <xdr:to>
      <xdr:col>4</xdr:col>
      <xdr:colOff>490409</xdr:colOff>
      <xdr:row>123</xdr:row>
      <xdr:rowOff>195058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120</xdr:row>
      <xdr:rowOff>75478</xdr:rowOff>
    </xdr:from>
    <xdr:to>
      <xdr:col>5</xdr:col>
      <xdr:colOff>777752</xdr:colOff>
      <xdr:row>120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116</xdr:row>
      <xdr:rowOff>134547</xdr:rowOff>
    </xdr:from>
    <xdr:to>
      <xdr:col>2</xdr:col>
      <xdr:colOff>528348</xdr:colOff>
      <xdr:row>119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117</xdr:row>
      <xdr:rowOff>11116</xdr:rowOff>
    </xdr:from>
    <xdr:to>
      <xdr:col>2</xdr:col>
      <xdr:colOff>603364</xdr:colOff>
      <xdr:row>118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120</xdr:row>
      <xdr:rowOff>124703</xdr:rowOff>
    </xdr:from>
    <xdr:to>
      <xdr:col>2</xdr:col>
      <xdr:colOff>548037</xdr:colOff>
      <xdr:row>120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119</xdr:row>
      <xdr:rowOff>80031</xdr:rowOff>
    </xdr:from>
    <xdr:to>
      <xdr:col>2</xdr:col>
      <xdr:colOff>268634</xdr:colOff>
      <xdr:row>120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121</xdr:row>
      <xdr:rowOff>105013</xdr:rowOff>
    </xdr:from>
    <xdr:to>
      <xdr:col>2</xdr:col>
      <xdr:colOff>544755</xdr:colOff>
      <xdr:row>124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122</xdr:row>
      <xdr:rowOff>47213</xdr:rowOff>
    </xdr:from>
    <xdr:to>
      <xdr:col>2</xdr:col>
      <xdr:colOff>258790</xdr:colOff>
      <xdr:row>123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247</xdr:row>
      <xdr:rowOff>118139</xdr:rowOff>
    </xdr:from>
    <xdr:to>
      <xdr:col>7</xdr:col>
      <xdr:colOff>525066</xdr:colOff>
      <xdr:row>247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243</xdr:row>
      <xdr:rowOff>183772</xdr:rowOff>
    </xdr:from>
    <xdr:to>
      <xdr:col>7</xdr:col>
      <xdr:colOff>387236</xdr:colOff>
      <xdr:row>245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242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244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248</xdr:row>
      <xdr:rowOff>160801</xdr:rowOff>
    </xdr:from>
    <xdr:to>
      <xdr:col>7</xdr:col>
      <xdr:colOff>413490</xdr:colOff>
      <xdr:row>250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250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248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248</xdr:row>
      <xdr:rowOff>157519</xdr:rowOff>
    </xdr:from>
    <xdr:to>
      <xdr:col>6</xdr:col>
      <xdr:colOff>341294</xdr:colOff>
      <xdr:row>250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250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248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248</xdr:row>
      <xdr:rowOff>144393</xdr:rowOff>
    </xdr:from>
    <xdr:to>
      <xdr:col>5</xdr:col>
      <xdr:colOff>275660</xdr:colOff>
      <xdr:row>249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248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250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248</xdr:row>
      <xdr:rowOff>150957</xdr:rowOff>
    </xdr:from>
    <xdr:to>
      <xdr:col>4</xdr:col>
      <xdr:colOff>164084</xdr:colOff>
      <xdr:row>249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248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271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277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276</xdr:row>
      <xdr:rowOff>91887</xdr:rowOff>
    </xdr:from>
    <xdr:to>
      <xdr:col>6</xdr:col>
      <xdr:colOff>748218</xdr:colOff>
      <xdr:row>278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275</xdr:row>
      <xdr:rowOff>193617</xdr:rowOff>
    </xdr:from>
    <xdr:to>
      <xdr:col>5</xdr:col>
      <xdr:colOff>744935</xdr:colOff>
      <xdr:row>277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276</xdr:row>
      <xdr:rowOff>3282</xdr:rowOff>
    </xdr:from>
    <xdr:to>
      <xdr:col>5</xdr:col>
      <xdr:colOff>49225</xdr:colOff>
      <xdr:row>277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278</xdr:row>
      <xdr:rowOff>62352</xdr:rowOff>
    </xdr:from>
    <xdr:to>
      <xdr:col>4</xdr:col>
      <xdr:colOff>36098</xdr:colOff>
      <xdr:row>278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279</xdr:row>
      <xdr:rowOff>177209</xdr:rowOff>
    </xdr:from>
    <xdr:to>
      <xdr:col>4</xdr:col>
      <xdr:colOff>784315</xdr:colOff>
      <xdr:row>280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283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283</xdr:row>
      <xdr:rowOff>98450</xdr:rowOff>
    </xdr:from>
    <xdr:to>
      <xdr:col>5</xdr:col>
      <xdr:colOff>813850</xdr:colOff>
      <xdr:row>284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284</xdr:row>
      <xdr:rowOff>137830</xdr:rowOff>
    </xdr:from>
    <xdr:to>
      <xdr:col>5</xdr:col>
      <xdr:colOff>183773</xdr:colOff>
      <xdr:row>285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283</xdr:row>
      <xdr:rowOff>82042</xdr:rowOff>
    </xdr:from>
    <xdr:to>
      <xdr:col>4</xdr:col>
      <xdr:colOff>377391</xdr:colOff>
      <xdr:row>284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287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291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294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296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296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299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301</xdr:row>
      <xdr:rowOff>134547</xdr:rowOff>
    </xdr:from>
    <xdr:to>
      <xdr:col>5</xdr:col>
      <xdr:colOff>118140</xdr:colOff>
      <xdr:row>303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303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300</xdr:row>
      <xdr:rowOff>75478</xdr:rowOff>
    </xdr:from>
    <xdr:to>
      <xdr:col>4</xdr:col>
      <xdr:colOff>708838</xdr:colOff>
      <xdr:row>308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308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321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324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325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326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326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338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348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349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350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350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359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363</xdr:row>
      <xdr:rowOff>58057</xdr:rowOff>
    </xdr:from>
    <xdr:to>
      <xdr:col>10</xdr:col>
      <xdr:colOff>486228</xdr:colOff>
      <xdr:row>373</xdr:row>
      <xdr:rowOff>117933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  <xdr:twoCellAnchor>
    <xdr:from>
      <xdr:col>6</xdr:col>
      <xdr:colOff>200036</xdr:colOff>
      <xdr:row>8</xdr:row>
      <xdr:rowOff>69780</xdr:rowOff>
    </xdr:from>
    <xdr:to>
      <xdr:col>7</xdr:col>
      <xdr:colOff>604762</xdr:colOff>
      <xdr:row>12</xdr:row>
      <xdr:rowOff>134908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677EE45F-75D2-4964-790D-86CF814AD1B8}"/>
            </a:ext>
          </a:extLst>
        </xdr:cNvPr>
        <xdr:cNvSpPr/>
      </xdr:nvSpPr>
      <xdr:spPr>
        <a:xfrm>
          <a:off x="13484325018" y="1725897"/>
          <a:ext cx="1228132" cy="88388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מספר אחד באחוזים:</a:t>
          </a:r>
          <a:r>
            <a:rPr lang="he-IL" sz="1100" baseline="0"/>
            <a:t> ריבית אפקטיבית</a:t>
          </a:r>
          <a:endParaRPr lang="en-US" sz="1100"/>
        </a:p>
      </xdr:txBody>
    </xdr:sp>
    <xdr:clientData/>
  </xdr:twoCellAnchor>
  <xdr:twoCellAnchor>
    <xdr:from>
      <xdr:col>7</xdr:col>
      <xdr:colOff>628022</xdr:colOff>
      <xdr:row>7</xdr:row>
      <xdr:rowOff>167472</xdr:rowOff>
    </xdr:from>
    <xdr:to>
      <xdr:col>7</xdr:col>
      <xdr:colOff>818754</xdr:colOff>
      <xdr:row>8</xdr:row>
      <xdr:rowOff>97693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5EE88625-16AC-27C4-A58A-21A95FC249D8}"/>
            </a:ext>
          </a:extLst>
        </xdr:cNvPr>
        <xdr:cNvCxnSpPr/>
      </xdr:nvCxnSpPr>
      <xdr:spPr>
        <a:xfrm>
          <a:off x="13484111026" y="1618901"/>
          <a:ext cx="190732" cy="1349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609414</xdr:colOff>
      <xdr:row>9</xdr:row>
      <xdr:rowOff>93040</xdr:rowOff>
    </xdr:from>
    <xdr:to>
      <xdr:col>8</xdr:col>
      <xdr:colOff>4652</xdr:colOff>
      <xdr:row>9</xdr:row>
      <xdr:rowOff>195385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7FF73FD-1EC9-B8AF-A543-A509BB15A1A0}"/>
            </a:ext>
          </a:extLst>
        </xdr:cNvPr>
        <xdr:cNvCxnSpPr/>
      </xdr:nvCxnSpPr>
      <xdr:spPr>
        <a:xfrm>
          <a:off x="13484101721" y="1953846"/>
          <a:ext cx="218645" cy="1023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623370</xdr:colOff>
      <xdr:row>11</xdr:row>
      <xdr:rowOff>69780</xdr:rowOff>
    </xdr:from>
    <xdr:to>
      <xdr:col>8</xdr:col>
      <xdr:colOff>4651</xdr:colOff>
      <xdr:row>11</xdr:row>
      <xdr:rowOff>134909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113FD5C-7BBA-67E3-0CDC-34428C1B40DA}"/>
            </a:ext>
          </a:extLst>
        </xdr:cNvPr>
        <xdr:cNvCxnSpPr/>
      </xdr:nvCxnSpPr>
      <xdr:spPr>
        <a:xfrm>
          <a:off x="13484101722" y="2339963"/>
          <a:ext cx="204688" cy="651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614066</xdr:colOff>
      <xdr:row>12</xdr:row>
      <xdr:rowOff>88388</xdr:rowOff>
    </xdr:from>
    <xdr:to>
      <xdr:col>7</xdr:col>
      <xdr:colOff>790842</xdr:colOff>
      <xdr:row>13</xdr:row>
      <xdr:rowOff>32565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871DE628-0B38-E54D-566E-CC4976071476}"/>
            </a:ext>
          </a:extLst>
        </xdr:cNvPr>
        <xdr:cNvCxnSpPr/>
      </xdr:nvCxnSpPr>
      <xdr:spPr>
        <a:xfrm flipV="1">
          <a:off x="13484138938" y="2563260"/>
          <a:ext cx="176776" cy="1488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125604</xdr:colOff>
      <xdr:row>22</xdr:row>
      <xdr:rowOff>69781</xdr:rowOff>
    </xdr:from>
    <xdr:to>
      <xdr:col>5</xdr:col>
      <xdr:colOff>693149</xdr:colOff>
      <xdr:row>22</xdr:row>
      <xdr:rowOff>74432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ED1709F5-DEBD-3395-1577-50E3E59ED07A}"/>
            </a:ext>
          </a:extLst>
        </xdr:cNvPr>
        <xdr:cNvCxnSpPr/>
      </xdr:nvCxnSpPr>
      <xdr:spPr>
        <a:xfrm>
          <a:off x="13485883444" y="4424067"/>
          <a:ext cx="303776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22</xdr:row>
      <xdr:rowOff>13956</xdr:rowOff>
    </xdr:from>
    <xdr:to>
      <xdr:col>5</xdr:col>
      <xdr:colOff>390769</xdr:colOff>
      <xdr:row>22</xdr:row>
      <xdr:rowOff>162821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15FD95BD-F55E-F317-D2F5-A98074DBA1A4}"/>
            </a:ext>
          </a:extLst>
        </xdr:cNvPr>
        <xdr:cNvCxnSpPr/>
      </xdr:nvCxnSpPr>
      <xdr:spPr>
        <a:xfrm>
          <a:off x="13486185824" y="4572930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21</xdr:row>
      <xdr:rowOff>204688</xdr:rowOff>
    </xdr:from>
    <xdr:to>
      <xdr:col>3</xdr:col>
      <xdr:colOff>400073</xdr:colOff>
      <xdr:row>22</xdr:row>
      <xdr:rowOff>148865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CA6BF480-8B04-12B1-0C3F-95B21639AD20}"/>
            </a:ext>
          </a:extLst>
        </xdr:cNvPr>
        <xdr:cNvCxnSpPr/>
      </xdr:nvCxnSpPr>
      <xdr:spPr>
        <a:xfrm>
          <a:off x="13487823333" y="4558974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725715</xdr:colOff>
      <xdr:row>19</xdr:row>
      <xdr:rowOff>126629</xdr:rowOff>
    </xdr:from>
    <xdr:ext cx="3453589" cy="40395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בש״ח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ריבית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קרן</m:t>
                        </m:r>
                      </m:den>
                    </m:f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112</m:t>
                        </m:r>
                        <m:r>
                          <a:rPr lang="he-IL" sz="1100" b="0" i="1">
                            <a:solidFill>
                              <a:sysClr val="windowText" lastClr="000000"/>
                            </a:solidFill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num>
                      <m:den>
                        <m:r>
                          <a:rPr lang="he-IL" sz="1100" b="0" i="1">
                            <a:solidFill>
                              <a:srgbClr val="00B050"/>
                            </a:solidFill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96878726-3ED7-1E65-BC8F-4BFC58550D42}"/>
                </a:ext>
              </a:extLst>
            </xdr:cNvPr>
            <xdr:cNvSpPr txBox="1"/>
          </xdr:nvSpPr>
          <xdr:spPr>
            <a:xfrm>
              <a:off x="13482397289" y="4071537"/>
              <a:ext cx="3453589" cy="4039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בש״ח ריבית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קרן=(</a:t>
              </a:r>
              <a:r>
                <a:rPr lang="he-IL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112</a:t>
              </a:r>
              <a:r>
                <a:rPr lang="he-IL" sz="11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−</a:t>
              </a:r>
              <a:r>
                <a:rPr lang="he-IL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100)/100</a:t>
              </a:r>
              <a:r>
                <a:rPr lang="he-IL" sz="1100" b="0" i="0">
                  <a:latin typeface="Cambria Math" panose="02040503050406030204" pitchFamily="18" charset="0"/>
                </a:rPr>
                <a:t>=12/100=0.12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24425</xdr:colOff>
      <xdr:row>29</xdr:row>
      <xdr:rowOff>114299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C1A3F5B1-73B3-038F-6D7D-6DBAB5CAF63D}"/>
                </a:ext>
              </a:extLst>
            </xdr:cNvPr>
            <xdr:cNvSpPr txBox="1"/>
          </xdr:nvSpPr>
          <xdr:spPr>
            <a:xfrm>
              <a:off x="13517311940" y="6122376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820618</xdr:colOff>
      <xdr:row>30</xdr:row>
      <xdr:rowOff>16608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79DBEBDF-7C0B-FD46-232F-BD520269C03C}"/>
                </a:ext>
              </a:extLst>
            </xdr:cNvPr>
            <xdr:cNvSpPr txBox="1"/>
          </xdr:nvSpPr>
          <xdr:spPr>
            <a:xfrm>
              <a:off x="13520830307" y="622983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801079</xdr:colOff>
      <xdr:row>30</xdr:row>
      <xdr:rowOff>202223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8" name="TextBox 77">
              <a:extLst>
                <a:ext uri="{FF2B5EF4-FFF2-40B4-BE49-F238E27FC236}">
                  <a16:creationId xmlns:a16="http://schemas.microsoft.com/office/drawing/2014/main" id="{9D460F4E-C2CE-F104-B02D-4C0D76A8A4A7}"/>
                </a:ext>
              </a:extLst>
            </xdr:cNvPr>
            <xdr:cNvSpPr txBox="1"/>
          </xdr:nvSpPr>
          <xdr:spPr>
            <a:xfrm>
              <a:off x="13520849846" y="6415454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435429</xdr:colOff>
      <xdr:row>31</xdr:row>
      <xdr:rowOff>156307</xdr:rowOff>
    </xdr:from>
    <xdr:to>
      <xdr:col>8</xdr:col>
      <xdr:colOff>571500</xdr:colOff>
      <xdr:row>37</xdr:row>
      <xdr:rowOff>24191</xdr:rowOff>
    </xdr:to>
    <xdr:sp macro="" textlink="">
      <xdr:nvSpPr>
        <xdr:cNvPr id="79" name="Down Arrow 78">
          <a:extLst>
            <a:ext uri="{FF2B5EF4-FFF2-40B4-BE49-F238E27FC236}">
              <a16:creationId xmlns:a16="http://schemas.microsoft.com/office/drawing/2014/main" id="{D635A7B3-E760-2CEB-3843-718D8E42F999}"/>
            </a:ext>
          </a:extLst>
        </xdr:cNvPr>
        <xdr:cNvSpPr/>
      </xdr:nvSpPr>
      <xdr:spPr>
        <a:xfrm>
          <a:off x="13567334405" y="6603069"/>
          <a:ext cx="136071" cy="110159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36</xdr:row>
      <xdr:rowOff>69781</xdr:rowOff>
    </xdr:from>
    <xdr:to>
      <xdr:col>5</xdr:col>
      <xdr:colOff>693149</xdr:colOff>
      <xdr:row>36</xdr:row>
      <xdr:rowOff>74432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D7FC248-59BF-2B4D-AA5A-167873FD3F96}"/>
            </a:ext>
          </a:extLst>
        </xdr:cNvPr>
        <xdr:cNvCxnSpPr/>
      </xdr:nvCxnSpPr>
      <xdr:spPr>
        <a:xfrm>
          <a:off x="13520171351" y="4641781"/>
          <a:ext cx="3044045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36</xdr:row>
      <xdr:rowOff>13956</xdr:rowOff>
    </xdr:from>
    <xdr:to>
      <xdr:col>5</xdr:col>
      <xdr:colOff>390769</xdr:colOff>
      <xdr:row>36</xdr:row>
      <xdr:rowOff>162821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988ED33D-CFE3-C94E-84E4-0403C55C5407}"/>
            </a:ext>
          </a:extLst>
        </xdr:cNvPr>
        <xdr:cNvCxnSpPr/>
      </xdr:nvCxnSpPr>
      <xdr:spPr>
        <a:xfrm>
          <a:off x="13520473731" y="4585956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35</xdr:row>
      <xdr:rowOff>204688</xdr:rowOff>
    </xdr:from>
    <xdr:to>
      <xdr:col>3</xdr:col>
      <xdr:colOff>400073</xdr:colOff>
      <xdr:row>36</xdr:row>
      <xdr:rowOff>148865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E79E231C-E299-AB4B-AFB1-14009EB891F7}"/>
            </a:ext>
          </a:extLst>
        </xdr:cNvPr>
        <xdr:cNvCxnSpPr/>
      </xdr:nvCxnSpPr>
      <xdr:spPr>
        <a:xfrm>
          <a:off x="13522115427" y="4571534"/>
          <a:ext cx="0" cy="149331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791309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7B7AD6F9-4BEA-D224-7145-F530E94A6102}"/>
                </a:ext>
              </a:extLst>
            </xdr:cNvPr>
            <xdr:cNvSpPr txBox="1"/>
          </xdr:nvSpPr>
          <xdr:spPr>
            <a:xfrm>
              <a:off x="13520034116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0=100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</xdr:colOff>
      <xdr:row>38</xdr:row>
      <xdr:rowOff>16607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=112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2EED3116-2889-EFF6-29B7-085A26A63B83}"/>
                </a:ext>
              </a:extLst>
            </xdr:cNvPr>
            <xdr:cNvSpPr txBox="1"/>
          </xdr:nvSpPr>
          <xdr:spPr>
            <a:xfrm>
              <a:off x="13521650923" y="7871069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=112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459154</xdr:colOff>
      <xdr:row>37</xdr:row>
      <xdr:rowOff>89875</xdr:rowOff>
    </xdr:from>
    <xdr:ext cx="1652445" cy="3180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112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=0.12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9CEB79A8-4908-BBFA-270D-1B426FDF3E45}"/>
                </a:ext>
              </a:extLst>
            </xdr:cNvPr>
            <xdr:cNvSpPr txBox="1"/>
          </xdr:nvSpPr>
          <xdr:spPr>
            <a:xfrm>
              <a:off x="13517101901" y="7739183"/>
              <a:ext cx="1652445" cy="3180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112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=0.12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9</xdr:col>
      <xdr:colOff>211667</xdr:colOff>
      <xdr:row>28</xdr:row>
      <xdr:rowOff>120952</xdr:rowOff>
    </xdr:from>
    <xdr:to>
      <xdr:col>9</xdr:col>
      <xdr:colOff>695476</xdr:colOff>
      <xdr:row>41</xdr:row>
      <xdr:rowOff>96762</xdr:rowOff>
    </xdr:to>
    <xdr:sp macro="" textlink="">
      <xdr:nvSpPr>
        <xdr:cNvPr id="88" name="Left Brace 87">
          <a:extLst>
            <a:ext uri="{FF2B5EF4-FFF2-40B4-BE49-F238E27FC236}">
              <a16:creationId xmlns:a16="http://schemas.microsoft.com/office/drawing/2014/main" id="{00BD7480-0FF5-A9CE-E759-8BF16D46B3D3}"/>
            </a:ext>
          </a:extLst>
        </xdr:cNvPr>
        <xdr:cNvSpPr/>
      </xdr:nvSpPr>
      <xdr:spPr>
        <a:xfrm>
          <a:off x="13566381905" y="5950857"/>
          <a:ext cx="483809" cy="264885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125604</xdr:colOff>
      <xdr:row>56</xdr:row>
      <xdr:rowOff>69781</xdr:rowOff>
    </xdr:from>
    <xdr:to>
      <xdr:col>5</xdr:col>
      <xdr:colOff>693149</xdr:colOff>
      <xdr:row>56</xdr:row>
      <xdr:rowOff>74432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1637B299-E483-1747-BC93-67AD3504CA3C}"/>
            </a:ext>
          </a:extLst>
        </xdr:cNvPr>
        <xdr:cNvCxnSpPr/>
      </xdr:nvCxnSpPr>
      <xdr:spPr>
        <a:xfrm>
          <a:off x="13569698327" y="7544638"/>
          <a:ext cx="3053116" cy="465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390769</xdr:colOff>
      <xdr:row>56</xdr:row>
      <xdr:rowOff>13956</xdr:rowOff>
    </xdr:from>
    <xdr:to>
      <xdr:col>5</xdr:col>
      <xdr:colOff>390769</xdr:colOff>
      <xdr:row>56</xdr:row>
      <xdr:rowOff>162821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337271C6-BEB4-3945-A5E7-068C32EC8C90}"/>
            </a:ext>
          </a:extLst>
        </xdr:cNvPr>
        <xdr:cNvCxnSpPr/>
      </xdr:nvCxnSpPr>
      <xdr:spPr>
        <a:xfrm>
          <a:off x="13570000707" y="7488813"/>
          <a:ext cx="0" cy="14886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400073</xdr:colOff>
      <xdr:row>55</xdr:row>
      <xdr:rowOff>204688</xdr:rowOff>
    </xdr:from>
    <xdr:to>
      <xdr:col>3</xdr:col>
      <xdr:colOff>400073</xdr:colOff>
      <xdr:row>56</xdr:row>
      <xdr:rowOff>148865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B48A8E5D-0993-4B44-889A-25A0842665EE}"/>
            </a:ext>
          </a:extLst>
        </xdr:cNvPr>
        <xdr:cNvCxnSpPr/>
      </xdr:nvCxnSpPr>
      <xdr:spPr>
        <a:xfrm>
          <a:off x="13571648451" y="7473926"/>
          <a:ext cx="0" cy="14979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774330</xdr:colOff>
      <xdr:row>60</xdr:row>
      <xdr:rowOff>59870</xdr:rowOff>
    </xdr:from>
    <xdr:ext cx="105163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745692A8-6D4B-DC46-BEC7-EB92E49D33A2}"/>
                </a:ext>
              </a:extLst>
            </xdr:cNvPr>
            <xdr:cNvSpPr txBox="1"/>
          </xdr:nvSpPr>
          <xdr:spPr>
            <a:xfrm>
              <a:off x="13570222559" y="12493775"/>
              <a:ext cx="105163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𝑟_𝑒=(𝐶𝐹_𝑡)/(𝐶𝐹_0 )−1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34428</xdr:colOff>
      <xdr:row>60</xdr:row>
      <xdr:rowOff>22656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5" name="TextBox 94">
              <a:extLst>
                <a:ext uri="{FF2B5EF4-FFF2-40B4-BE49-F238E27FC236}">
                  <a16:creationId xmlns:a16="http://schemas.microsoft.com/office/drawing/2014/main" id="{D0DE8057-650E-054E-8085-D0CD11191C5F}"/>
                </a:ext>
              </a:extLst>
            </xdr:cNvPr>
            <xdr:cNvSpPr txBox="1"/>
          </xdr:nvSpPr>
          <xdr:spPr>
            <a:xfrm>
              <a:off x="13573635092" y="12432370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39079</xdr:colOff>
      <xdr:row>61</xdr:row>
      <xdr:rowOff>20795</xdr:rowOff>
    </xdr:from>
    <xdr:ext cx="86457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6" name="TextBox 95">
              <a:extLst>
                <a:ext uri="{FF2B5EF4-FFF2-40B4-BE49-F238E27FC236}">
                  <a16:creationId xmlns:a16="http://schemas.microsoft.com/office/drawing/2014/main" id="{110E4E87-8AB0-C14D-BAD0-ED2E595AAD82}"/>
                </a:ext>
              </a:extLst>
            </xdr:cNvPr>
            <xdr:cNvSpPr txBox="1"/>
          </xdr:nvSpPr>
          <xdr:spPr>
            <a:xfrm>
              <a:off x="13573630441" y="12636128"/>
              <a:ext cx="86457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193523</xdr:colOff>
      <xdr:row>43</xdr:row>
      <xdr:rowOff>102810</xdr:rowOff>
    </xdr:from>
    <xdr:to>
      <xdr:col>7</xdr:col>
      <xdr:colOff>514047</xdr:colOff>
      <xdr:row>52</xdr:row>
      <xdr:rowOff>24190</xdr:rowOff>
    </xdr:to>
    <xdr:sp macro="" textlink="">
      <xdr:nvSpPr>
        <xdr:cNvPr id="97" name="Left Brace 96">
          <a:extLst>
            <a:ext uri="{FF2B5EF4-FFF2-40B4-BE49-F238E27FC236}">
              <a16:creationId xmlns:a16="http://schemas.microsoft.com/office/drawing/2014/main" id="{0191CFB0-7279-3EF5-236B-6A8FBF8B21C4}"/>
            </a:ext>
          </a:extLst>
        </xdr:cNvPr>
        <xdr:cNvSpPr/>
      </xdr:nvSpPr>
      <xdr:spPr>
        <a:xfrm>
          <a:off x="13568220381" y="9017000"/>
          <a:ext cx="320524" cy="17719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677567</xdr:colOff>
      <xdr:row>56</xdr:row>
      <xdr:rowOff>192918</xdr:rowOff>
    </xdr:from>
    <xdr:ext cx="105163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=143,000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D3499135-341E-4ED7-558C-4098BC3DEE26}"/>
                </a:ext>
              </a:extLst>
            </xdr:cNvPr>
            <xdr:cNvSpPr txBox="1"/>
          </xdr:nvSpPr>
          <xdr:spPr>
            <a:xfrm>
              <a:off x="13569490798" y="11804347"/>
              <a:ext cx="105163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_0=143,000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725949</xdr:colOff>
      <xdr:row>56</xdr:row>
      <xdr:rowOff>180823</xdr:rowOff>
    </xdr:from>
    <xdr:ext cx="2352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=185,000+3,000=188,000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D8B3765-F8AA-7EAB-5A5B-7C68B7B19668}"/>
                </a:ext>
              </a:extLst>
            </xdr:cNvPr>
            <xdr:cNvSpPr txBox="1"/>
          </xdr:nvSpPr>
          <xdr:spPr>
            <a:xfrm>
              <a:off x="13571455857" y="11792252"/>
              <a:ext cx="23522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_4=185,000+3,000=188,000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725714</xdr:colOff>
      <xdr:row>60</xdr:row>
      <xdr:rowOff>162679</xdr:rowOff>
    </xdr:from>
    <xdr:ext cx="1717107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188,000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143,000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F8482C99-483E-6DD2-2E2D-5767C5B74701}"/>
                </a:ext>
              </a:extLst>
            </xdr:cNvPr>
            <xdr:cNvSpPr txBox="1"/>
          </xdr:nvSpPr>
          <xdr:spPr>
            <a:xfrm>
              <a:off x="13566291607" y="12596584"/>
              <a:ext cx="1717107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𝑟_𝑒=188,000/143,000−1=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641048</xdr:colOff>
      <xdr:row>76</xdr:row>
      <xdr:rowOff>120346</xdr:rowOff>
    </xdr:from>
    <xdr:ext cx="322191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1+31.4685315%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F9A91726-CE41-04A2-CFE6-9243CE1E3E6B}"/>
                </a:ext>
              </a:extLst>
            </xdr:cNvPr>
            <xdr:cNvSpPr txBox="1"/>
          </xdr:nvSpPr>
          <xdr:spPr>
            <a:xfrm>
              <a:off x="13569014082" y="15868346"/>
              <a:ext cx="322191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</a:t>
              </a:r>
              <a:r>
                <a:rPr lang="en-US" sz="11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(1+31.4685315%)</a:t>
              </a:r>
              <a:r>
                <a:rPr lang="he-IL" sz="1100" b="0" i="0">
                  <a:latin typeface="Cambria Math" panose="02040503050406030204" pitchFamily="18" charset="0"/>
                </a:rPr>
                <a:t>〗^(1/4)−1]∗100=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181428</xdr:colOff>
      <xdr:row>78</xdr:row>
      <xdr:rowOff>60476</xdr:rowOff>
    </xdr:from>
    <xdr:to>
      <xdr:col>6</xdr:col>
      <xdr:colOff>181428</xdr:colOff>
      <xdr:row>79</xdr:row>
      <xdr:rowOff>96762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8F3E119F-ABA7-32C5-9FEE-5E4D6005D6B6}"/>
            </a:ext>
          </a:extLst>
        </xdr:cNvPr>
        <xdr:cNvCxnSpPr/>
      </xdr:nvCxnSpPr>
      <xdr:spPr>
        <a:xfrm>
          <a:off x="13569381524" y="1621971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465667</xdr:colOff>
      <xdr:row>78</xdr:row>
      <xdr:rowOff>36286</xdr:rowOff>
    </xdr:from>
    <xdr:to>
      <xdr:col>4</xdr:col>
      <xdr:colOff>465667</xdr:colOff>
      <xdr:row>79</xdr:row>
      <xdr:rowOff>72572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B9166534-2C51-0EF6-0181-250E744506E1}"/>
            </a:ext>
          </a:extLst>
        </xdr:cNvPr>
        <xdr:cNvCxnSpPr/>
      </xdr:nvCxnSpPr>
      <xdr:spPr>
        <a:xfrm>
          <a:off x="13570754333" y="16195524"/>
          <a:ext cx="0" cy="2419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308428</xdr:colOff>
      <xdr:row>77</xdr:row>
      <xdr:rowOff>151191</xdr:rowOff>
    </xdr:from>
    <xdr:to>
      <xdr:col>3</xdr:col>
      <xdr:colOff>701524</xdr:colOff>
      <xdr:row>80</xdr:row>
      <xdr:rowOff>60476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504631B9-C896-E6BF-6707-2F1A3B313F84}"/>
            </a:ext>
          </a:extLst>
        </xdr:cNvPr>
        <xdr:cNvCxnSpPr/>
      </xdr:nvCxnSpPr>
      <xdr:spPr>
        <a:xfrm>
          <a:off x="13571347000" y="16104810"/>
          <a:ext cx="1221619" cy="5261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45357</xdr:colOff>
      <xdr:row>86</xdr:row>
      <xdr:rowOff>31749</xdr:rowOff>
    </xdr:from>
    <xdr:ext cx="166395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1A19388-2ACD-D543-80A8-5C9BEABDD87C}"/>
                </a:ext>
              </a:extLst>
            </xdr:cNvPr>
            <xdr:cNvSpPr txBox="1"/>
          </xdr:nvSpPr>
          <xdr:spPr>
            <a:xfrm>
              <a:off x="13519155187" y="17721035"/>
              <a:ext cx="166395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𝑟_𝑒=[(𝐶𝐹_𝑡)/(𝐶𝐹_0 )−1]∗100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734786</xdr:colOff>
      <xdr:row>90</xdr:row>
      <xdr:rowOff>18142</xdr:rowOff>
    </xdr:from>
    <xdr:ext cx="3221917" cy="2424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8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8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8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8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09" name="TextBox 108">
              <a:extLst>
                <a:ext uri="{FF2B5EF4-FFF2-40B4-BE49-F238E27FC236}">
                  <a16:creationId xmlns:a16="http://schemas.microsoft.com/office/drawing/2014/main" id="{B925015F-48B8-9C4D-94C6-4DC2DD384D14}"/>
                </a:ext>
              </a:extLst>
            </xdr:cNvPr>
            <xdr:cNvSpPr txBox="1"/>
          </xdr:nvSpPr>
          <xdr:spPr>
            <a:xfrm>
              <a:off x="13518558797" y="18523856"/>
              <a:ext cx="3221917" cy="2424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𝑟</a:t>
              </a:r>
              <a:r>
                <a:rPr lang="en-US" sz="8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800" b="0" i="0">
                  <a:latin typeface="Cambria Math" panose="02040503050406030204" pitchFamily="18" charset="0"/>
                </a:rPr>
                <a:t>〖[</a:t>
              </a:r>
              <a:r>
                <a:rPr lang="en-US" sz="800" b="0" i="0">
                  <a:latin typeface="Cambria Math" panose="02040503050406030204" pitchFamily="18" charset="0"/>
                </a:rPr>
                <a:t>(1+𝑟_𝑒 )</a:t>
              </a:r>
              <a:r>
                <a:rPr lang="he-IL" sz="800" b="0" i="0">
                  <a:latin typeface="Cambria Math" panose="02040503050406030204" pitchFamily="18" charset="0"/>
                </a:rPr>
                <a:t>〗^(רצוי</a:t>
              </a:r>
              <a:r>
                <a:rPr lang="en-US" sz="800" b="0" i="0">
                  <a:latin typeface="Cambria Math" panose="02040503050406030204" pitchFamily="18" charset="0"/>
                </a:rPr>
                <a:t>/</a:t>
              </a:r>
              <a:r>
                <a:rPr lang="he-IL" sz="800" b="0" i="0">
                  <a:latin typeface="Cambria Math" panose="02040503050406030204" pitchFamily="18" charset="0"/>
                </a:rPr>
                <a:t>מצוי)−1]∗100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693209</xdr:colOff>
      <xdr:row>110</xdr:row>
      <xdr:rowOff>126999</xdr:rowOff>
    </xdr:from>
    <xdr:ext cx="5905499" cy="30328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0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000" b="0" i="1">
                            <a:latin typeface="Cambria Math" panose="02040503050406030204" pitchFamily="18" charset="0"/>
                          </a:rPr>
                          <m:t>𝑎𝑛𝑛𝑢𝑎𝑙</m:t>
                        </m:r>
                      </m:e>
                    </m:d>
                    <m:r>
                      <a:rPr lang="en-US" sz="10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000" b="0" i="1">
                                    <a:latin typeface="Cambria Math" panose="02040503050406030204" pitchFamily="18" charset="0"/>
                                  </a:rPr>
                                  <m:t>𝑒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he-IL" sz="1000" b="0" i="1">
                        <a:latin typeface="Cambria Math" panose="02040503050406030204" pitchFamily="18" charset="0"/>
                      </a:rPr>
                      <m:t>→</m:t>
                    </m:r>
                    <m:sSup>
                      <m:sSupPr>
                        <m:ctrlPr>
                          <a:rPr lang="he-IL" sz="10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0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0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27.717391%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0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0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</m:sup>
                    </m:sSup>
                    <m:r>
                      <a:rPr lang="he-IL" sz="1000" b="0" i="0">
                        <a:latin typeface="Cambria Math" panose="02040503050406030204" pitchFamily="18" charset="0"/>
                      </a:rPr>
                      <m:t>−1]∗100</m:t>
                    </m:r>
                    <m:r>
                      <a:rPr lang="en-US" sz="10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0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68EB2EA8-9759-D53E-EFF6-FE748E332910}"/>
                </a:ext>
              </a:extLst>
            </xdr:cNvPr>
            <xdr:cNvSpPr txBox="1"/>
          </xdr:nvSpPr>
          <xdr:spPr>
            <a:xfrm>
              <a:off x="13518393292" y="22436666"/>
              <a:ext cx="5905499" cy="30328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0" i="0">
                  <a:latin typeface="Cambria Math" panose="02040503050406030204" pitchFamily="18" charset="0"/>
                </a:rPr>
                <a:t>𝑟</a:t>
              </a:r>
              <a:r>
                <a:rPr lang="en-US" sz="1000" b="0" i="0">
                  <a:latin typeface="Cambria Math" panose="02040503050406030204" pitchFamily="18" charset="0"/>
                </a:rPr>
                <a:t>_𝑒 (𝑎𝑛𝑛𝑢𝑎𝑙)=</a:t>
              </a:r>
              <a:r>
                <a:rPr lang="he-IL" sz="1000" b="0" i="0">
                  <a:latin typeface="Cambria Math" panose="02040503050406030204" pitchFamily="18" charset="0"/>
                </a:rPr>
                <a:t>〖[</a:t>
              </a:r>
              <a:r>
                <a:rPr lang="en-US" sz="1000" b="0" i="0">
                  <a:latin typeface="Cambria Math" panose="02040503050406030204" pitchFamily="18" charset="0"/>
                </a:rPr>
                <a:t>(1+𝑟_𝑒 )</a:t>
              </a:r>
              <a:r>
                <a:rPr lang="he-IL" sz="1000" b="0" i="0">
                  <a:latin typeface="Cambria Math" panose="02040503050406030204" pitchFamily="18" charset="0"/>
                </a:rPr>
                <a:t>〗^(רצוי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מצוי)−1]∗100→〖[</a:t>
              </a:r>
              <a:r>
                <a:rPr lang="en-US" sz="1000" b="0" i="0">
                  <a:latin typeface="Cambria Math" panose="02040503050406030204" pitchFamily="18" charset="0"/>
                </a:rPr>
                <a:t>(1+</a:t>
              </a:r>
              <a:r>
                <a:rPr lang="he-IL" sz="1000" b="0" i="0">
                  <a:latin typeface="Cambria Math" panose="02040503050406030204" pitchFamily="18" charset="0"/>
                </a:rPr>
                <a:t>27.717391%</a:t>
              </a:r>
              <a:r>
                <a:rPr lang="en-US" sz="1000" b="0" i="0">
                  <a:latin typeface="Cambria Math" panose="02040503050406030204" pitchFamily="18" charset="0"/>
                </a:rPr>
                <a:t>)</a:t>
              </a:r>
              <a:r>
                <a:rPr lang="he-IL" sz="1000" b="0" i="0">
                  <a:latin typeface="Cambria Math" panose="02040503050406030204" pitchFamily="18" charset="0"/>
                </a:rPr>
                <a:t>〗^(1</a:t>
              </a:r>
              <a:r>
                <a:rPr lang="en-US" sz="1000" b="0" i="0">
                  <a:latin typeface="Cambria Math" panose="02040503050406030204" pitchFamily="18" charset="0"/>
                </a:rPr>
                <a:t>/</a:t>
              </a:r>
              <a:r>
                <a:rPr lang="he-IL" sz="1000" b="0" i="0">
                  <a:latin typeface="Cambria Math" panose="02040503050406030204" pitchFamily="18" charset="0"/>
                </a:rPr>
                <a:t>6)−1]∗100</a:t>
              </a:r>
              <a:r>
                <a:rPr lang="en-US" sz="1000" b="0" i="0">
                  <a:latin typeface="Cambria Math" panose="02040503050406030204" pitchFamily="18" charset="0"/>
                </a:rPr>
                <a:t>=</a:t>
              </a:r>
              <a:endParaRPr lang="en-US" sz="1000"/>
            </a:p>
          </xdr:txBody>
        </xdr:sp>
      </mc:Fallback>
    </mc:AlternateContent>
    <xdr:clientData/>
  </xdr:oneCellAnchor>
  <xdr:oneCellAnchor>
    <xdr:from>
      <xdr:col>2</xdr:col>
      <xdr:colOff>435429</xdr:colOff>
      <xdr:row>93</xdr:row>
      <xdr:rowOff>136070</xdr:rowOff>
    </xdr:from>
    <xdr:ext cx="2965706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470,000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368,000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7E067622-E4B0-9F4B-805B-45066E6CB929}"/>
                </a:ext>
              </a:extLst>
            </xdr:cNvPr>
            <xdr:cNvSpPr txBox="1"/>
          </xdr:nvSpPr>
          <xdr:spPr>
            <a:xfrm>
              <a:off x="13519939865" y="19254106"/>
              <a:ext cx="2965706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[470,000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368,000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376464</xdr:colOff>
      <xdr:row>87</xdr:row>
      <xdr:rowOff>108857</xdr:rowOff>
    </xdr:from>
    <xdr:to>
      <xdr:col>5</xdr:col>
      <xdr:colOff>376464</xdr:colOff>
      <xdr:row>88</xdr:row>
      <xdr:rowOff>90714</xdr:rowOff>
    </xdr:to>
    <xdr:cxnSp macro="">
      <xdr:nvCxnSpPr>
        <xdr:cNvPr id="114" name="Straight Arrow Connector 113">
          <a:extLst>
            <a:ext uri="{FF2B5EF4-FFF2-40B4-BE49-F238E27FC236}">
              <a16:creationId xmlns:a16="http://schemas.microsoft.com/office/drawing/2014/main" id="{557972C3-8E79-D8BB-8250-BE653F224CF1}"/>
            </a:ext>
          </a:extLst>
        </xdr:cNvPr>
        <xdr:cNvCxnSpPr/>
      </xdr:nvCxnSpPr>
      <xdr:spPr>
        <a:xfrm>
          <a:off x="13520488036" y="18002250"/>
          <a:ext cx="0" cy="1859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142875</xdr:colOff>
      <xdr:row>156</xdr:row>
      <xdr:rowOff>3174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0031ECAD-01C1-F1E4-6F3E-127EAEED3B16}"/>
                </a:ext>
              </a:extLst>
            </xdr:cNvPr>
            <xdr:cNvSpPr txBox="1"/>
          </xdr:nvSpPr>
          <xdr:spPr>
            <a:xfrm>
              <a:off x="13518855887" y="31657924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𝐶𝐹_0∗(1+𝑅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𝑛)^𝑡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</xdr:colOff>
      <xdr:row>159</xdr:row>
      <xdr:rowOff>8465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8C2E3265-F0E2-56F4-81BC-4C521325D8A2}"/>
                </a:ext>
              </a:extLst>
            </xdr:cNvPr>
            <xdr:cNvSpPr txBox="1"/>
          </xdr:nvSpPr>
          <xdr:spPr>
            <a:xfrm>
              <a:off x="13524526332" y="322664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15876</xdr:colOff>
      <xdr:row>159</xdr:row>
      <xdr:rowOff>198965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A77A5100-2CE5-0B86-2E09-FD57F9A9E1FE}"/>
                </a:ext>
              </a:extLst>
            </xdr:cNvPr>
            <xdr:cNvSpPr txBox="1"/>
          </xdr:nvSpPr>
          <xdr:spPr>
            <a:xfrm>
              <a:off x="13524510457" y="32456965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10584</xdr:colOff>
      <xdr:row>161</xdr:row>
      <xdr:rowOff>13756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𝑛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E602D928-CD49-CD65-F48E-CB64503724B3}"/>
                </a:ext>
              </a:extLst>
            </xdr:cNvPr>
            <xdr:cNvSpPr txBox="1"/>
          </xdr:nvSpPr>
          <xdr:spPr>
            <a:xfrm>
              <a:off x="13524515749" y="326739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𝑛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63500</xdr:colOff>
      <xdr:row>165</xdr:row>
      <xdr:rowOff>34923</xdr:rowOff>
    </xdr:from>
    <xdr:ext cx="46566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14CF82C-4749-0637-D86B-9BCEE3AD29F9}"/>
                </a:ext>
              </a:extLst>
            </xdr:cNvPr>
            <xdr:cNvSpPr txBox="1"/>
          </xdr:nvSpPr>
          <xdr:spPr>
            <a:xfrm>
              <a:off x="13524462833" y="33499423"/>
              <a:ext cx="46566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174625</xdr:colOff>
      <xdr:row>169</xdr:row>
      <xdr:rowOff>188383</xdr:rowOff>
    </xdr:from>
    <xdr:ext cx="1865738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5CC2FE18-2193-0448-319C-F27EE1B61B1F}"/>
                </a:ext>
              </a:extLst>
            </xdr:cNvPr>
            <xdr:cNvSpPr txBox="1"/>
          </xdr:nvSpPr>
          <xdr:spPr>
            <a:xfrm>
              <a:off x="13518824137" y="34457216"/>
              <a:ext cx="1865738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100</a:t>
              </a:r>
              <a:r>
                <a:rPr lang="en-US" sz="1100" b="0" i="0">
                  <a:latin typeface="Cambria Math" panose="02040503050406030204" pitchFamily="18" charset="0"/>
                </a:rPr>
                <a:t>∗(1+</a:t>
              </a:r>
              <a:r>
                <a:rPr lang="he-IL" sz="1100" b="0" i="0">
                  <a:latin typeface="Cambria Math" panose="02040503050406030204" pitchFamily="18" charset="0"/>
                </a:rPr>
                <a:t>(10%)/4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180</xdr:row>
      <xdr:rowOff>201083</xdr:rowOff>
    </xdr:from>
    <xdr:ext cx="3222625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110.3812891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1" name="TextBox 120">
              <a:extLst>
                <a:ext uri="{FF2B5EF4-FFF2-40B4-BE49-F238E27FC236}">
                  <a16:creationId xmlns:a16="http://schemas.microsoft.com/office/drawing/2014/main" id="{D1AC6261-EAE7-574D-BF63-89C96E97FB08}"/>
                </a:ext>
              </a:extLst>
            </xdr:cNvPr>
            <xdr:cNvSpPr txBox="1"/>
          </xdr:nvSpPr>
          <xdr:spPr>
            <a:xfrm>
              <a:off x="13518467375" y="36713583"/>
              <a:ext cx="3222625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(𝐶𝐹_𝑡)/(𝐶𝐹_0 )−1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r>
                <a:rPr lang="en-US" sz="1100" b="0" i="0">
                  <a:latin typeface="Cambria Math" panose="02040503050406030204" pitchFamily="18" charset="0"/>
                </a:rPr>
                <a:t>→</a:t>
              </a:r>
              <a:r>
                <a:rPr lang="he-IL" sz="1100" b="0" i="0">
                  <a:latin typeface="Cambria Math" panose="02040503050406030204" pitchFamily="18" charset="0"/>
                </a:rPr>
                <a:t>[110.3812891/100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333375</xdr:colOff>
      <xdr:row>186</xdr:row>
      <xdr:rowOff>93133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2" name="TextBox 121">
              <a:extLst>
                <a:ext uri="{FF2B5EF4-FFF2-40B4-BE49-F238E27FC236}">
                  <a16:creationId xmlns:a16="http://schemas.microsoft.com/office/drawing/2014/main" id="{5C6346F8-2EC8-E6BF-E55E-A6FBAF280796}"/>
                </a:ext>
              </a:extLst>
            </xdr:cNvPr>
            <xdr:cNvSpPr txBox="1"/>
          </xdr:nvSpPr>
          <xdr:spPr>
            <a:xfrm>
              <a:off x="13518919387" y="37812133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767292</xdr:colOff>
      <xdr:row>194</xdr:row>
      <xdr:rowOff>98424</xdr:rowOff>
    </xdr:from>
    <xdr:ext cx="2717696" cy="3916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3" name="TextBox 122">
              <a:extLst>
                <a:ext uri="{FF2B5EF4-FFF2-40B4-BE49-F238E27FC236}">
                  <a16:creationId xmlns:a16="http://schemas.microsoft.com/office/drawing/2014/main" id="{524B5787-5EA8-2471-ED35-240724022D68}"/>
                </a:ext>
              </a:extLst>
            </xdr:cNvPr>
            <xdr:cNvSpPr txBox="1"/>
          </xdr:nvSpPr>
          <xdr:spPr>
            <a:xfrm>
              <a:off x="13519030512" y="39426091"/>
              <a:ext cx="2717696" cy="3916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4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264584</xdr:colOff>
      <xdr:row>212</xdr:row>
      <xdr:rowOff>31750</xdr:rowOff>
    </xdr:from>
    <xdr:ext cx="1611738" cy="39055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241F565A-0099-EA4B-A2C7-A42787CD8B3C}"/>
                </a:ext>
              </a:extLst>
            </xdr:cNvPr>
            <xdr:cNvSpPr txBox="1"/>
          </xdr:nvSpPr>
          <xdr:spPr>
            <a:xfrm>
              <a:off x="13518162678" y="42978917"/>
              <a:ext cx="1611738" cy="39055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139700</xdr:colOff>
      <xdr:row>218</xdr:row>
      <xdr:rowOff>69850</xdr:rowOff>
    </xdr:from>
    <xdr:ext cx="4797322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12.6825%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5" name="TextBox 124">
              <a:extLst>
                <a:ext uri="{FF2B5EF4-FFF2-40B4-BE49-F238E27FC236}">
                  <a16:creationId xmlns:a16="http://schemas.microsoft.com/office/drawing/2014/main" id="{FC5B3395-13B2-70FE-1FE7-075FD692389D}"/>
                </a:ext>
              </a:extLst>
            </xdr:cNvPr>
            <xdr:cNvSpPr txBox="1"/>
          </xdr:nvSpPr>
          <xdr:spPr>
            <a:xfrm>
              <a:off x="13517578478" y="44646850"/>
              <a:ext cx="4797322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r>
                <a:rPr lang="he-IL" sz="1100" b="0" i="0">
                  <a:latin typeface="Cambria Math" panose="02040503050406030204" pitchFamily="18" charset="0"/>
                </a:rPr>
                <a:t>12.6825%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304800</xdr:colOff>
      <xdr:row>228</xdr:row>
      <xdr:rowOff>76200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8%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6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6" name="TextBox 125">
              <a:extLst>
                <a:ext uri="{FF2B5EF4-FFF2-40B4-BE49-F238E27FC236}">
                  <a16:creationId xmlns:a16="http://schemas.microsoft.com/office/drawing/2014/main" id="{A181388D-3DB3-0247-9A80-F5BDA0E85BB9}"/>
                </a:ext>
              </a:extLst>
            </xdr:cNvPr>
            <xdr:cNvSpPr txBox="1"/>
          </xdr:nvSpPr>
          <xdr:spPr>
            <a:xfrm>
              <a:off x="13517413378" y="46710600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𝑟_𝑒=[(1+𝑅/𝑛)^𝑡−1]∗100→[(1+</a:t>
              </a:r>
              <a:r>
                <a:rPr lang="he-IL" sz="1100" b="0" i="0">
                  <a:latin typeface="Cambria Math" panose="02040503050406030204" pitchFamily="18" charset="0"/>
                </a:rPr>
                <a:t>(8%)/6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699613</xdr:colOff>
      <xdr:row>7</xdr:row>
      <xdr:rowOff>35649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1173F06-B093-1349-8E29-4E9D44B0DF94}"/>
                </a:ext>
              </a:extLst>
            </xdr:cNvPr>
            <xdr:cNvSpPr txBox="1"/>
          </xdr:nvSpPr>
          <xdr:spPr>
            <a:xfrm>
              <a:off x="13499776644" y="1470526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739718</xdr:colOff>
      <xdr:row>13</xdr:row>
      <xdr:rowOff>8912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DB0F94D-259D-3D01-2F24-0ABB39C3784D}"/>
                </a:ext>
              </a:extLst>
            </xdr:cNvPr>
            <xdr:cNvSpPr txBox="1"/>
          </xdr:nvSpPr>
          <xdr:spPr>
            <a:xfrm>
              <a:off x="13499736539" y="2673684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646139</xdr:colOff>
      <xdr:row>19</xdr:row>
      <xdr:rowOff>75754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66919321-7F82-8B72-8AF7-7B2EACF1D90C}"/>
                </a:ext>
              </a:extLst>
            </xdr:cNvPr>
            <xdr:cNvSpPr txBox="1"/>
          </xdr:nvSpPr>
          <xdr:spPr>
            <a:xfrm>
              <a:off x="13499830118" y="3970421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[(</a:t>
              </a:r>
              <a:r>
                <a:rPr lang="en-US" sz="1100" b="0" i="0">
                  <a:latin typeface="Cambria Math" panose="02040503050406030204" pitchFamily="18" charset="0"/>
                </a:rPr>
                <a:t>𝐶𝐹_𝑡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</a:t>
              </a:r>
              <a:r>
                <a:rPr lang="he-IL" sz="1100" b="0" i="0">
                  <a:latin typeface="Cambria Math" panose="02040503050406030204" pitchFamily="18" charset="0"/>
                </a:rPr>
                <a:t>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597121</xdr:colOff>
      <xdr:row>27</xdr:row>
      <xdr:rowOff>71299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F2960B7C-FC07-CCFC-B181-DE65EFC71313}"/>
                </a:ext>
              </a:extLst>
            </xdr:cNvPr>
            <xdr:cNvSpPr txBox="1"/>
          </xdr:nvSpPr>
          <xdr:spPr>
            <a:xfrm>
              <a:off x="13499879136" y="5605825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623860</xdr:colOff>
      <xdr:row>63</xdr:row>
      <xdr:rowOff>187160</xdr:rowOff>
    </xdr:from>
    <xdr:ext cx="4797322" cy="3933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𝑅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D18DF0B2-919C-D142-942F-FCCAAA7A533D}"/>
                </a:ext>
              </a:extLst>
            </xdr:cNvPr>
            <xdr:cNvSpPr txBox="1"/>
          </xdr:nvSpPr>
          <xdr:spPr>
            <a:xfrm>
              <a:off x="13499028011" y="11274037"/>
              <a:ext cx="4797322" cy="3933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𝑟_𝑒=[(1+𝑅/𝑛)^𝑡−1]∗100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17825</xdr:colOff>
      <xdr:row>66</xdr:row>
      <xdr:rowOff>75755</xdr:rowOff>
    </xdr:from>
    <xdr:ext cx="2511321" cy="39376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A70FAA91-22C7-CF2D-89B0-75E9A430A161}"/>
                </a:ext>
              </a:extLst>
            </xdr:cNvPr>
            <xdr:cNvSpPr txBox="1"/>
          </xdr:nvSpPr>
          <xdr:spPr>
            <a:xfrm>
              <a:off x="13500244538" y="11777580"/>
              <a:ext cx="2511321" cy="393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𝑟_𝑒=[(1+(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)/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12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655054</xdr:colOff>
      <xdr:row>72</xdr:row>
      <xdr:rowOff>115861</xdr:rowOff>
    </xdr:from>
    <xdr:ext cx="4797322" cy="2863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800" b="0" i="1">
                                    <a:solidFill>
                                      <a:schemeClr val="bg2">
                                        <a:lumMod val="75000"/>
                                      </a:schemeClr>
                                    </a:solidFill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12%</m:t>
                                    </m:r>
                                  </m:num>
                                  <m:den>
                                    <m:r>
                                      <a:rPr lang="he-IL" sz="800" b="0" i="1">
                                        <a:solidFill>
                                          <a:schemeClr val="bg2">
                                            <a:lumMod val="75000"/>
                                          </a:schemeClr>
                                        </a:solidFill>
                                        <a:latin typeface="Cambria Math" panose="02040503050406030204" pitchFamily="18" charset="0"/>
                                      </a:rPr>
                                      <m:t>12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he-IL" sz="800" b="0" i="1">
                                <a:solidFill>
                                  <a:schemeClr val="bg2">
                                    <a:lumMod val="75000"/>
                                  </a:schemeClr>
                                </a:solidFill>
                                <a:latin typeface="Cambria Math" panose="02040503050406030204" pitchFamily="18" charset="0"/>
                              </a:rPr>
                              <m:t>6</m:t>
                            </m:r>
                          </m:sup>
                        </m:sSup>
                        <m:r>
                          <a:rPr lang="en-US" sz="800" b="0" i="1">
                            <a:solidFill>
                              <a:schemeClr val="bg2">
                                <a:lumMod val="75000"/>
                              </a:schemeClr>
                            </a:solidFill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800" b="0" i="1">
                        <a:solidFill>
                          <a:schemeClr val="bg2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3D608631-6CED-59E2-25A5-CE68A6B0AC9F}"/>
                </a:ext>
              </a:extLst>
            </xdr:cNvPr>
            <xdr:cNvSpPr txBox="1"/>
          </xdr:nvSpPr>
          <xdr:spPr>
            <a:xfrm>
              <a:off x="13499821203" y="13047580"/>
              <a:ext cx="4797322" cy="2863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𝑟_𝑒=[(1+(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12%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)/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12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)^</a:t>
              </a:r>
              <a:r>
                <a:rPr lang="he-IL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6</a:t>
              </a:r>
              <a:r>
                <a:rPr lang="en-US" sz="800" b="0" i="0">
                  <a:solidFill>
                    <a:schemeClr val="bg2">
                      <a:lumMod val="75000"/>
                    </a:schemeClr>
                  </a:solidFill>
                  <a:latin typeface="Cambria Math" panose="02040503050406030204" pitchFamily="18" charset="0"/>
                </a:rPr>
                <a:t>−1]∗100</a:t>
              </a:r>
              <a:endParaRPr lang="en-US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mc:Fallback>
    </mc:AlternateContent>
    <xdr:clientData/>
  </xdr:oneCellAnchor>
  <xdr:oneCellAnchor>
    <xdr:from>
      <xdr:col>3</xdr:col>
      <xdr:colOff>98035</xdr:colOff>
      <xdr:row>78</xdr:row>
      <xdr:rowOff>129228</xdr:rowOff>
    </xdr:from>
    <xdr:ext cx="4797322" cy="32252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78C1B3E1-124F-3E4C-B7BF-27C80537F650}"/>
                </a:ext>
              </a:extLst>
            </xdr:cNvPr>
            <xdr:cNvSpPr txBox="1"/>
          </xdr:nvSpPr>
          <xdr:spPr>
            <a:xfrm>
              <a:off x="13499553836" y="14290842"/>
              <a:ext cx="4797322" cy="32252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</a:t>
              </a:r>
              <a:r>
                <a:rPr lang="en-US" sz="1100" b="0" i="0">
                  <a:latin typeface="Cambria Math" panose="02040503050406030204" pitchFamily="18" charset="0"/>
                </a:rPr>
                <a:t>𝑑</a:t>
              </a:r>
              <a:r>
                <a:rPr lang="he-IL" sz="1100" b="0" i="0">
                  <a:latin typeface="Cambria Math" panose="02040503050406030204" pitchFamily="18" charset="0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106947</xdr:colOff>
      <xdr:row>82</xdr:row>
      <xdr:rowOff>4456</xdr:rowOff>
    </xdr:from>
    <xdr:ext cx="4797322" cy="3246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1−5%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14CD07C2-59E5-330E-5F84-E195C77E8AD2}"/>
                </a:ext>
              </a:extLst>
            </xdr:cNvPr>
            <xdr:cNvSpPr txBox="1"/>
          </xdr:nvSpPr>
          <xdr:spPr>
            <a:xfrm>
              <a:off x="13499544924" y="14986000"/>
              <a:ext cx="4797322" cy="32464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[1/(1−5%)</a:t>
              </a:r>
              <a:r>
                <a:rPr lang="en-US" sz="1100" b="0" i="0">
                  <a:latin typeface="Cambria Math" panose="02040503050406030204" pitchFamily="18" charset="0"/>
                </a:rPr>
                <a:t>−1</a:t>
              </a:r>
              <a:r>
                <a:rPr lang="he-IL" sz="1100" b="0" i="0">
                  <a:latin typeface="Cambria Math" panose="02040503050406030204" pitchFamily="18" charset="0"/>
                </a:rPr>
                <a:t>]∗100=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90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3B3A3D3-0664-294C-BDEA-D0E9C1B12EDD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91</xdr:row>
      <xdr:rowOff>200526</xdr:rowOff>
    </xdr:from>
    <xdr:to>
      <xdr:col>6</xdr:col>
      <xdr:colOff>369860</xdr:colOff>
      <xdr:row>93</xdr:row>
      <xdr:rowOff>102491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2BD2FCCF-AEC3-906D-96A1-652A9F04B5F4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91</xdr:row>
      <xdr:rowOff>196070</xdr:rowOff>
    </xdr:from>
    <xdr:to>
      <xdr:col>5</xdr:col>
      <xdr:colOff>650596</xdr:colOff>
      <xdr:row>93</xdr:row>
      <xdr:rowOff>98035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077C855-DCCB-8CE7-1BA1-4D22C548BAE1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91</xdr:row>
      <xdr:rowOff>120316</xdr:rowOff>
    </xdr:from>
    <xdr:to>
      <xdr:col>5</xdr:col>
      <xdr:colOff>525824</xdr:colOff>
      <xdr:row>93</xdr:row>
      <xdr:rowOff>164877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6E79BF60-2DA4-8110-90B5-1F53916400D2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95</xdr:row>
      <xdr:rowOff>22281</xdr:rowOff>
    </xdr:from>
    <xdr:to>
      <xdr:col>6</xdr:col>
      <xdr:colOff>369860</xdr:colOff>
      <xdr:row>101</xdr:row>
      <xdr:rowOff>164877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B529FE78-9C91-BAEF-C69D-E9A632EEF429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97</xdr:row>
      <xdr:rowOff>62386</xdr:rowOff>
    </xdr:from>
    <xdr:to>
      <xdr:col>5</xdr:col>
      <xdr:colOff>641684</xdr:colOff>
      <xdr:row>101</xdr:row>
      <xdr:rowOff>151508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D7030813-0EF3-FDB2-5257-B5E46A51A1DC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100</xdr:row>
      <xdr:rowOff>17825</xdr:rowOff>
    </xdr:from>
    <xdr:to>
      <xdr:col>5</xdr:col>
      <xdr:colOff>236176</xdr:colOff>
      <xdr:row>102</xdr:row>
      <xdr:rowOff>13368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C0DAEE4A-2213-59CE-D6BF-91F603506E61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102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1+5.2632%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6E04FA9-0BB0-4566-857E-9865D3EF1CF6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(1+5.2632%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548106</xdr:colOff>
      <xdr:row>111</xdr:row>
      <xdr:rowOff>196070</xdr:rowOff>
    </xdr:from>
    <xdr:ext cx="479732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973EB8-FF50-5B7D-D832-D59E294798BF}"/>
                </a:ext>
              </a:extLst>
            </xdr:cNvPr>
            <xdr:cNvSpPr txBox="1"/>
          </xdr:nvSpPr>
          <xdr:spPr>
            <a:xfrm>
              <a:off x="13499103765" y="21122105"/>
              <a:ext cx="479732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(𝐶𝐹</a:t>
              </a:r>
              <a:r>
                <a:rPr lang="en-US" sz="1100" b="0" i="0">
                  <a:latin typeface="Cambria Math" panose="02040503050406030204" pitchFamily="18" charset="0"/>
                </a:rPr>
                <a:t>_𝑡</a:t>
              </a:r>
              <a:r>
                <a:rPr lang="he-IL" sz="1100" b="0" i="0">
                  <a:latin typeface="Cambria Math" panose="02040503050406030204" pitchFamily="18" charset="0"/>
                </a:rPr>
                <a:t>)/(</a:t>
              </a:r>
              <a:r>
                <a:rPr lang="en-US" sz="1100" b="0" i="0">
                  <a:latin typeface="Cambria Math" panose="02040503050406030204" pitchFamily="18" charset="0"/>
                </a:rPr>
                <a:t>𝐶𝐹_0</a:t>
              </a:r>
              <a:r>
                <a:rPr lang="he-IL" sz="1100" b="0" i="0">
                  <a:latin typeface="Cambria Math" panose="02040503050406030204" pitchFamily="18" charset="0"/>
                </a:rPr>
                <a:t> )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334212</xdr:colOff>
      <xdr:row>116</xdr:row>
      <xdr:rowOff>40106</xdr:rowOff>
    </xdr:from>
    <xdr:ext cx="4797322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113,000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DA9BD387-A4F1-5AB3-2179-746D9DCFB67E}"/>
                </a:ext>
              </a:extLst>
            </xdr:cNvPr>
            <xdr:cNvSpPr txBox="1"/>
          </xdr:nvSpPr>
          <xdr:spPr>
            <a:xfrm>
              <a:off x="13499317659" y="21991053"/>
              <a:ext cx="4797322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113,000/100,000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704070</xdr:colOff>
      <xdr:row>123</xdr:row>
      <xdr:rowOff>196069</xdr:rowOff>
    </xdr:from>
    <xdr:ext cx="4797322" cy="1751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44290C34-867F-9445-B1BF-5886B8C2ED7E}"/>
                </a:ext>
              </a:extLst>
            </xdr:cNvPr>
            <xdr:cNvSpPr txBox="1"/>
          </xdr:nvSpPr>
          <xdr:spPr>
            <a:xfrm>
              <a:off x="13499772187" y="16817473"/>
              <a:ext cx="4797322" cy="17511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𝑟)^𝑡−1]∗100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360948</xdr:colOff>
      <xdr:row>124</xdr:row>
      <xdr:rowOff>200526</xdr:rowOff>
    </xdr:from>
    <xdr:to>
      <xdr:col>6</xdr:col>
      <xdr:colOff>369860</xdr:colOff>
      <xdr:row>126</xdr:row>
      <xdr:rowOff>102491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E3977753-3469-0749-BBCE-D8CB94BA6750}"/>
            </a:ext>
          </a:extLst>
        </xdr:cNvPr>
        <xdr:cNvCxnSpPr/>
      </xdr:nvCxnSpPr>
      <xdr:spPr>
        <a:xfrm>
          <a:off x="13501490316" y="17026912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641684</xdr:colOff>
      <xdr:row>124</xdr:row>
      <xdr:rowOff>196070</xdr:rowOff>
    </xdr:from>
    <xdr:to>
      <xdr:col>5</xdr:col>
      <xdr:colOff>650596</xdr:colOff>
      <xdr:row>126</xdr:row>
      <xdr:rowOff>98035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150D8BB-0734-BA42-971F-BA7353DE8B76}"/>
            </a:ext>
          </a:extLst>
        </xdr:cNvPr>
        <xdr:cNvCxnSpPr/>
      </xdr:nvCxnSpPr>
      <xdr:spPr>
        <a:xfrm>
          <a:off x="13502123088" y="17022456"/>
          <a:ext cx="8912" cy="31193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427789</xdr:colOff>
      <xdr:row>124</xdr:row>
      <xdr:rowOff>120316</xdr:rowOff>
    </xdr:from>
    <xdr:to>
      <xdr:col>5</xdr:col>
      <xdr:colOff>525824</xdr:colOff>
      <xdr:row>126</xdr:row>
      <xdr:rowOff>164877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F45164D-141C-FC46-B50A-6727BF01A2C9}"/>
            </a:ext>
          </a:extLst>
        </xdr:cNvPr>
        <xdr:cNvCxnSpPr/>
      </xdr:nvCxnSpPr>
      <xdr:spPr>
        <a:xfrm>
          <a:off x="13502247860" y="16946702"/>
          <a:ext cx="922421" cy="4545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365404</xdr:colOff>
      <xdr:row>128</xdr:row>
      <xdr:rowOff>22281</xdr:rowOff>
    </xdr:from>
    <xdr:to>
      <xdr:col>6</xdr:col>
      <xdr:colOff>369860</xdr:colOff>
      <xdr:row>134</xdr:row>
      <xdr:rowOff>164877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AADFC1D8-AB61-F349-848F-6470A57945A5}"/>
            </a:ext>
          </a:extLst>
        </xdr:cNvPr>
        <xdr:cNvCxnSpPr/>
      </xdr:nvCxnSpPr>
      <xdr:spPr>
        <a:xfrm>
          <a:off x="13501490316" y="17668597"/>
          <a:ext cx="4456" cy="13724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628316</xdr:colOff>
      <xdr:row>130</xdr:row>
      <xdr:rowOff>62386</xdr:rowOff>
    </xdr:from>
    <xdr:to>
      <xdr:col>5</xdr:col>
      <xdr:colOff>641684</xdr:colOff>
      <xdr:row>134</xdr:row>
      <xdr:rowOff>151508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7B654E1E-60CD-494E-950D-B3849C1FAA1B}"/>
            </a:ext>
          </a:extLst>
        </xdr:cNvPr>
        <xdr:cNvCxnSpPr/>
      </xdr:nvCxnSpPr>
      <xdr:spPr>
        <a:xfrm>
          <a:off x="13502132000" y="18118667"/>
          <a:ext cx="13368" cy="9090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365403</xdr:colOff>
      <xdr:row>133</xdr:row>
      <xdr:rowOff>17825</xdr:rowOff>
    </xdr:from>
    <xdr:to>
      <xdr:col>5</xdr:col>
      <xdr:colOff>236176</xdr:colOff>
      <xdr:row>135</xdr:row>
      <xdr:rowOff>13368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FCD8284F-1C64-034B-8180-A6F84A267BBE}"/>
            </a:ext>
          </a:extLst>
        </xdr:cNvPr>
        <xdr:cNvCxnSpPr/>
      </xdr:nvCxnSpPr>
      <xdr:spPr>
        <a:xfrm flipH="1">
          <a:off x="13502537508" y="18689053"/>
          <a:ext cx="695159" cy="4055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552562</xdr:colOff>
      <xdr:row>135</xdr:row>
      <xdr:rowOff>17824</xdr:rowOff>
    </xdr:from>
    <xdr:ext cx="47973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1+13%</m:t>
                                </m:r>
                              </m:e>
                            </m:d>
                          </m:e>
                          <m:sup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27DA6D85-3AB6-6846-A121-87A824620485}"/>
                </a:ext>
              </a:extLst>
            </xdr:cNvPr>
            <xdr:cNvSpPr txBox="1"/>
          </xdr:nvSpPr>
          <xdr:spPr>
            <a:xfrm>
              <a:off x="13499923695" y="19099017"/>
              <a:ext cx="47973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𝑟_𝑒=[</a:t>
              </a:r>
              <a:r>
                <a:rPr lang="he-IL" sz="1100" b="0" i="0">
                  <a:latin typeface="Cambria Math" panose="02040503050406030204" pitchFamily="18" charset="0"/>
                </a:rPr>
                <a:t>(1+13%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−1]∗100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231720</xdr:colOff>
      <xdr:row>148</xdr:row>
      <xdr:rowOff>93579</xdr:rowOff>
    </xdr:from>
    <xdr:to>
      <xdr:col>7</xdr:col>
      <xdr:colOff>712983</xdr:colOff>
      <xdr:row>148</xdr:row>
      <xdr:rowOff>102491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EDE8D632-0AE4-E20D-BEC8-B9C3D70DD86B}"/>
            </a:ext>
          </a:extLst>
        </xdr:cNvPr>
        <xdr:cNvCxnSpPr/>
      </xdr:nvCxnSpPr>
      <xdr:spPr>
        <a:xfrm>
          <a:off x="13500255965" y="28603965"/>
          <a:ext cx="5610280" cy="891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690704</xdr:colOff>
      <xdr:row>148</xdr:row>
      <xdr:rowOff>95359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A7B46251-6AC6-4B27-858F-ABFD827D4DDE}"/>
                </a:ext>
              </a:extLst>
            </xdr:cNvPr>
            <xdr:cNvSpPr txBox="1"/>
          </xdr:nvSpPr>
          <xdr:spPr>
            <a:xfrm>
              <a:off x="13502894826" y="28605745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100,000∗(1+(3%)/6)^6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352035</xdr:colOff>
      <xdr:row>150</xdr:row>
      <xdr:rowOff>124772</xdr:rowOff>
    </xdr:from>
    <xdr:to>
      <xdr:col>3</xdr:col>
      <xdr:colOff>360947</xdr:colOff>
      <xdr:row>153</xdr:row>
      <xdr:rowOff>182702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80484F66-CD12-872F-48D0-47DAFA3EB1AE}"/>
            </a:ext>
          </a:extLst>
        </xdr:cNvPr>
        <xdr:cNvCxnSpPr/>
      </xdr:nvCxnSpPr>
      <xdr:spPr>
        <a:xfrm>
          <a:off x="13504088246" y="29045123"/>
          <a:ext cx="8912" cy="67287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138140</xdr:colOff>
      <xdr:row>149</xdr:row>
      <xdr:rowOff>66843</xdr:rowOff>
    </xdr:from>
    <xdr:to>
      <xdr:col>3</xdr:col>
      <xdr:colOff>138140</xdr:colOff>
      <xdr:row>152</xdr:row>
      <xdr:rowOff>178245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8FDA447D-866C-D07F-6280-4DAE8FA5A342}"/>
            </a:ext>
          </a:extLst>
        </xdr:cNvPr>
        <xdr:cNvCxnSpPr/>
      </xdr:nvCxnSpPr>
      <xdr:spPr>
        <a:xfrm>
          <a:off x="13504311053" y="28782211"/>
          <a:ext cx="0" cy="7263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668422</xdr:colOff>
      <xdr:row>156</xdr:row>
      <xdr:rowOff>90902</xdr:rowOff>
    </xdr:from>
    <xdr:ext cx="1688049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0037C725-4AE6-87A5-AE68-88E36B4EB36B}"/>
                </a:ext>
              </a:extLst>
            </xdr:cNvPr>
            <xdr:cNvSpPr txBox="1"/>
          </xdr:nvSpPr>
          <xdr:spPr>
            <a:xfrm>
              <a:off x="13501241599" y="30241148"/>
              <a:ext cx="1688049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∗(1+𝑅/𝑛)^𝑡=𝐶𝐹_𝑡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788459</xdr:colOff>
      <xdr:row>158</xdr:row>
      <xdr:rowOff>86445</xdr:rowOff>
    </xdr:from>
    <xdr:ext cx="230856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100,000∗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6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6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103,038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95DB1F9A-C0A2-747F-1A7C-8459E81F9E8F}"/>
                </a:ext>
              </a:extLst>
            </xdr:cNvPr>
            <xdr:cNvSpPr txBox="1"/>
          </xdr:nvSpPr>
          <xdr:spPr>
            <a:xfrm>
              <a:off x="13519598390" y="30079612"/>
              <a:ext cx="230856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100,000∗(1+(3%)/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)^</a:t>
              </a:r>
              <a:r>
                <a:rPr lang="he-IL" sz="1100" b="0" i="0">
                  <a:latin typeface="Cambria Math" panose="02040503050406030204" pitchFamily="18" charset="0"/>
                </a:rPr>
                <a:t>6</a:t>
              </a:r>
              <a:r>
                <a:rPr lang="en-US" sz="1100" b="0" i="0">
                  <a:latin typeface="Cambria Math" panose="02040503050406030204" pitchFamily="18" charset="0"/>
                </a:rPr>
                <a:t>=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806562</xdr:colOff>
      <xdr:row>161</xdr:row>
      <xdr:rowOff>202308</xdr:rowOff>
    </xdr:from>
    <xdr:ext cx="1523172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0AEC7CC4-C866-1A4B-08EA-255245D10DFB}"/>
                </a:ext>
              </a:extLst>
            </xdr:cNvPr>
            <xdr:cNvSpPr txBox="1"/>
          </xdr:nvSpPr>
          <xdr:spPr>
            <a:xfrm>
              <a:off x="13501268336" y="31377466"/>
              <a:ext cx="1523172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227541</xdr:colOff>
      <xdr:row>165</xdr:row>
      <xdr:rowOff>149392</xdr:rowOff>
    </xdr:from>
    <xdr:ext cx="2398526" cy="335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103,038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96,000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60E9B70A-DF57-27B7-1A54-4AE15FAE40D3}"/>
                </a:ext>
              </a:extLst>
            </xdr:cNvPr>
            <xdr:cNvSpPr txBox="1"/>
          </xdr:nvSpPr>
          <xdr:spPr>
            <a:xfrm>
              <a:off x="13519217391" y="31550142"/>
              <a:ext cx="2398526" cy="335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</a:t>
              </a:r>
              <a:r>
                <a:rPr lang="he-IL" sz="1100" b="0" i="0">
                  <a:latin typeface="Cambria Math" panose="02040503050406030204" pitchFamily="18" charset="0"/>
                </a:rPr>
                <a:t>103,038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96,000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21166</xdr:colOff>
      <xdr:row>168</xdr:row>
      <xdr:rowOff>101766</xdr:rowOff>
    </xdr:from>
    <xdr:ext cx="2398526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1+7.3312%</m:t>
                            </m:r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F3A45F4A-B18E-79AB-A9FA-9A0267337DF9}"/>
                </a:ext>
              </a:extLst>
            </xdr:cNvPr>
            <xdr:cNvSpPr txBox="1"/>
          </xdr:nvSpPr>
          <xdr:spPr>
            <a:xfrm>
              <a:off x="13519423766" y="32105766"/>
              <a:ext cx="2398526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〖[(1+7.3312%)〗^2−1]∗100=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63500</xdr:colOff>
      <xdr:row>172</xdr:row>
      <xdr:rowOff>21167</xdr:rowOff>
    </xdr:from>
    <xdr:to>
      <xdr:col>5</xdr:col>
      <xdr:colOff>343958</xdr:colOff>
      <xdr:row>177</xdr:row>
      <xdr:rowOff>211667</xdr:rowOff>
    </xdr:to>
    <xdr:sp macro="" textlink="">
      <xdr:nvSpPr>
        <xdr:cNvPr id="58" name="Left Brace 57">
          <a:extLst>
            <a:ext uri="{FF2B5EF4-FFF2-40B4-BE49-F238E27FC236}">
              <a16:creationId xmlns:a16="http://schemas.microsoft.com/office/drawing/2014/main" id="{1CF87E66-C4AD-6FE2-A485-EB05B556E3A2}"/>
            </a:ext>
          </a:extLst>
        </xdr:cNvPr>
        <xdr:cNvSpPr/>
      </xdr:nvSpPr>
      <xdr:spPr>
        <a:xfrm>
          <a:off x="13520674000" y="32845375"/>
          <a:ext cx="280458" cy="11959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492125</xdr:colOff>
      <xdr:row>34</xdr:row>
      <xdr:rowOff>45509</xdr:rowOff>
    </xdr:from>
    <xdr:ext cx="1315404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</a:rPr>
                          <m:t>t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4F9605E3-8FFB-C477-2BF7-D7BC14110525}"/>
                </a:ext>
              </a:extLst>
            </xdr:cNvPr>
            <xdr:cNvSpPr txBox="1"/>
          </xdr:nvSpPr>
          <xdr:spPr>
            <a:xfrm>
              <a:off x="13520035929" y="6882342"/>
              <a:ext cx="1315404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𝐶𝐹</a:t>
              </a:r>
              <a:r>
                <a:rPr lang="en-US" sz="1100" b="0" i="0">
                  <a:latin typeface="Cambria Math" panose="02040503050406030204" pitchFamily="18" charset="0"/>
                </a:rPr>
                <a:t>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∗(1+𝑅/𝑛)^t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172975</xdr:colOff>
      <xdr:row>195</xdr:row>
      <xdr:rowOff>75381</xdr:rowOff>
    </xdr:from>
    <xdr:ext cx="200446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∗(1−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C6E7C6E3-1534-E6D2-275F-BDA4C2621B52}"/>
                </a:ext>
              </a:extLst>
            </xdr:cNvPr>
            <xdr:cNvSpPr txBox="1"/>
          </xdr:nvSpPr>
          <xdr:spPr>
            <a:xfrm>
              <a:off x="13494422098" y="40055345"/>
              <a:ext cx="200446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113799</xdr:colOff>
      <xdr:row>196</xdr:row>
      <xdr:rowOff>84484</xdr:rowOff>
    </xdr:from>
    <xdr:ext cx="2004461" cy="3518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4FBBDD9-F87F-6A08-C901-5E12F8D01814}"/>
                </a:ext>
              </a:extLst>
            </xdr:cNvPr>
            <xdr:cNvSpPr txBox="1"/>
          </xdr:nvSpPr>
          <xdr:spPr>
            <a:xfrm>
              <a:off x="13494481274" y="40269287"/>
              <a:ext cx="2004461" cy="3518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132007</xdr:colOff>
      <xdr:row>195</xdr:row>
      <xdr:rowOff>45520</xdr:rowOff>
    </xdr:from>
    <xdr:to>
      <xdr:col>3</xdr:col>
      <xdr:colOff>377814</xdr:colOff>
      <xdr:row>198</xdr:row>
      <xdr:rowOff>104696</xdr:rowOff>
    </xdr:to>
    <xdr:sp macro="" textlink="">
      <xdr:nvSpPr>
        <xdr:cNvPr id="62" name="Right Brace 61">
          <a:extLst>
            <a:ext uri="{FF2B5EF4-FFF2-40B4-BE49-F238E27FC236}">
              <a16:creationId xmlns:a16="http://schemas.microsoft.com/office/drawing/2014/main" id="{7573C9CE-7191-459B-1893-7C4EA3D3EBC4}"/>
            </a:ext>
          </a:extLst>
        </xdr:cNvPr>
        <xdr:cNvSpPr/>
      </xdr:nvSpPr>
      <xdr:spPr>
        <a:xfrm>
          <a:off x="13496221720" y="40025484"/>
          <a:ext cx="245807" cy="67369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0</xdr:col>
      <xdr:colOff>792042</xdr:colOff>
      <xdr:row>195</xdr:row>
      <xdr:rowOff>184628</xdr:rowOff>
    </xdr:from>
    <xdr:ext cx="2004461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3" name="TextBox 62">
              <a:extLst>
                <a:ext uri="{FF2B5EF4-FFF2-40B4-BE49-F238E27FC236}">
                  <a16:creationId xmlns:a16="http://schemas.microsoft.com/office/drawing/2014/main" id="{5BC30208-A8DF-0A0D-9197-434795118DAF}"/>
                </a:ext>
              </a:extLst>
            </xdr:cNvPr>
            <xdr:cNvSpPr txBox="1"/>
          </xdr:nvSpPr>
          <xdr:spPr>
            <a:xfrm>
              <a:off x="13496302063" y="40164592"/>
              <a:ext cx="2004461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268567</xdr:colOff>
      <xdr:row>204</xdr:row>
      <xdr:rowOff>11653</xdr:rowOff>
    </xdr:from>
    <xdr:ext cx="4198511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1−4%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9EC81874-AE78-C75D-FBC2-4186C066D91F}"/>
                </a:ext>
              </a:extLst>
            </xdr:cNvPr>
            <xdr:cNvSpPr txBox="1"/>
          </xdr:nvSpPr>
          <xdr:spPr>
            <a:xfrm>
              <a:off x="13493780269" y="41835166"/>
              <a:ext cx="4198511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𝐹_0=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∗(1−𝑑)</a:t>
              </a:r>
              <a:r>
                <a:rPr lang="he-IL" sz="1100" b="0" i="0">
                  <a:latin typeface="Cambria Math" panose="02040503050406030204" pitchFamily="18" charset="0"/>
                </a:rPr>
                <a:t>→</a:t>
              </a:r>
              <a:r>
                <a:rPr lang="en-US" sz="1100" b="0" i="0">
                  <a:latin typeface="Cambria Math" panose="02040503050406030204" pitchFamily="18" charset="0"/>
                </a:rPr>
                <a:t>𝐶𝐹_0=500,000∗(1−4%)=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687347</xdr:colOff>
      <xdr:row>205</xdr:row>
      <xdr:rowOff>107245</xdr:rowOff>
    </xdr:from>
    <xdr:ext cx="3752418" cy="35503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קרן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𝑅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=500,000∗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12%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94F507BB-1D00-26C7-4EB7-16862FA5B454}"/>
                </a:ext>
              </a:extLst>
            </xdr:cNvPr>
            <xdr:cNvSpPr txBox="1"/>
          </xdr:nvSpPr>
          <xdr:spPr>
            <a:xfrm>
              <a:off x="13493807582" y="42135596"/>
              <a:ext cx="3752418" cy="35503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𝐶</a:t>
              </a:r>
              <a:r>
                <a:rPr lang="en-US" sz="1100" b="0" i="0">
                  <a:latin typeface="Cambria Math" panose="02040503050406030204" pitchFamily="18" charset="0"/>
                </a:rPr>
                <a:t>𝐹_𝑡=</a:t>
              </a:r>
              <a:r>
                <a:rPr lang="he-IL" sz="1100" b="0" i="0">
                  <a:latin typeface="Cambria Math" panose="02040503050406030204" pitchFamily="18" charset="0"/>
                </a:rPr>
                <a:t>קרן</a:t>
              </a:r>
              <a:r>
                <a:rPr lang="en-US" sz="1100" b="0" i="0">
                  <a:latin typeface="Cambria Math" panose="02040503050406030204" pitchFamily="18" charset="0"/>
                </a:rPr>
                <a:t>∗(1+𝑅/𝑛)^𝑡→𝐶𝐹_𝑡=500,000∗(1+(12%)/12)^24=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350500</xdr:colOff>
      <xdr:row>214</xdr:row>
      <xdr:rowOff>120900</xdr:rowOff>
    </xdr:from>
    <xdr:ext cx="3024103" cy="3466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0</m:t>
                                </m:r>
                              </m:sub>
                            </m:sSub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0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→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634,867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480,000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679614EF-0D5C-076E-C3C4-857281F5943D}"/>
                </a:ext>
              </a:extLst>
            </xdr:cNvPr>
            <xdr:cNvSpPr txBox="1"/>
          </xdr:nvSpPr>
          <xdr:spPr>
            <a:xfrm>
              <a:off x="13494048838" y="43992800"/>
              <a:ext cx="3024103" cy="3466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𝑟_𝑒=((𝐶𝐹_𝑡)/(𝐶𝐹_0 )−1)∗100→(</a:t>
              </a:r>
              <a:r>
                <a:rPr lang="he-IL" sz="1100" b="0" i="0">
                  <a:latin typeface="Cambria Math" panose="02040503050406030204" pitchFamily="18" charset="0"/>
                </a:rPr>
                <a:t>634,867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480,000</a:t>
              </a:r>
              <a:r>
                <a:rPr lang="en-US" sz="1100" b="0" i="0">
                  <a:latin typeface="Cambria Math" panose="02040503050406030204" pitchFamily="18" charset="0"/>
                </a:rPr>
                <a:t>−1)∗100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295878</xdr:colOff>
      <xdr:row>221</xdr:row>
      <xdr:rowOff>134556</xdr:rowOff>
    </xdr:from>
    <xdr:ext cx="3269909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he-IL" sz="1100" b="0" i="1">
                                        <a:latin typeface="Cambria Math" panose="02040503050406030204" pitchFamily="18" charset="0"/>
                                      </a:rPr>
                                      <m:t>שנתיים</m:t>
                                    </m:r>
                                  </m:sub>
                                </m:sSub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133F77DE-D120-DAE4-045E-662AD93B0649}"/>
                </a:ext>
              </a:extLst>
            </xdr:cNvPr>
            <xdr:cNvSpPr txBox="1"/>
          </xdr:nvSpPr>
          <xdr:spPr>
            <a:xfrm>
              <a:off x="13493857654" y="45440327"/>
              <a:ext cx="3269909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(1+𝑟</a:t>
              </a:r>
              <a:r>
                <a:rPr lang="en-US" sz="1100" b="0" i="0">
                  <a:latin typeface="Cambria Math" panose="02040503050406030204" pitchFamily="18" charset="0"/>
                </a:rPr>
                <a:t>_</a:t>
              </a:r>
              <a:r>
                <a:rPr lang="he-IL" sz="1100" b="0" i="0">
                  <a:latin typeface="Cambria Math" panose="02040503050406030204" pitchFamily="18" charset="0"/>
                </a:rPr>
                <a:t>שנתיים</a:t>
              </a:r>
              <a:r>
                <a:rPr lang="en-US" sz="1100" b="0" i="0">
                  <a:latin typeface="Cambria Math" panose="02040503050406030204" pitchFamily="18" charset="0"/>
                </a:rPr>
                <a:t> )^(1/2)−1]∗100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277671</xdr:colOff>
      <xdr:row>223</xdr:row>
      <xdr:rowOff>116348</xdr:rowOff>
    </xdr:from>
    <xdr:ext cx="3269909" cy="2679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שנה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32.264%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∗100=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BFCE1F46-A14A-A4FB-947D-434E9F889F8F}"/>
                </a:ext>
              </a:extLst>
            </xdr:cNvPr>
            <xdr:cNvSpPr txBox="1"/>
          </xdr:nvSpPr>
          <xdr:spPr>
            <a:xfrm>
              <a:off x="13493875861" y="45831796"/>
              <a:ext cx="3269909" cy="267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𝑟_</a:t>
              </a:r>
              <a:r>
                <a:rPr lang="en-US" sz="1100" b="0" i="0">
                  <a:latin typeface="Cambria Math" panose="02040503050406030204" pitchFamily="18" charset="0"/>
                </a:rPr>
                <a:t>𝑒 (</a:t>
              </a:r>
              <a:r>
                <a:rPr lang="he-IL" sz="1100" b="0" i="0">
                  <a:latin typeface="Cambria Math" panose="02040503050406030204" pitchFamily="18" charset="0"/>
                </a:rPr>
                <a:t>שנה)=</a:t>
              </a:r>
              <a:r>
                <a:rPr lang="en-US" sz="1100" b="0" i="0">
                  <a:latin typeface="Cambria Math" panose="02040503050406030204" pitchFamily="18" charset="0"/>
                </a:rPr>
                <a:t>[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32.264%)^(1/2)−1]∗100=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0</xdr:col>
      <xdr:colOff>58697</xdr:colOff>
      <xdr:row>233</xdr:row>
      <xdr:rowOff>80042</xdr:rowOff>
    </xdr:from>
    <xdr:to>
      <xdr:col>5</xdr:col>
      <xdr:colOff>576302</xdr:colOff>
      <xdr:row>239</xdr:row>
      <xdr:rowOff>131776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605FBB7E-61AE-0D73-FBB5-BE4489977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6657774" y="47368866"/>
          <a:ext cx="4695798" cy="1268372"/>
        </a:xfrm>
        <a:prstGeom prst="rect">
          <a:avLst/>
        </a:prstGeom>
      </xdr:spPr>
    </xdr:pic>
    <xdr:clientData/>
  </xdr:twoCellAnchor>
  <xdr:twoCellAnchor editAs="oneCell">
    <xdr:from>
      <xdr:col>0</xdr:col>
      <xdr:colOff>10673</xdr:colOff>
      <xdr:row>239</xdr:row>
      <xdr:rowOff>154748</xdr:rowOff>
    </xdr:from>
    <xdr:to>
      <xdr:col>5</xdr:col>
      <xdr:colOff>284937</xdr:colOff>
      <xdr:row>256</xdr:row>
      <xdr:rowOff>49656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6BB0E6F0-3A44-834C-B752-C6761851C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6949139" y="48660210"/>
          <a:ext cx="4452457" cy="334205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258</xdr:row>
      <xdr:rowOff>74706</xdr:rowOff>
    </xdr:from>
    <xdr:to>
      <xdr:col>6</xdr:col>
      <xdr:colOff>49398</xdr:colOff>
      <xdr:row>266</xdr:row>
      <xdr:rowOff>5057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DA7DAE5-D734-D7D7-FD11-661EBC31B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6272199" y="52432857"/>
          <a:ext cx="5140070" cy="15525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289588</xdr:colOff>
      <xdr:row>309</xdr:row>
      <xdr:rowOff>115138</xdr:rowOff>
    </xdr:from>
    <xdr:to>
      <xdr:col>5</xdr:col>
      <xdr:colOff>704780</xdr:colOff>
      <xdr:row>309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318</xdr:row>
      <xdr:rowOff>104670</xdr:rowOff>
    </xdr:from>
    <xdr:to>
      <xdr:col>6</xdr:col>
      <xdr:colOff>739670</xdr:colOff>
      <xdr:row>318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309</xdr:row>
      <xdr:rowOff>10467</xdr:rowOff>
    </xdr:from>
    <xdr:to>
      <xdr:col>8</xdr:col>
      <xdr:colOff>139560</xdr:colOff>
      <xdr:row>309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309</xdr:row>
      <xdr:rowOff>195384</xdr:rowOff>
    </xdr:from>
    <xdr:to>
      <xdr:col>7</xdr:col>
      <xdr:colOff>139561</xdr:colOff>
      <xdr:row>310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311</xdr:row>
      <xdr:rowOff>6977</xdr:rowOff>
    </xdr:from>
    <xdr:to>
      <xdr:col>5</xdr:col>
      <xdr:colOff>289588</xdr:colOff>
      <xdr:row>311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318</xdr:row>
      <xdr:rowOff>195384</xdr:rowOff>
    </xdr:from>
    <xdr:to>
      <xdr:col>5</xdr:col>
      <xdr:colOff>785028</xdr:colOff>
      <xdr:row>319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317</xdr:row>
      <xdr:rowOff>202362</xdr:rowOff>
    </xdr:from>
    <xdr:to>
      <xdr:col>7</xdr:col>
      <xdr:colOff>139561</xdr:colOff>
      <xdr:row>318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319</xdr:row>
      <xdr:rowOff>24422</xdr:rowOff>
    </xdr:from>
    <xdr:to>
      <xdr:col>7</xdr:col>
      <xdr:colOff>143050</xdr:colOff>
      <xdr:row>320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347</xdr:row>
      <xdr:rowOff>115138</xdr:rowOff>
    </xdr:from>
    <xdr:to>
      <xdr:col>5</xdr:col>
      <xdr:colOff>704780</xdr:colOff>
      <xdr:row>347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357</xdr:row>
      <xdr:rowOff>104670</xdr:rowOff>
    </xdr:from>
    <xdr:to>
      <xdr:col>6</xdr:col>
      <xdr:colOff>739670</xdr:colOff>
      <xdr:row>357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347</xdr:row>
      <xdr:rowOff>10467</xdr:rowOff>
    </xdr:from>
    <xdr:to>
      <xdr:col>8</xdr:col>
      <xdr:colOff>139560</xdr:colOff>
      <xdr:row>347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347</xdr:row>
      <xdr:rowOff>195384</xdr:rowOff>
    </xdr:from>
    <xdr:to>
      <xdr:col>7</xdr:col>
      <xdr:colOff>139561</xdr:colOff>
      <xdr:row>348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349</xdr:row>
      <xdr:rowOff>6977</xdr:rowOff>
    </xdr:from>
    <xdr:to>
      <xdr:col>5</xdr:col>
      <xdr:colOff>289588</xdr:colOff>
      <xdr:row>349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357</xdr:row>
      <xdr:rowOff>195384</xdr:rowOff>
    </xdr:from>
    <xdr:to>
      <xdr:col>5</xdr:col>
      <xdr:colOff>785028</xdr:colOff>
      <xdr:row>358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356</xdr:row>
      <xdr:rowOff>202362</xdr:rowOff>
    </xdr:from>
    <xdr:to>
      <xdr:col>7</xdr:col>
      <xdr:colOff>139561</xdr:colOff>
      <xdr:row>357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358</xdr:row>
      <xdr:rowOff>24422</xdr:rowOff>
    </xdr:from>
    <xdr:to>
      <xdr:col>7</xdr:col>
      <xdr:colOff>143050</xdr:colOff>
      <xdr:row>359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359</xdr:row>
      <xdr:rowOff>151630</xdr:rowOff>
    </xdr:from>
    <xdr:to>
      <xdr:col>13</xdr:col>
      <xdr:colOff>556081</xdr:colOff>
      <xdr:row>369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  <xdr:twoCellAnchor>
    <xdr:from>
      <xdr:col>5</xdr:col>
      <xdr:colOff>454526</xdr:colOff>
      <xdr:row>35</xdr:row>
      <xdr:rowOff>193842</xdr:rowOff>
    </xdr:from>
    <xdr:to>
      <xdr:col>5</xdr:col>
      <xdr:colOff>635000</xdr:colOff>
      <xdr:row>37</xdr:row>
      <xdr:rowOff>20052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777DFB07-FB41-54A2-7E04-B7BF256B2D79}"/>
            </a:ext>
          </a:extLst>
        </xdr:cNvPr>
        <xdr:cNvSpPr/>
      </xdr:nvSpPr>
      <xdr:spPr>
        <a:xfrm>
          <a:off x="13574876263" y="7406105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53471</xdr:colOff>
      <xdr:row>37</xdr:row>
      <xdr:rowOff>190498</xdr:rowOff>
    </xdr:from>
    <xdr:to>
      <xdr:col>4</xdr:col>
      <xdr:colOff>731922</xdr:colOff>
      <xdr:row>38</xdr:row>
      <xdr:rowOff>170446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F2A2882A-82B2-6272-F363-955D5F825A8C}"/>
            </a:ext>
          </a:extLst>
        </xdr:cNvPr>
        <xdr:cNvSpPr/>
      </xdr:nvSpPr>
      <xdr:spPr>
        <a:xfrm rot="16200000">
          <a:off x="13575857173" y="7554825"/>
          <a:ext cx="180474" cy="67845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374315</xdr:colOff>
      <xdr:row>44</xdr:row>
      <xdr:rowOff>53474</xdr:rowOff>
    </xdr:from>
    <xdr:to>
      <xdr:col>5</xdr:col>
      <xdr:colOff>554789</xdr:colOff>
      <xdr:row>45</xdr:row>
      <xdr:rowOff>80211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34CAB4A3-7577-DF14-5CC7-34FD2BF41C8C}"/>
            </a:ext>
          </a:extLst>
        </xdr:cNvPr>
        <xdr:cNvSpPr/>
      </xdr:nvSpPr>
      <xdr:spPr>
        <a:xfrm>
          <a:off x="13574956474" y="9070474"/>
          <a:ext cx="180474" cy="22726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170144</xdr:colOff>
      <xdr:row>47</xdr:row>
      <xdr:rowOff>12315</xdr:rowOff>
    </xdr:from>
    <xdr:to>
      <xdr:col>4</xdr:col>
      <xdr:colOff>732164</xdr:colOff>
      <xdr:row>47</xdr:row>
      <xdr:rowOff>192789</xdr:rowOff>
    </xdr:to>
    <xdr:sp macro="" textlink="">
      <xdr:nvSpPr>
        <xdr:cNvPr id="26" name="Down Arrow 25">
          <a:extLst>
            <a:ext uri="{FF2B5EF4-FFF2-40B4-BE49-F238E27FC236}">
              <a16:creationId xmlns:a16="http://schemas.microsoft.com/office/drawing/2014/main" id="{1B88AC4B-6490-2F98-97BD-648ED948D286}"/>
            </a:ext>
          </a:extLst>
        </xdr:cNvPr>
        <xdr:cNvSpPr/>
      </xdr:nvSpPr>
      <xdr:spPr>
        <a:xfrm rot="16200000">
          <a:off x="13575798715" y="9440121"/>
          <a:ext cx="180474" cy="56202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78</xdr:row>
      <xdr:rowOff>14942</xdr:rowOff>
    </xdr:from>
    <xdr:to>
      <xdr:col>3</xdr:col>
      <xdr:colOff>179294</xdr:colOff>
      <xdr:row>83</xdr:row>
      <xdr:rowOff>179294</xdr:rowOff>
    </xdr:to>
    <xdr:sp macro="" textlink="">
      <xdr:nvSpPr>
        <xdr:cNvPr id="27" name="Right Brace 26">
          <a:extLst>
            <a:ext uri="{FF2B5EF4-FFF2-40B4-BE49-F238E27FC236}">
              <a16:creationId xmlns:a16="http://schemas.microsoft.com/office/drawing/2014/main" id="{5253770A-5547-0C84-0A72-1D981D6EBBEB}"/>
            </a:ext>
          </a:extLst>
        </xdr:cNvPr>
        <xdr:cNvSpPr/>
      </xdr:nvSpPr>
      <xdr:spPr>
        <a:xfrm>
          <a:off x="13583434412" y="13925177"/>
          <a:ext cx="291353" cy="1172882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717176</xdr:colOff>
      <xdr:row>104</xdr:row>
      <xdr:rowOff>14942</xdr:rowOff>
    </xdr:from>
    <xdr:to>
      <xdr:col>3</xdr:col>
      <xdr:colOff>179294</xdr:colOff>
      <xdr:row>109</xdr:row>
      <xdr:rowOff>179294</xdr:rowOff>
    </xdr:to>
    <xdr:sp macro="" textlink="">
      <xdr:nvSpPr>
        <xdr:cNvPr id="28" name="Right Brace 27">
          <a:extLst>
            <a:ext uri="{FF2B5EF4-FFF2-40B4-BE49-F238E27FC236}">
              <a16:creationId xmlns:a16="http://schemas.microsoft.com/office/drawing/2014/main" id="{EE54D483-0C13-3742-B885-F26A3DDB9224}"/>
            </a:ext>
          </a:extLst>
        </xdr:cNvPr>
        <xdr:cNvSpPr/>
      </xdr:nvSpPr>
      <xdr:spPr>
        <a:xfrm>
          <a:off x="13583434412" y="14328589"/>
          <a:ext cx="291353" cy="1172881"/>
        </a:xfrm>
        <a:prstGeom prst="righ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309563</xdr:colOff>
      <xdr:row>246</xdr:row>
      <xdr:rowOff>63500</xdr:rowOff>
    </xdr:from>
    <xdr:to>
      <xdr:col>5</xdr:col>
      <xdr:colOff>579438</xdr:colOff>
      <xdr:row>247</xdr:row>
      <xdr:rowOff>158750</xdr:rowOff>
    </xdr:to>
    <xdr:sp macro="" textlink="">
      <xdr:nvSpPr>
        <xdr:cNvPr id="29" name="Down Arrow 28">
          <a:extLst>
            <a:ext uri="{FF2B5EF4-FFF2-40B4-BE49-F238E27FC236}">
              <a16:creationId xmlns:a16="http://schemas.microsoft.com/office/drawing/2014/main" id="{2E46B560-9534-7CD8-8CB1-20430633FEF4}"/>
            </a:ext>
          </a:extLst>
        </xdr:cNvPr>
        <xdr:cNvSpPr/>
      </xdr:nvSpPr>
      <xdr:spPr>
        <a:xfrm>
          <a:off x="13520261250" y="4948237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238125</xdr:colOff>
      <xdr:row>254</xdr:row>
      <xdr:rowOff>79375</xdr:rowOff>
    </xdr:from>
    <xdr:to>
      <xdr:col>5</xdr:col>
      <xdr:colOff>508000</xdr:colOff>
      <xdr:row>255</xdr:row>
      <xdr:rowOff>174625</xdr:rowOff>
    </xdr:to>
    <xdr:sp macro="" textlink="">
      <xdr:nvSpPr>
        <xdr:cNvPr id="30" name="Down Arrow 29">
          <a:extLst>
            <a:ext uri="{FF2B5EF4-FFF2-40B4-BE49-F238E27FC236}">
              <a16:creationId xmlns:a16="http://schemas.microsoft.com/office/drawing/2014/main" id="{08648A46-8CB5-B22D-BA8E-6591C52D79FF}"/>
            </a:ext>
          </a:extLst>
        </xdr:cNvPr>
        <xdr:cNvSpPr/>
      </xdr:nvSpPr>
      <xdr:spPr>
        <a:xfrm>
          <a:off x="13520332688" y="51165125"/>
          <a:ext cx="269875" cy="3016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698836</xdr:colOff>
      <xdr:row>4</xdr:row>
      <xdr:rowOff>134392</xdr:rowOff>
    </xdr:from>
    <xdr:to>
      <xdr:col>4</xdr:col>
      <xdr:colOff>147831</xdr:colOff>
      <xdr:row>11</xdr:row>
      <xdr:rowOff>87355</xdr:rowOff>
    </xdr:to>
    <xdr:sp macro="" textlink="">
      <xdr:nvSpPr>
        <xdr:cNvPr id="2" name="Left Brace 1">
          <a:extLst>
            <a:ext uri="{FF2B5EF4-FFF2-40B4-BE49-F238E27FC236}">
              <a16:creationId xmlns:a16="http://schemas.microsoft.com/office/drawing/2014/main" id="{C51EAE78-299A-8111-C56D-AD9623404A3D}"/>
            </a:ext>
          </a:extLst>
        </xdr:cNvPr>
        <xdr:cNvSpPr/>
      </xdr:nvSpPr>
      <xdr:spPr>
        <a:xfrm>
          <a:off x="13538052169" y="940741"/>
          <a:ext cx="275503" cy="136407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197972</xdr:colOff>
      <xdr:row>35</xdr:row>
      <xdr:rowOff>192369</xdr:rowOff>
    </xdr:from>
    <xdr:to>
      <xdr:col>7</xdr:col>
      <xdr:colOff>584575</xdr:colOff>
      <xdr:row>37</xdr:row>
      <xdr:rowOff>93385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3599506C-0DA4-7E1D-AAEE-5D1611618B32}"/>
            </a:ext>
          </a:extLst>
        </xdr:cNvPr>
        <xdr:cNvSpPr/>
      </xdr:nvSpPr>
      <xdr:spPr>
        <a:xfrm rot="5400000">
          <a:off x="13520733763" y="5147237"/>
          <a:ext cx="304428" cy="45141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578971</xdr:colOff>
      <xdr:row>64</xdr:row>
      <xdr:rowOff>3736</xdr:rowOff>
    </xdr:from>
    <xdr:to>
      <xdr:col>6</xdr:col>
      <xdr:colOff>578971</xdr:colOff>
      <xdr:row>65</xdr:row>
      <xdr:rowOff>85912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401F8C5-9175-A898-B832-87E1AA7B7B64}"/>
            </a:ext>
          </a:extLst>
        </xdr:cNvPr>
        <xdr:cNvCxnSpPr/>
      </xdr:nvCxnSpPr>
      <xdr:spPr>
        <a:xfrm>
          <a:off x="13519460029" y="12912912"/>
          <a:ext cx="0" cy="28388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470647</xdr:colOff>
      <xdr:row>63</xdr:row>
      <xdr:rowOff>179293</xdr:rowOff>
    </xdr:from>
    <xdr:to>
      <xdr:col>6</xdr:col>
      <xdr:colOff>190500</xdr:colOff>
      <xdr:row>66</xdr:row>
      <xdr:rowOff>29883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9D64752-F0D3-7398-4B50-D9781C774CAB}"/>
            </a:ext>
          </a:extLst>
        </xdr:cNvPr>
        <xdr:cNvCxnSpPr/>
      </xdr:nvCxnSpPr>
      <xdr:spPr>
        <a:xfrm>
          <a:off x="13519848500" y="12886764"/>
          <a:ext cx="545353" cy="4557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459441</xdr:colOff>
      <xdr:row>82</xdr:row>
      <xdr:rowOff>201706</xdr:rowOff>
    </xdr:from>
    <xdr:to>
      <xdr:col>6</xdr:col>
      <xdr:colOff>459441</xdr:colOff>
      <xdr:row>84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7C6C02AD-BBD4-4D3E-348A-304FFF8F27F3}"/>
            </a:ext>
          </a:extLst>
        </xdr:cNvPr>
        <xdr:cNvCxnSpPr/>
      </xdr:nvCxnSpPr>
      <xdr:spPr>
        <a:xfrm>
          <a:off x="13519579559" y="16741588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474382</xdr:colOff>
      <xdr:row>83</xdr:row>
      <xdr:rowOff>7471</xdr:rowOff>
    </xdr:from>
    <xdr:to>
      <xdr:col>5</xdr:col>
      <xdr:colOff>474382</xdr:colOff>
      <xdr:row>84</xdr:row>
      <xdr:rowOff>7471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C7ABEB24-FE17-1C7E-89E1-6094AD303A0F}"/>
            </a:ext>
          </a:extLst>
        </xdr:cNvPr>
        <xdr:cNvCxnSpPr/>
      </xdr:nvCxnSpPr>
      <xdr:spPr>
        <a:xfrm>
          <a:off x="13520390118" y="16749059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769471</xdr:colOff>
      <xdr:row>82</xdr:row>
      <xdr:rowOff>197971</xdr:rowOff>
    </xdr:from>
    <xdr:to>
      <xdr:col>4</xdr:col>
      <xdr:colOff>627529</xdr:colOff>
      <xdr:row>84</xdr:row>
      <xdr:rowOff>22412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4A08B59A-4EB3-0823-3BA3-210A2D02BA37}"/>
            </a:ext>
          </a:extLst>
        </xdr:cNvPr>
        <xdr:cNvCxnSpPr/>
      </xdr:nvCxnSpPr>
      <xdr:spPr>
        <a:xfrm>
          <a:off x="13521062471" y="16737853"/>
          <a:ext cx="683558" cy="22785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511735</xdr:colOff>
      <xdr:row>93</xdr:row>
      <xdr:rowOff>0</xdr:rowOff>
    </xdr:from>
    <xdr:to>
      <xdr:col>6</xdr:col>
      <xdr:colOff>511735</xdr:colOff>
      <xdr:row>94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14B4B307-DED1-09B3-12DB-9A82C30D526D}"/>
            </a:ext>
          </a:extLst>
        </xdr:cNvPr>
        <xdr:cNvCxnSpPr/>
      </xdr:nvCxnSpPr>
      <xdr:spPr>
        <a:xfrm>
          <a:off x="13519527265" y="18758647"/>
          <a:ext cx="0" cy="20170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631265</xdr:colOff>
      <xdr:row>93</xdr:row>
      <xdr:rowOff>7470</xdr:rowOff>
    </xdr:from>
    <xdr:to>
      <xdr:col>5</xdr:col>
      <xdr:colOff>635000</xdr:colOff>
      <xdr:row>96</xdr:row>
      <xdr:rowOff>197970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E0BE5B5C-A329-D9F9-582F-EFD68087181E}"/>
            </a:ext>
          </a:extLst>
        </xdr:cNvPr>
        <xdr:cNvCxnSpPr/>
      </xdr:nvCxnSpPr>
      <xdr:spPr>
        <a:xfrm>
          <a:off x="13520229500" y="18766117"/>
          <a:ext cx="3735" cy="7956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388471</xdr:colOff>
      <xdr:row>93</xdr:row>
      <xdr:rowOff>3735</xdr:rowOff>
    </xdr:from>
    <xdr:to>
      <xdr:col>5</xdr:col>
      <xdr:colOff>130735</xdr:colOff>
      <xdr:row>97</xdr:row>
      <xdr:rowOff>7470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DAFBE36-2642-34F5-D6F9-43220AB22FCD}"/>
            </a:ext>
          </a:extLst>
        </xdr:cNvPr>
        <xdr:cNvCxnSpPr/>
      </xdr:nvCxnSpPr>
      <xdr:spPr>
        <a:xfrm>
          <a:off x="13520733765" y="18762382"/>
          <a:ext cx="567764" cy="81055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451971</xdr:colOff>
      <xdr:row>93</xdr:row>
      <xdr:rowOff>3735</xdr:rowOff>
    </xdr:from>
    <xdr:to>
      <xdr:col>4</xdr:col>
      <xdr:colOff>283882</xdr:colOff>
      <xdr:row>95</xdr:row>
      <xdr:rowOff>44823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5D37DBD-5F1A-9305-008F-50BEE9D294D2}"/>
            </a:ext>
          </a:extLst>
        </xdr:cNvPr>
        <xdr:cNvCxnSpPr/>
      </xdr:nvCxnSpPr>
      <xdr:spPr>
        <a:xfrm>
          <a:off x="13521406118" y="18762382"/>
          <a:ext cx="657411" cy="444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186765</xdr:colOff>
      <xdr:row>42</xdr:row>
      <xdr:rowOff>3735</xdr:rowOff>
    </xdr:from>
    <xdr:to>
      <xdr:col>8</xdr:col>
      <xdr:colOff>425824</xdr:colOff>
      <xdr:row>42</xdr:row>
      <xdr:rowOff>197970</xdr:rowOff>
    </xdr:to>
    <xdr:sp macro="" textlink="">
      <xdr:nvSpPr>
        <xdr:cNvPr id="20" name="Left Arrow 19">
          <a:extLst>
            <a:ext uri="{FF2B5EF4-FFF2-40B4-BE49-F238E27FC236}">
              <a16:creationId xmlns:a16="http://schemas.microsoft.com/office/drawing/2014/main" id="{2555F062-9C75-459B-4970-E3FB656A896C}"/>
            </a:ext>
          </a:extLst>
        </xdr:cNvPr>
        <xdr:cNvSpPr/>
      </xdr:nvSpPr>
      <xdr:spPr>
        <a:xfrm>
          <a:off x="13517962176" y="8475382"/>
          <a:ext cx="239059" cy="19423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10</xdr:col>
      <xdr:colOff>395942</xdr:colOff>
      <xdr:row>50</xdr:row>
      <xdr:rowOff>18676</xdr:rowOff>
    </xdr:from>
    <xdr:to>
      <xdr:col>10</xdr:col>
      <xdr:colOff>590177</xdr:colOff>
      <xdr:row>51</xdr:row>
      <xdr:rowOff>56029</xdr:rowOff>
    </xdr:to>
    <xdr:sp macro="" textlink="">
      <xdr:nvSpPr>
        <xdr:cNvPr id="21" name="Left Arrow 20">
          <a:extLst>
            <a:ext uri="{FF2B5EF4-FFF2-40B4-BE49-F238E27FC236}">
              <a16:creationId xmlns:a16="http://schemas.microsoft.com/office/drawing/2014/main" id="{84F4E155-E87C-F1C5-2883-C0E2F685EEEE}"/>
            </a:ext>
          </a:extLst>
        </xdr:cNvPr>
        <xdr:cNvSpPr/>
      </xdr:nvSpPr>
      <xdr:spPr>
        <a:xfrm rot="16200000">
          <a:off x="13516240205" y="10126382"/>
          <a:ext cx="239059" cy="194235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758688</xdr:colOff>
      <xdr:row>129</xdr:row>
      <xdr:rowOff>72352</xdr:rowOff>
    </xdr:from>
    <xdr:to>
      <xdr:col>10</xdr:col>
      <xdr:colOff>106460</xdr:colOff>
      <xdr:row>130</xdr:row>
      <xdr:rowOff>72352</xdr:rowOff>
    </xdr:to>
    <xdr:sp macro="" textlink="">
      <xdr:nvSpPr>
        <xdr:cNvPr id="22" name="Left Arrow 21">
          <a:extLst>
            <a:ext uri="{FF2B5EF4-FFF2-40B4-BE49-F238E27FC236}">
              <a16:creationId xmlns:a16="http://schemas.microsoft.com/office/drawing/2014/main" id="{5299521E-D762-BD90-CFAD-E6106FE6BC71}"/>
            </a:ext>
          </a:extLst>
        </xdr:cNvPr>
        <xdr:cNvSpPr/>
      </xdr:nvSpPr>
      <xdr:spPr>
        <a:xfrm rot="2110599">
          <a:off x="13558332260" y="26315632"/>
          <a:ext cx="1003852" cy="20320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53554</xdr:colOff>
      <xdr:row>3</xdr:row>
      <xdr:rowOff>18745</xdr:rowOff>
    </xdr:from>
    <xdr:to>
      <xdr:col>7</xdr:col>
      <xdr:colOff>680904</xdr:colOff>
      <xdr:row>16</xdr:row>
      <xdr:rowOff>53554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122218-6A47-10AA-426F-8C2763486022}"/>
            </a:ext>
          </a:extLst>
        </xdr:cNvPr>
        <xdr:cNvSpPr txBox="1"/>
      </xdr:nvSpPr>
      <xdr:spPr>
        <a:xfrm>
          <a:off x="13531061988" y="431878"/>
          <a:ext cx="8912952" cy="272017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המרכז האקדמי למשפט ועסקים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יסודות המימון א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סמסטר 2026ג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מועד א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27.10.2025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מרצה: ד״ר שי צבאן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 </a:t>
          </a: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הנחיות: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בבחינה זו 11 שאלות במשקל זהה של 10 נק׳ לשאלה.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יש להשיב על 10 שאלות בלבד באופן מפורט ומסודר.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במידה ותשיבו על כל השאלות, רק 10 השאלות הראשונות תבדקנה.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חובה לציין בתיבה המוקדשת לכל שאלה את התשובה הסופית. את סריקת הדרך יש לבצע באופן מרוכז בשאלה המוגדרת כ״שאלה 12״ (שאיננה שאלה למענה אלא נועדה לצירוף הקובץ בלבד). 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משך הבחינה: שעתיים וחצי. תכננו זמנכם בקפידה. </a:t>
          </a: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 </a:t>
          </a:r>
        </a:p>
        <a:p>
          <a:pPr rtl="1"/>
          <a:r>
            <a:rPr lang="he-IL" sz="1100" b="1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הנחות עבודה:</a:t>
          </a:r>
          <a:endParaRPr lang="he-IL" sz="1100" b="0" i="0">
            <a:solidFill>
              <a:schemeClr val="dk1"/>
            </a:solidFill>
            <a:effectLst/>
            <a:latin typeface="David" panose="020E0502060401010101" pitchFamily="34" charset="-79"/>
            <a:ea typeface="+mn-ea"/>
            <a:cs typeface="David" panose="020E0502060401010101" pitchFamily="34" charset="-79"/>
          </a:endParaRPr>
        </a:p>
        <a:p>
          <a:pPr rtl="1"/>
          <a:r>
            <a:rPr lang="he-IL" sz="1100" b="0" i="0">
              <a:solidFill>
                <a:schemeClr val="dk1"/>
              </a:solidFill>
              <a:effectLst/>
              <a:latin typeface="David" panose="020E0502060401010101" pitchFamily="34" charset="-79"/>
              <a:ea typeface="+mn-ea"/>
              <a:cs typeface="David" panose="020E0502060401010101" pitchFamily="34" charset="-79"/>
            </a:rPr>
            <a:t>נתוני הריבית בשאלה הם נתוני ריבית אפקטיבית אלא אם נאמר מפורשות שהריבית נקובה.</a:t>
          </a:r>
        </a:p>
        <a:p>
          <a:br>
            <a:rPr lang="he-IL">
              <a:latin typeface="David" panose="020E0502060401010101" pitchFamily="34" charset="-79"/>
              <a:cs typeface="David" panose="020E0502060401010101" pitchFamily="34" charset="-79"/>
            </a:rPr>
          </a:br>
          <a:endParaRPr lang="en-US" sz="1100">
            <a:latin typeface="David" panose="020E0502060401010101" pitchFamily="34" charset="-79"/>
            <a:cs typeface="David" panose="020E0502060401010101" pitchFamily="34" charset="-79"/>
          </a:endParaRPr>
        </a:p>
      </xdr:txBody>
    </xdr:sp>
    <xdr:clientData/>
  </xdr:twoCellAnchor>
  <xdr:twoCellAnchor>
    <xdr:from>
      <xdr:col>2</xdr:col>
      <xdr:colOff>653862</xdr:colOff>
      <xdr:row>105</xdr:row>
      <xdr:rowOff>37723</xdr:rowOff>
    </xdr:from>
    <xdr:to>
      <xdr:col>2</xdr:col>
      <xdr:colOff>658053</xdr:colOff>
      <xdr:row>106</xdr:row>
      <xdr:rowOff>184422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6ED9E499-5FA0-DE92-8482-3B1AC0D0CDA8}"/>
            </a:ext>
          </a:extLst>
        </xdr:cNvPr>
        <xdr:cNvCxnSpPr/>
      </xdr:nvCxnSpPr>
      <xdr:spPr>
        <a:xfrm>
          <a:off x="13526116139" y="19955347"/>
          <a:ext cx="4191" cy="34788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1345446</xdr:colOff>
      <xdr:row>103</xdr:row>
      <xdr:rowOff>71256</xdr:rowOff>
    </xdr:from>
    <xdr:to>
      <xdr:col>2</xdr:col>
      <xdr:colOff>360463</xdr:colOff>
      <xdr:row>104</xdr:row>
      <xdr:rowOff>29343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592883E9-F8D9-FE81-3F89-675514001107}"/>
            </a:ext>
          </a:extLst>
        </xdr:cNvPr>
        <xdr:cNvSpPr/>
      </xdr:nvSpPr>
      <xdr:spPr>
        <a:xfrm rot="5400000">
          <a:off x="13527505593" y="18494640"/>
          <a:ext cx="159275" cy="2343003"/>
        </a:xfrm>
        <a:prstGeom prst="leftBrace">
          <a:avLst>
            <a:gd name="adj1" fmla="val 8333"/>
            <a:gd name="adj2" fmla="val 1708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2774719</xdr:colOff>
      <xdr:row>105</xdr:row>
      <xdr:rowOff>25149</xdr:rowOff>
    </xdr:from>
    <xdr:to>
      <xdr:col>1</xdr:col>
      <xdr:colOff>3315412</xdr:colOff>
      <xdr:row>108</xdr:row>
      <xdr:rowOff>96403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F24CC5B6-0D0D-3478-75F5-00647524E7D8}"/>
            </a:ext>
          </a:extLst>
        </xdr:cNvPr>
        <xdr:cNvCxnSpPr/>
      </xdr:nvCxnSpPr>
      <xdr:spPr>
        <a:xfrm>
          <a:off x="13526786766" y="19942773"/>
          <a:ext cx="540693" cy="6748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2129241</xdr:colOff>
      <xdr:row>105</xdr:row>
      <xdr:rowOff>16766</xdr:rowOff>
    </xdr:from>
    <xdr:to>
      <xdr:col>1</xdr:col>
      <xdr:colOff>2460362</xdr:colOff>
      <xdr:row>106</xdr:row>
      <xdr:rowOff>62871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69730F7D-6CB0-B786-63D2-C9C9526245D6}"/>
            </a:ext>
          </a:extLst>
        </xdr:cNvPr>
        <xdr:cNvCxnSpPr/>
      </xdr:nvCxnSpPr>
      <xdr:spPr>
        <a:xfrm>
          <a:off x="13527641816" y="19934390"/>
          <a:ext cx="331121" cy="2472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553268</xdr:colOff>
      <xdr:row>104</xdr:row>
      <xdr:rowOff>167657</xdr:rowOff>
    </xdr:from>
    <xdr:to>
      <xdr:col>1</xdr:col>
      <xdr:colOff>1425082</xdr:colOff>
      <xdr:row>106</xdr:row>
      <xdr:rowOff>58680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32E7EA5B-AEB5-8DB0-CA5E-9A6DA367504B}"/>
            </a:ext>
          </a:extLst>
        </xdr:cNvPr>
        <xdr:cNvCxnSpPr/>
      </xdr:nvCxnSpPr>
      <xdr:spPr>
        <a:xfrm>
          <a:off x="13528677096" y="19884093"/>
          <a:ext cx="1697524" cy="29339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156231</xdr:colOff>
      <xdr:row>57</xdr:row>
      <xdr:rowOff>105834</xdr:rowOff>
    </xdr:from>
    <xdr:to>
      <xdr:col>7</xdr:col>
      <xdr:colOff>735793</xdr:colOff>
      <xdr:row>57</xdr:row>
      <xdr:rowOff>115913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C7A90F8-C443-0687-D569-847301C0DAEB}"/>
            </a:ext>
          </a:extLst>
        </xdr:cNvPr>
        <xdr:cNvCxnSpPr/>
      </xdr:nvCxnSpPr>
      <xdr:spPr>
        <a:xfrm flipH="1" flipV="1">
          <a:off x="13534984683" y="11596310"/>
          <a:ext cx="2192261" cy="100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3114524</xdr:colOff>
      <xdr:row>62</xdr:row>
      <xdr:rowOff>115912</xdr:rowOff>
    </xdr:from>
    <xdr:to>
      <xdr:col>7</xdr:col>
      <xdr:colOff>614841</xdr:colOff>
      <xdr:row>62</xdr:row>
      <xdr:rowOff>131031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84C53C1-FBA1-A0C5-A647-5327C451E88E}"/>
            </a:ext>
          </a:extLst>
        </xdr:cNvPr>
        <xdr:cNvCxnSpPr/>
      </xdr:nvCxnSpPr>
      <xdr:spPr>
        <a:xfrm flipH="1" flipV="1">
          <a:off x="13535105635" y="12614325"/>
          <a:ext cx="4918730" cy="1511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549326</xdr:colOff>
      <xdr:row>122</xdr:row>
      <xdr:rowOff>40317</xdr:rowOff>
    </xdr:from>
    <xdr:to>
      <xdr:col>4</xdr:col>
      <xdr:colOff>483810</xdr:colOff>
      <xdr:row>123</xdr:row>
      <xdr:rowOff>75596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9AAC1D45-44FE-C975-25F5-A9B4BB74AE85}"/>
            </a:ext>
          </a:extLst>
        </xdr:cNvPr>
        <xdr:cNvSpPr/>
      </xdr:nvSpPr>
      <xdr:spPr>
        <a:xfrm>
          <a:off x="13537675873" y="24694444"/>
          <a:ext cx="760992" cy="2368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תמורה</a:t>
          </a:r>
          <a:endParaRPr lang="en-US" sz="1100"/>
        </a:p>
      </xdr:txBody>
    </xdr:sp>
    <xdr:clientData/>
  </xdr:twoCellAnchor>
  <xdr:twoCellAnchor>
    <xdr:from>
      <xdr:col>3</xdr:col>
      <xdr:colOff>136073</xdr:colOff>
      <xdr:row>122</xdr:row>
      <xdr:rowOff>30237</xdr:rowOff>
    </xdr:from>
    <xdr:to>
      <xdr:col>3</xdr:col>
      <xdr:colOff>498930</xdr:colOff>
      <xdr:row>123</xdr:row>
      <xdr:rowOff>65516</xdr:rowOff>
    </xdr:to>
    <xdr:sp macro="" textlink="">
      <xdr:nvSpPr>
        <xdr:cNvPr id="18" name="Rounded Rectangle 17">
          <a:extLst>
            <a:ext uri="{FF2B5EF4-FFF2-40B4-BE49-F238E27FC236}">
              <a16:creationId xmlns:a16="http://schemas.microsoft.com/office/drawing/2014/main" id="{6C3B418A-DB9D-7ACC-B799-3E298E80B08C}"/>
            </a:ext>
          </a:extLst>
        </xdr:cNvPr>
        <xdr:cNvSpPr/>
      </xdr:nvSpPr>
      <xdr:spPr>
        <a:xfrm>
          <a:off x="13538487261" y="24684364"/>
          <a:ext cx="362857" cy="2368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-</a:t>
          </a:r>
          <a:endParaRPr lang="en-US" sz="1100"/>
        </a:p>
      </xdr:txBody>
    </xdr:sp>
    <xdr:clientData/>
  </xdr:twoCellAnchor>
  <xdr:twoCellAnchor>
    <xdr:from>
      <xdr:col>1</xdr:col>
      <xdr:colOff>2635755</xdr:colOff>
      <xdr:row>122</xdr:row>
      <xdr:rowOff>25197</xdr:rowOff>
    </xdr:from>
    <xdr:to>
      <xdr:col>3</xdr:col>
      <xdr:colOff>110874</xdr:colOff>
      <xdr:row>123</xdr:row>
      <xdr:rowOff>75595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A3CB828E-2F82-9585-0F6B-4994499658D8}"/>
            </a:ext>
          </a:extLst>
        </xdr:cNvPr>
        <xdr:cNvSpPr/>
      </xdr:nvSpPr>
      <xdr:spPr>
        <a:xfrm>
          <a:off x="13538875317" y="24679324"/>
          <a:ext cx="1627817" cy="25198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(עלות</a:t>
          </a:r>
          <a:r>
            <a:rPr lang="he-IL" sz="1100" baseline="0"/>
            <a:t> מופחתת - תמורה)</a:t>
          </a:r>
          <a:endParaRPr lang="en-US" sz="1100"/>
        </a:p>
      </xdr:txBody>
    </xdr:sp>
    <xdr:clientData/>
  </xdr:twoCellAnchor>
  <xdr:twoCellAnchor>
    <xdr:from>
      <xdr:col>1</xdr:col>
      <xdr:colOff>1214563</xdr:colOff>
      <xdr:row>122</xdr:row>
      <xdr:rowOff>30238</xdr:rowOff>
    </xdr:from>
    <xdr:to>
      <xdr:col>1</xdr:col>
      <xdr:colOff>2590397</xdr:colOff>
      <xdr:row>123</xdr:row>
      <xdr:rowOff>65517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28944EED-65F4-863A-4A66-9776B7C0E8E6}"/>
            </a:ext>
          </a:extLst>
        </xdr:cNvPr>
        <xdr:cNvSpPr/>
      </xdr:nvSpPr>
      <xdr:spPr>
        <a:xfrm>
          <a:off x="13540548492" y="24684365"/>
          <a:ext cx="1375834" cy="2368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 שיעור</a:t>
          </a:r>
          <a:r>
            <a:rPr lang="he-IL" sz="1100" baseline="0"/>
            <a:t> מס רווח הון *</a:t>
          </a:r>
          <a:endParaRPr lang="en-US" sz="1100"/>
        </a:p>
      </xdr:txBody>
    </xdr:sp>
    <xdr:clientData/>
  </xdr:twoCellAnchor>
  <xdr:oneCellAnchor>
    <xdr:from>
      <xdr:col>1</xdr:col>
      <xdr:colOff>1392028</xdr:colOff>
      <xdr:row>124</xdr:row>
      <xdr:rowOff>112266</xdr:rowOff>
    </xdr:from>
    <xdr:ext cx="4423177" cy="32502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0CC21B0-F64B-3557-2570-2FA3AD0853A0}"/>
                </a:ext>
              </a:extLst>
            </xdr:cNvPr>
            <xdr:cNvSpPr txBox="1"/>
          </xdr:nvSpPr>
          <xdr:spPr>
            <a:xfrm>
              <a:off x="13546725400" y="25385718"/>
              <a:ext cx="4423177" cy="325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390,000−</m:t>
                    </m:r>
                    <m:d>
                      <m:dPr>
                        <m:begChr m:val="["/>
                        <m:endChr m:val="]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390,000−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500,000−</m:t>
                            </m:r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500,000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10</m:t>
                                </m:r>
                              </m:den>
                            </m:f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∗4</m:t>
                            </m:r>
                          </m:e>
                        </m:d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∗15%=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F0CC21B0-F64B-3557-2570-2FA3AD0853A0}"/>
                </a:ext>
              </a:extLst>
            </xdr:cNvPr>
            <xdr:cNvSpPr txBox="1"/>
          </xdr:nvSpPr>
          <xdr:spPr>
            <a:xfrm>
              <a:off x="13546725400" y="25385718"/>
              <a:ext cx="4423177" cy="32502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390,000−[390,000−(500,000−500,000/10∗4)]∗15%=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90392</xdr:colOff>
      <xdr:row>123</xdr:row>
      <xdr:rowOff>140107</xdr:rowOff>
    </xdr:from>
    <xdr:to>
      <xdr:col>4</xdr:col>
      <xdr:colOff>90392</xdr:colOff>
      <xdr:row>125</xdr:row>
      <xdr:rowOff>4519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33F734AB-27BA-5873-F81C-7222E012FB5E}"/>
            </a:ext>
          </a:extLst>
        </xdr:cNvPr>
        <xdr:cNvCxnSpPr/>
      </xdr:nvCxnSpPr>
      <xdr:spPr>
        <a:xfrm>
          <a:off x="13547469644" y="25210178"/>
          <a:ext cx="0" cy="27117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72314</xdr:colOff>
      <xdr:row>126</xdr:row>
      <xdr:rowOff>27117</xdr:rowOff>
    </xdr:from>
    <xdr:to>
      <xdr:col>4</xdr:col>
      <xdr:colOff>72314</xdr:colOff>
      <xdr:row>127</xdr:row>
      <xdr:rowOff>94911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632634D-B74A-1007-1002-A408DB655B79}"/>
            </a:ext>
          </a:extLst>
        </xdr:cNvPr>
        <xdr:cNvCxnSpPr/>
      </xdr:nvCxnSpPr>
      <xdr:spPr>
        <a:xfrm>
          <a:off x="13547487722" y="25707331"/>
          <a:ext cx="0" cy="27117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610142</xdr:colOff>
      <xdr:row>123</xdr:row>
      <xdr:rowOff>90392</xdr:rowOff>
    </xdr:from>
    <xdr:to>
      <xdr:col>3</xdr:col>
      <xdr:colOff>212420</xdr:colOff>
      <xdr:row>125</xdr:row>
      <xdr:rowOff>13558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8420233B-DCDB-2DAD-CD91-39AAC6DBA7A7}"/>
            </a:ext>
          </a:extLst>
        </xdr:cNvPr>
        <xdr:cNvCxnSpPr/>
      </xdr:nvCxnSpPr>
      <xdr:spPr>
        <a:xfrm flipH="1">
          <a:off x="13548174698" y="25160463"/>
          <a:ext cx="429359" cy="3299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221460</xdr:colOff>
      <xdr:row>126</xdr:row>
      <xdr:rowOff>22598</xdr:rowOff>
    </xdr:from>
    <xdr:to>
      <xdr:col>3</xdr:col>
      <xdr:colOff>650819</xdr:colOff>
      <xdr:row>127</xdr:row>
      <xdr:rowOff>149146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44A470C-EA4D-4448-3559-71621A7810B3}"/>
            </a:ext>
          </a:extLst>
        </xdr:cNvPr>
        <xdr:cNvCxnSpPr/>
      </xdr:nvCxnSpPr>
      <xdr:spPr>
        <a:xfrm flipH="1">
          <a:off x="13547736299" y="25702812"/>
          <a:ext cx="429359" cy="3299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3326405</xdr:colOff>
      <xdr:row>123</xdr:row>
      <xdr:rowOff>94912</xdr:rowOff>
    </xdr:from>
    <xdr:to>
      <xdr:col>2</xdr:col>
      <xdr:colOff>4519</xdr:colOff>
      <xdr:row>124</xdr:row>
      <xdr:rowOff>54235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BA88D4BD-6A88-58D4-D124-AC99F37CBF89}"/>
            </a:ext>
          </a:extLst>
        </xdr:cNvPr>
        <xdr:cNvCxnSpPr/>
      </xdr:nvCxnSpPr>
      <xdr:spPr>
        <a:xfrm>
          <a:off x="13549209680" y="25164983"/>
          <a:ext cx="4520" cy="16270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2137758</xdr:colOff>
      <xdr:row>123</xdr:row>
      <xdr:rowOff>103951</xdr:rowOff>
    </xdr:from>
    <xdr:to>
      <xdr:col>1</xdr:col>
      <xdr:colOff>2223630</xdr:colOff>
      <xdr:row>124</xdr:row>
      <xdr:rowOff>180783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25E95B75-00D5-F6D3-454E-377791461F0F}"/>
            </a:ext>
          </a:extLst>
        </xdr:cNvPr>
        <xdr:cNvCxnSpPr/>
      </xdr:nvCxnSpPr>
      <xdr:spPr>
        <a:xfrm flipH="1">
          <a:off x="13550316975" y="25174022"/>
          <a:ext cx="85872" cy="280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256566</xdr:colOff>
      <xdr:row>142</xdr:row>
      <xdr:rowOff>132559</xdr:rowOff>
    </xdr:from>
    <xdr:to>
      <xdr:col>4</xdr:col>
      <xdr:colOff>466094</xdr:colOff>
      <xdr:row>142</xdr:row>
      <xdr:rowOff>141111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EB5247B8-7EF6-58E7-B5CF-D3A04DDD958A}"/>
            </a:ext>
          </a:extLst>
        </xdr:cNvPr>
        <xdr:cNvCxnSpPr/>
      </xdr:nvCxnSpPr>
      <xdr:spPr>
        <a:xfrm flipV="1">
          <a:off x="13517683300" y="29329731"/>
          <a:ext cx="5186902" cy="85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59866</xdr:colOff>
      <xdr:row>141</xdr:row>
      <xdr:rowOff>164971</xdr:rowOff>
    </xdr:from>
    <xdr:ext cx="8028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B248DB88-C030-8476-BDF0-A45B91E4C641}"/>
                </a:ext>
              </a:extLst>
            </xdr:cNvPr>
            <xdr:cNvSpPr txBox="1"/>
          </xdr:nvSpPr>
          <xdr:spPr>
            <a:xfrm>
              <a:off x="13518112007" y="29156890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B248DB88-C030-8476-BDF0-A45B91E4C641}"/>
                </a:ext>
              </a:extLst>
            </xdr:cNvPr>
            <xdr:cNvSpPr txBox="1"/>
          </xdr:nvSpPr>
          <xdr:spPr>
            <a:xfrm>
              <a:off x="13518112007" y="29156890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3198520</xdr:colOff>
      <xdr:row>141</xdr:row>
      <xdr:rowOff>160695</xdr:rowOff>
    </xdr:from>
    <xdr:ext cx="8028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9FC62EA3-5159-5583-CB1C-FCDFE5AD1FC1}"/>
                </a:ext>
              </a:extLst>
            </xdr:cNvPr>
            <xdr:cNvSpPr txBox="1"/>
          </xdr:nvSpPr>
          <xdr:spPr>
            <a:xfrm>
              <a:off x="13519125441" y="29152614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40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9FC62EA3-5159-5583-CB1C-FCDFE5AD1FC1}"/>
                </a:ext>
              </a:extLst>
            </xdr:cNvPr>
            <xdr:cNvSpPr txBox="1"/>
          </xdr:nvSpPr>
          <xdr:spPr>
            <a:xfrm>
              <a:off x="13519125441" y="29152614"/>
              <a:ext cx="8028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40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226631</xdr:colOff>
      <xdr:row>142</xdr:row>
      <xdr:rowOff>126145</xdr:rowOff>
    </xdr:from>
    <xdr:to>
      <xdr:col>3</xdr:col>
      <xdr:colOff>463956</xdr:colOff>
      <xdr:row>143</xdr:row>
      <xdr:rowOff>64141</xdr:rowOff>
    </xdr:to>
    <xdr:sp macro="" textlink="">
      <xdr:nvSpPr>
        <xdr:cNvPr id="36" name="Left Brace 35">
          <a:extLst>
            <a:ext uri="{FF2B5EF4-FFF2-40B4-BE49-F238E27FC236}">
              <a16:creationId xmlns:a16="http://schemas.microsoft.com/office/drawing/2014/main" id="{B2A768B1-A3B8-AE0D-041A-74973C617999}"/>
            </a:ext>
          </a:extLst>
        </xdr:cNvPr>
        <xdr:cNvSpPr/>
      </xdr:nvSpPr>
      <xdr:spPr>
        <a:xfrm rot="16200000">
          <a:off x="13518970406" y="28863635"/>
          <a:ext cx="143248" cy="1062611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3211347</xdr:colOff>
      <xdr:row>144</xdr:row>
      <xdr:rowOff>32411</xdr:rowOff>
    </xdr:from>
    <xdr:ext cx="17478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83A232CF-CD4D-F74F-36F6-F877138D19DD}"/>
                </a:ext>
              </a:extLst>
            </xdr:cNvPr>
            <xdr:cNvSpPr txBox="1"/>
          </xdr:nvSpPr>
          <xdr:spPr>
            <a:xfrm>
              <a:off x="13518167597" y="2964008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83A232CF-CD4D-F74F-36F6-F877138D19DD}"/>
                </a:ext>
              </a:extLst>
            </xdr:cNvPr>
            <xdr:cNvSpPr txBox="1"/>
          </xdr:nvSpPr>
          <xdr:spPr>
            <a:xfrm>
              <a:off x="13518167597" y="2964008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3211348</xdr:colOff>
      <xdr:row>145</xdr:row>
      <xdr:rowOff>62345</xdr:rowOff>
    </xdr:from>
    <xdr:ext cx="17478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B77FCB9-79B6-9E72-4896-8C1A8D034CBC}"/>
                </a:ext>
              </a:extLst>
            </xdr:cNvPr>
            <xdr:cNvSpPr txBox="1"/>
          </xdr:nvSpPr>
          <xdr:spPr>
            <a:xfrm>
              <a:off x="13518167596" y="29875274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=40∗12=480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B77FCB9-79B6-9E72-4896-8C1A8D034CBC}"/>
                </a:ext>
              </a:extLst>
            </xdr:cNvPr>
            <xdr:cNvSpPr txBox="1"/>
          </xdr:nvSpPr>
          <xdr:spPr>
            <a:xfrm>
              <a:off x="13518167596" y="29875274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𝑛=40∗12=480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3207072</xdr:colOff>
      <xdr:row>146</xdr:row>
      <xdr:rowOff>92277</xdr:rowOff>
    </xdr:from>
    <xdr:ext cx="17478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DA08B159-6356-D421-B00E-3B0EC1FF1B54}"/>
                </a:ext>
              </a:extLst>
            </xdr:cNvPr>
            <xdr:cNvSpPr txBox="1"/>
          </xdr:nvSpPr>
          <xdr:spPr>
            <a:xfrm>
              <a:off x="13518171872" y="30110459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DA08B159-6356-D421-B00E-3B0EC1FF1B54}"/>
                </a:ext>
              </a:extLst>
            </xdr:cNvPr>
            <xdr:cNvSpPr txBox="1"/>
          </xdr:nvSpPr>
          <xdr:spPr>
            <a:xfrm>
              <a:off x="13518171872" y="30110459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 b="0"/>
            </a:p>
          </xdr:txBody>
        </xdr:sp>
      </mc:Fallback>
    </mc:AlternateContent>
    <xdr:clientData/>
  </xdr:oneCellAnchor>
  <xdr:twoCellAnchor>
    <xdr:from>
      <xdr:col>1</xdr:col>
      <xdr:colOff>761142</xdr:colOff>
      <xdr:row>142</xdr:row>
      <xdr:rowOff>117592</xdr:rowOff>
    </xdr:from>
    <xdr:to>
      <xdr:col>1</xdr:col>
      <xdr:colOff>2907743</xdr:colOff>
      <xdr:row>143</xdr:row>
      <xdr:rowOff>98349</xdr:rowOff>
    </xdr:to>
    <xdr:sp macro="" textlink="">
      <xdr:nvSpPr>
        <xdr:cNvPr id="40" name="Left Brace 39">
          <a:extLst>
            <a:ext uri="{FF2B5EF4-FFF2-40B4-BE49-F238E27FC236}">
              <a16:creationId xmlns:a16="http://schemas.microsoft.com/office/drawing/2014/main" id="{28D9419A-2E3C-0521-D87F-0EE20EE85725}"/>
            </a:ext>
          </a:extLst>
        </xdr:cNvPr>
        <xdr:cNvSpPr/>
      </xdr:nvSpPr>
      <xdr:spPr>
        <a:xfrm rot="16200000">
          <a:off x="13521276291" y="28334468"/>
          <a:ext cx="186009" cy="2146601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927913</xdr:colOff>
      <xdr:row>145</xdr:row>
      <xdr:rowOff>2479</xdr:rowOff>
    </xdr:from>
    <xdr:ext cx="17478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E35BCAC6-608C-FF05-5476-194DB29BFC5E}"/>
                </a:ext>
              </a:extLst>
            </xdr:cNvPr>
            <xdr:cNvSpPr txBox="1"/>
          </xdr:nvSpPr>
          <xdr:spPr>
            <a:xfrm>
              <a:off x="13520451031" y="298154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=200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E35BCAC6-608C-FF05-5476-194DB29BFC5E}"/>
                </a:ext>
              </a:extLst>
            </xdr:cNvPr>
            <xdr:cNvSpPr txBox="1"/>
          </xdr:nvSpPr>
          <xdr:spPr>
            <a:xfrm>
              <a:off x="13520451031" y="298154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</a:t>
              </a:r>
              <a:r>
                <a:rPr lang="he-IL" sz="1100" b="0" i="0">
                  <a:latin typeface="Cambria Math" panose="02040503050406030204" pitchFamily="18" charset="0"/>
                </a:rPr>
                <a:t>200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893705</xdr:colOff>
      <xdr:row>144</xdr:row>
      <xdr:rowOff>11031</xdr:rowOff>
    </xdr:from>
    <xdr:ext cx="17478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718F3410-F1A3-3EE3-EC4E-87DF4C503FF2}"/>
                </a:ext>
              </a:extLst>
            </xdr:cNvPr>
            <xdr:cNvSpPr txBox="1"/>
          </xdr:nvSpPr>
          <xdr:spPr>
            <a:xfrm>
              <a:off x="13520485239" y="296187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=14,000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718F3410-F1A3-3EE3-EC4E-87DF4C503FF2}"/>
                </a:ext>
              </a:extLst>
            </xdr:cNvPr>
            <xdr:cNvSpPr txBox="1"/>
          </xdr:nvSpPr>
          <xdr:spPr>
            <a:xfrm>
              <a:off x="13520485239" y="2961870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𝑃𝑀𝑇=14,000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919361</xdr:colOff>
      <xdr:row>146</xdr:row>
      <xdr:rowOff>49516</xdr:rowOff>
    </xdr:from>
    <xdr:ext cx="1747824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516D529A-3BDC-D2A6-EF22-A36B01DA81B5}"/>
                </a:ext>
              </a:extLst>
            </xdr:cNvPr>
            <xdr:cNvSpPr txBox="1"/>
          </xdr:nvSpPr>
          <xdr:spPr>
            <a:xfrm>
              <a:off x="13520459583" y="3006769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516D529A-3BDC-D2A6-EF22-A36B01DA81B5}"/>
                </a:ext>
              </a:extLst>
            </xdr:cNvPr>
            <xdr:cNvSpPr txBox="1"/>
          </xdr:nvSpPr>
          <xdr:spPr>
            <a:xfrm>
              <a:off x="13520459583" y="30067698"/>
              <a:ext cx="1747824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3189967</xdr:colOff>
      <xdr:row>143</xdr:row>
      <xdr:rowOff>19584</xdr:rowOff>
    </xdr:from>
    <xdr:ext cx="1747824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63DDE2A-4C5B-8EA0-0B86-CC60E6A8FDF8}"/>
                </a:ext>
              </a:extLst>
            </xdr:cNvPr>
            <xdr:cNvSpPr txBox="1"/>
          </xdr:nvSpPr>
          <xdr:spPr>
            <a:xfrm>
              <a:off x="13518188977" y="29422008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הפקדות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63DDE2A-4C5B-8EA0-0B86-CC60E6A8FDF8}"/>
                </a:ext>
              </a:extLst>
            </xdr:cNvPr>
            <xdr:cNvSpPr txBox="1"/>
          </xdr:nvSpPr>
          <xdr:spPr>
            <a:xfrm>
              <a:off x="13518188977" y="29422008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הפקדות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974950</xdr:colOff>
      <xdr:row>143</xdr:row>
      <xdr:rowOff>32413</xdr:rowOff>
    </xdr:from>
    <xdr:ext cx="1747824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C7B14391-5972-2BAB-AE2C-22E19D457A49}"/>
                </a:ext>
              </a:extLst>
            </xdr:cNvPr>
            <xdr:cNvSpPr txBox="1"/>
          </xdr:nvSpPr>
          <xdr:spPr>
            <a:xfrm>
              <a:off x="13520403994" y="29434837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משיכות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C7B14391-5972-2BAB-AE2C-22E19D457A49}"/>
                </a:ext>
              </a:extLst>
            </xdr:cNvPr>
            <xdr:cNvSpPr txBox="1"/>
          </xdr:nvSpPr>
          <xdr:spPr>
            <a:xfrm>
              <a:off x="13520403994" y="29434837"/>
              <a:ext cx="1747824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משיכות</a:t>
              </a:r>
              <a:endParaRPr lang="en-US" sz="1100" b="0"/>
            </a:p>
          </xdr:txBody>
        </xdr:sp>
      </mc:Fallback>
    </mc:AlternateContent>
    <xdr:clientData/>
  </xdr:oneCellAnchor>
  <xdr:twoCellAnchor>
    <xdr:from>
      <xdr:col>2</xdr:col>
      <xdr:colOff>598653</xdr:colOff>
      <xdr:row>160</xdr:row>
      <xdr:rowOff>115455</xdr:rowOff>
    </xdr:from>
    <xdr:to>
      <xdr:col>3</xdr:col>
      <xdr:colOff>94074</xdr:colOff>
      <xdr:row>162</xdr:row>
      <xdr:rowOff>55589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700E0C95-01E4-D5C0-BD61-62514FE3445B}"/>
            </a:ext>
          </a:extLst>
        </xdr:cNvPr>
        <xdr:cNvCxnSpPr/>
      </xdr:nvCxnSpPr>
      <xdr:spPr>
        <a:xfrm>
          <a:off x="13518957576" y="33007172"/>
          <a:ext cx="320707" cy="3506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726936</xdr:colOff>
      <xdr:row>142</xdr:row>
      <xdr:rowOff>117592</xdr:rowOff>
    </xdr:from>
    <xdr:to>
      <xdr:col>1</xdr:col>
      <xdr:colOff>761142</xdr:colOff>
      <xdr:row>148</xdr:row>
      <xdr:rowOff>25656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03AC5E9B-DE7D-B0BD-9A81-A3ADFBD8EDC3}"/>
            </a:ext>
          </a:extLst>
        </xdr:cNvPr>
        <xdr:cNvCxnSpPr>
          <a:stCxn id="40" idx="2"/>
        </xdr:cNvCxnSpPr>
      </xdr:nvCxnSpPr>
      <xdr:spPr>
        <a:xfrm>
          <a:off x="13522442596" y="29314764"/>
          <a:ext cx="34206" cy="11395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72694</xdr:colOff>
      <xdr:row>140</xdr:row>
      <xdr:rowOff>190628</xdr:rowOff>
    </xdr:from>
    <xdr:ext cx="802807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FD10E6B3-D2E1-CEDF-F8F7-D01216277186}"/>
                </a:ext>
              </a:extLst>
            </xdr:cNvPr>
            <xdr:cNvSpPr txBox="1"/>
          </xdr:nvSpPr>
          <xdr:spPr>
            <a:xfrm>
              <a:off x="13518176149" y="28977295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20 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בת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משי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FD10E6B3-D2E1-CEDF-F8F7-D01216277186}"/>
                </a:ext>
              </a:extLst>
            </xdr:cNvPr>
            <xdr:cNvSpPr txBox="1"/>
          </xdr:nvSpPr>
          <xdr:spPr>
            <a:xfrm>
              <a:off x="13518176149" y="28977295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20 בת משי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3185691</xdr:colOff>
      <xdr:row>140</xdr:row>
      <xdr:rowOff>182076</xdr:rowOff>
    </xdr:from>
    <xdr:ext cx="802807" cy="1926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8A00677F-4008-3AF8-A2A3-6416CEC7DF10}"/>
                </a:ext>
              </a:extLst>
            </xdr:cNvPr>
            <xdr:cNvSpPr txBox="1"/>
          </xdr:nvSpPr>
          <xdr:spPr>
            <a:xfrm>
              <a:off x="13519215240" y="28968743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60 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בת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משי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8A00677F-4008-3AF8-A2A3-6416CEC7DF10}"/>
                </a:ext>
              </a:extLst>
            </xdr:cNvPr>
            <xdr:cNvSpPr txBox="1"/>
          </xdr:nvSpPr>
          <xdr:spPr>
            <a:xfrm>
              <a:off x="13519215240" y="28968743"/>
              <a:ext cx="802807" cy="1926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60 בת משי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2373233</xdr:colOff>
      <xdr:row>141</xdr:row>
      <xdr:rowOff>139315</xdr:rowOff>
    </xdr:from>
    <xdr:ext cx="892606" cy="1576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4E1C4BF0-1A13-B489-780C-CC23FA36179F}"/>
                </a:ext>
              </a:extLst>
            </xdr:cNvPr>
            <xdr:cNvSpPr txBox="1"/>
          </xdr:nvSpPr>
          <xdr:spPr>
            <a:xfrm>
              <a:off x="13519937899" y="29131234"/>
              <a:ext cx="892606" cy="1576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וחודש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 60 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בת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משי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4E1C4BF0-1A13-B489-780C-CC23FA36179F}"/>
                </a:ext>
              </a:extLst>
            </xdr:cNvPr>
            <xdr:cNvSpPr txBox="1"/>
          </xdr:nvSpPr>
          <xdr:spPr>
            <a:xfrm>
              <a:off x="13519937899" y="29131234"/>
              <a:ext cx="892606" cy="1576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וחודש 60 בת משי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2</xdr:col>
      <xdr:colOff>671347</xdr:colOff>
      <xdr:row>182</xdr:row>
      <xdr:rowOff>273670</xdr:rowOff>
    </xdr:from>
    <xdr:to>
      <xdr:col>3</xdr:col>
      <xdr:colOff>34209</xdr:colOff>
      <xdr:row>184</xdr:row>
      <xdr:rowOff>115455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35B53BB9-A360-9627-11B7-01AA0C74E47B}"/>
            </a:ext>
          </a:extLst>
        </xdr:cNvPr>
        <xdr:cNvCxnSpPr/>
      </xdr:nvCxnSpPr>
      <xdr:spPr>
        <a:xfrm>
          <a:off x="13519017441" y="37920404"/>
          <a:ext cx="188148" cy="4746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21381</xdr:colOff>
      <xdr:row>181</xdr:row>
      <xdr:rowOff>106903</xdr:rowOff>
    </xdr:from>
    <xdr:to>
      <xdr:col>5</xdr:col>
      <xdr:colOff>491751</xdr:colOff>
      <xdr:row>181</xdr:row>
      <xdr:rowOff>115455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A291782A-10E4-C448-BB97-B1AD6BDB3E09}"/>
            </a:ext>
          </a:extLst>
        </xdr:cNvPr>
        <xdr:cNvCxnSpPr/>
      </xdr:nvCxnSpPr>
      <xdr:spPr>
        <a:xfrm flipH="1">
          <a:off x="13516832357" y="37548384"/>
          <a:ext cx="470370" cy="855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688451</xdr:colOff>
      <xdr:row>183</xdr:row>
      <xdr:rowOff>53792</xdr:rowOff>
    </xdr:from>
    <xdr:ext cx="2414896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DDB20B5-F11D-E3AC-9D40-FA4D55576885}"/>
                </a:ext>
              </a:extLst>
            </xdr:cNvPr>
            <xdr:cNvSpPr txBox="1"/>
          </xdr:nvSpPr>
          <xdr:spPr>
            <a:xfrm>
              <a:off x="13514220761" y="38004129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רצוי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מצוי</m:t>
                                </m:r>
                              </m:den>
                            </m:f>
                          </m:sup>
                        </m:s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DDDB20B5-F11D-E3AC-9D40-FA4D55576885}"/>
                </a:ext>
              </a:extLst>
            </xdr:cNvPr>
            <xdr:cNvSpPr txBox="1"/>
          </xdr:nvSpPr>
          <xdr:spPr>
            <a:xfrm>
              <a:off x="13514220761" y="38004129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688451</xdr:colOff>
      <xdr:row>184</xdr:row>
      <xdr:rowOff>160695</xdr:rowOff>
    </xdr:from>
    <xdr:ext cx="2414896" cy="2627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0D3068C5-6235-3698-2414-15E345DFDB1D}"/>
                </a:ext>
              </a:extLst>
            </xdr:cNvPr>
            <xdr:cNvSpPr txBox="1"/>
          </xdr:nvSpPr>
          <xdr:spPr>
            <a:xfrm>
              <a:off x="13514220761" y="38414634"/>
              <a:ext cx="2414896" cy="2627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12</m:t>
                                </m:r>
                              </m:den>
                            </m:f>
                          </m:sup>
                        </m:s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0D3068C5-6235-3698-2414-15E345DFDB1D}"/>
                </a:ext>
              </a:extLst>
            </xdr:cNvPr>
            <xdr:cNvSpPr txBox="1"/>
          </xdr:nvSpPr>
          <xdr:spPr>
            <a:xfrm>
              <a:off x="13514220761" y="38414634"/>
              <a:ext cx="2414896" cy="2627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(1+</a:t>
              </a:r>
              <a:r>
                <a:rPr lang="he-IL" sz="1100" b="0" i="0">
                  <a:latin typeface="Cambria Math" panose="02040503050406030204" pitchFamily="18" charset="0"/>
                </a:rPr>
                <a:t>10%</a:t>
              </a:r>
              <a:r>
                <a:rPr lang="en-US" sz="1100" b="0" i="0">
                  <a:latin typeface="Cambria Math" panose="02040503050406030204" pitchFamily="18" charset="0"/>
                </a:rPr>
                <a:t>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671347</xdr:colOff>
      <xdr:row>192</xdr:row>
      <xdr:rowOff>273670</xdr:rowOff>
    </xdr:from>
    <xdr:to>
      <xdr:col>3</xdr:col>
      <xdr:colOff>34209</xdr:colOff>
      <xdr:row>194</xdr:row>
      <xdr:rowOff>115455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F589738B-F5BA-2040-8F41-DADABADB5DB3}"/>
            </a:ext>
          </a:extLst>
        </xdr:cNvPr>
        <xdr:cNvCxnSpPr/>
      </xdr:nvCxnSpPr>
      <xdr:spPr>
        <a:xfrm>
          <a:off x="13519017441" y="37920404"/>
          <a:ext cx="188148" cy="4489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2826499</xdr:colOff>
      <xdr:row>193</xdr:row>
      <xdr:rowOff>94074</xdr:rowOff>
    </xdr:from>
    <xdr:to>
      <xdr:col>2</xdr:col>
      <xdr:colOff>4276</xdr:colOff>
      <xdr:row>193</xdr:row>
      <xdr:rowOff>94845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298063F5-49CF-1A75-EDEC-735423324AD4}"/>
            </a:ext>
          </a:extLst>
        </xdr:cNvPr>
        <xdr:cNvCxnSpPr/>
      </xdr:nvCxnSpPr>
      <xdr:spPr>
        <a:xfrm flipV="1">
          <a:off x="13519872660" y="40195286"/>
          <a:ext cx="504579" cy="77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748316</xdr:colOff>
      <xdr:row>210</xdr:row>
      <xdr:rowOff>260842</xdr:rowOff>
    </xdr:from>
    <xdr:to>
      <xdr:col>3</xdr:col>
      <xdr:colOff>175320</xdr:colOff>
      <xdr:row>212</xdr:row>
      <xdr:rowOff>192425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300BC85F-2E50-5E36-94A5-0765F4F8C96E}"/>
            </a:ext>
          </a:extLst>
        </xdr:cNvPr>
        <xdr:cNvCxnSpPr/>
      </xdr:nvCxnSpPr>
      <xdr:spPr>
        <a:xfrm flipV="1">
          <a:off x="13518876330" y="43851347"/>
          <a:ext cx="252290" cy="53878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748316</xdr:colOff>
      <xdr:row>219</xdr:row>
      <xdr:rowOff>260842</xdr:rowOff>
    </xdr:from>
    <xdr:to>
      <xdr:col>3</xdr:col>
      <xdr:colOff>175320</xdr:colOff>
      <xdr:row>221</xdr:row>
      <xdr:rowOff>192425</xdr:rowOff>
    </xdr:to>
    <xdr:cxnSp macro="">
      <xdr:nvCxnSpPr>
        <xdr:cNvPr id="70" name="Straight Arrow Connector 69">
          <a:extLst>
            <a:ext uri="{FF2B5EF4-FFF2-40B4-BE49-F238E27FC236}">
              <a16:creationId xmlns:a16="http://schemas.microsoft.com/office/drawing/2014/main" id="{F7463E29-E368-2040-BBB8-B5AA8AE90075}"/>
            </a:ext>
          </a:extLst>
        </xdr:cNvPr>
        <xdr:cNvCxnSpPr/>
      </xdr:nvCxnSpPr>
      <xdr:spPr>
        <a:xfrm flipV="1">
          <a:off x="13518876330" y="43851347"/>
          <a:ext cx="252290" cy="69272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440437</xdr:colOff>
      <xdr:row>209</xdr:row>
      <xdr:rowOff>85521</xdr:rowOff>
    </xdr:from>
    <xdr:ext cx="2414896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4EAB2C03-279E-ED49-9268-74EE71D231AE}"/>
                </a:ext>
              </a:extLst>
            </xdr:cNvPr>
            <xdr:cNvSpPr txBox="1"/>
          </xdr:nvSpPr>
          <xdr:spPr>
            <a:xfrm>
              <a:off x="13514468775" y="43470774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d>
                      <m:dPr>
                        <m:begChr m:val="["/>
                        <m:endChr m:val="]"/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</m:d>
                          </m:e>
                          <m:sup>
                            <m:f>
                              <m:f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רצוי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מצוי</m:t>
                                </m:r>
                              </m:den>
                            </m:f>
                          </m:sup>
                        </m:s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  <m:r>
                      <a:rPr lang="he-IL" sz="1100" b="0" i="0">
                        <a:latin typeface="Cambria Math" panose="02040503050406030204" pitchFamily="18" charset="0"/>
                      </a:rPr>
                      <m:t>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4EAB2C03-279E-ED49-9268-74EE71D231AE}"/>
                </a:ext>
              </a:extLst>
            </xdr:cNvPr>
            <xdr:cNvSpPr txBox="1"/>
          </xdr:nvSpPr>
          <xdr:spPr>
            <a:xfrm>
              <a:off x="13514468775" y="43470774"/>
              <a:ext cx="2414896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he-IL" sz="1100" b="0" i="0">
                  <a:latin typeface="Cambria Math" panose="02040503050406030204" pitchFamily="18" charset="0"/>
                </a:rPr>
                <a:t>[</a:t>
              </a:r>
              <a:r>
                <a:rPr lang="en-US" sz="1100" b="0" i="0">
                  <a:latin typeface="Cambria Math" panose="02040503050406030204" pitchFamily="18" charset="0"/>
                </a:rPr>
                <a:t>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134190</xdr:colOff>
      <xdr:row>4</xdr:row>
      <xdr:rowOff>76680</xdr:rowOff>
    </xdr:from>
    <xdr:to>
      <xdr:col>7</xdr:col>
      <xdr:colOff>478240</xdr:colOff>
      <xdr:row>15</xdr:row>
      <xdr:rowOff>134158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343D05-191A-8F52-C85E-CCD119C393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9089798" y="881812"/>
          <a:ext cx="6138125" cy="2271591"/>
        </a:xfrm>
        <a:prstGeom prst="rect">
          <a:avLst/>
        </a:prstGeom>
      </xdr:spPr>
    </xdr:pic>
    <xdr:clientData/>
  </xdr:twoCellAnchor>
  <xdr:twoCellAnchor>
    <xdr:from>
      <xdr:col>4</xdr:col>
      <xdr:colOff>736840</xdr:colOff>
      <xdr:row>94</xdr:row>
      <xdr:rowOff>119811</xdr:rowOff>
    </xdr:from>
    <xdr:to>
      <xdr:col>5</xdr:col>
      <xdr:colOff>89858</xdr:colOff>
      <xdr:row>96</xdr:row>
      <xdr:rowOff>119810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C42579F-7E20-9E84-373D-5612C8931829}"/>
            </a:ext>
          </a:extLst>
        </xdr:cNvPr>
        <xdr:cNvCxnSpPr/>
      </xdr:nvCxnSpPr>
      <xdr:spPr>
        <a:xfrm flipV="1">
          <a:off x="13540422500" y="19265660"/>
          <a:ext cx="179717" cy="40735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754812</xdr:colOff>
      <xdr:row>94</xdr:row>
      <xdr:rowOff>119810</xdr:rowOff>
    </xdr:from>
    <xdr:to>
      <xdr:col>4</xdr:col>
      <xdr:colOff>107831</xdr:colOff>
      <xdr:row>96</xdr:row>
      <xdr:rowOff>119809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E1FA6B82-C523-F6E8-9448-CBFA1E50497F}"/>
            </a:ext>
          </a:extLst>
        </xdr:cNvPr>
        <xdr:cNvCxnSpPr/>
      </xdr:nvCxnSpPr>
      <xdr:spPr>
        <a:xfrm flipV="1">
          <a:off x="13541231226" y="19265659"/>
          <a:ext cx="179717" cy="40735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245613</xdr:colOff>
      <xdr:row>124</xdr:row>
      <xdr:rowOff>65896</xdr:rowOff>
    </xdr:from>
    <xdr:to>
      <xdr:col>9</xdr:col>
      <xdr:colOff>467264</xdr:colOff>
      <xdr:row>126</xdr:row>
      <xdr:rowOff>41934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DFC06D92-325A-D921-88F0-6F3CADC0F72C}"/>
            </a:ext>
          </a:extLst>
        </xdr:cNvPr>
        <xdr:cNvSpPr/>
      </xdr:nvSpPr>
      <xdr:spPr>
        <a:xfrm>
          <a:off x="13536714340" y="24914764"/>
          <a:ext cx="221651" cy="38339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9</xdr:col>
      <xdr:colOff>221651</xdr:colOff>
      <xdr:row>128</xdr:row>
      <xdr:rowOff>5990</xdr:rowOff>
    </xdr:from>
    <xdr:to>
      <xdr:col>9</xdr:col>
      <xdr:colOff>443302</xdr:colOff>
      <xdr:row>129</xdr:row>
      <xdr:rowOff>185707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AB8C5E04-9641-5FF6-5E84-F02ECB160135}"/>
            </a:ext>
          </a:extLst>
        </xdr:cNvPr>
        <xdr:cNvSpPr/>
      </xdr:nvSpPr>
      <xdr:spPr>
        <a:xfrm>
          <a:off x="13536738302" y="25669575"/>
          <a:ext cx="221651" cy="38339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11</xdr:col>
      <xdr:colOff>275565</xdr:colOff>
      <xdr:row>124</xdr:row>
      <xdr:rowOff>29953</xdr:rowOff>
    </xdr:from>
    <xdr:to>
      <xdr:col>11</xdr:col>
      <xdr:colOff>497216</xdr:colOff>
      <xdr:row>126</xdr:row>
      <xdr:rowOff>5991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E6FBB210-A6AA-1487-03F9-576E0ABFBC70}"/>
            </a:ext>
          </a:extLst>
        </xdr:cNvPr>
        <xdr:cNvSpPr/>
      </xdr:nvSpPr>
      <xdr:spPr>
        <a:xfrm>
          <a:off x="13535030991" y="24878821"/>
          <a:ext cx="221651" cy="38339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11</xdr:col>
      <xdr:colOff>329481</xdr:colOff>
      <xdr:row>128</xdr:row>
      <xdr:rowOff>17971</xdr:rowOff>
    </xdr:from>
    <xdr:to>
      <xdr:col>11</xdr:col>
      <xdr:colOff>551132</xdr:colOff>
      <xdr:row>129</xdr:row>
      <xdr:rowOff>197688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64621F16-112D-3426-7DA2-CAED3D2EF3C9}"/>
            </a:ext>
          </a:extLst>
        </xdr:cNvPr>
        <xdr:cNvSpPr/>
      </xdr:nvSpPr>
      <xdr:spPr>
        <a:xfrm>
          <a:off x="13534977075" y="25681556"/>
          <a:ext cx="221651" cy="38339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353" t="s">
        <v>1185</v>
      </c>
      <c r="B1" s="353"/>
      <c r="C1" s="353"/>
      <c r="D1" s="353"/>
      <c r="E1" s="353"/>
      <c r="F1" s="353"/>
      <c r="G1" s="353"/>
      <c r="H1" s="353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1144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1145</v>
      </c>
      <c r="G46" s="1" t="s">
        <v>36</v>
      </c>
    </row>
    <row r="47" spans="1:8" x14ac:dyDescent="0.2">
      <c r="B47" s="1" t="s">
        <v>29</v>
      </c>
      <c r="D47" s="1" t="s">
        <v>1146</v>
      </c>
      <c r="G47" s="1" t="s">
        <v>32</v>
      </c>
    </row>
    <row r="48" spans="1:8" x14ac:dyDescent="0.2">
      <c r="B48" s="1" t="s">
        <v>30</v>
      </c>
      <c r="D48" s="1" t="s">
        <v>1147</v>
      </c>
      <c r="G48" s="1" t="s">
        <v>33</v>
      </c>
    </row>
    <row r="49" spans="1:8" x14ac:dyDescent="0.2">
      <c r="B49" s="1" t="s">
        <v>31</v>
      </c>
      <c r="D49" s="1" t="s">
        <v>1148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58" t="s">
        <v>1149</v>
      </c>
    </row>
    <row r="58" spans="1:8" s="158" customFormat="1" x14ac:dyDescent="0.2"/>
    <row r="59" spans="1:8" s="158" customFormat="1" x14ac:dyDescent="0.2">
      <c r="A59" s="159" t="s">
        <v>53</v>
      </c>
    </row>
    <row r="60" spans="1:8" s="158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1150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1151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60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1152</v>
      </c>
      <c r="H111" s="31"/>
      <c r="I111" s="23"/>
    </row>
    <row r="112" spans="1:9" x14ac:dyDescent="0.2">
      <c r="G112" s="24" t="s">
        <v>1153</v>
      </c>
      <c r="I112" s="25"/>
    </row>
    <row r="113" spans="1:9" ht="17" thickBot="1" x14ac:dyDescent="0.25">
      <c r="A113" s="1" t="s">
        <v>83</v>
      </c>
      <c r="G113" s="26" t="s">
        <v>1154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1155</v>
      </c>
    </row>
    <row r="120" spans="1:9" x14ac:dyDescent="0.2">
      <c r="E120" s="1" t="s">
        <v>1157</v>
      </c>
      <c r="F120" s="12">
        <f>4*12</f>
        <v>48</v>
      </c>
      <c r="G120" s="1" t="s">
        <v>45</v>
      </c>
      <c r="H120" s="1" t="s">
        <v>1156</v>
      </c>
    </row>
    <row r="121" spans="1:9" x14ac:dyDescent="0.2">
      <c r="F121" s="12">
        <v>-25000</v>
      </c>
      <c r="G121" s="1" t="s">
        <v>39</v>
      </c>
      <c r="H121" s="1" t="s">
        <v>1158</v>
      </c>
    </row>
    <row r="122" spans="1:9" x14ac:dyDescent="0.2">
      <c r="F122" s="12">
        <v>-500</v>
      </c>
      <c r="G122" s="1" t="s">
        <v>47</v>
      </c>
      <c r="H122" s="1" t="s">
        <v>1159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1160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1161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1162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61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1167</v>
      </c>
      <c r="H189" s="2" t="s">
        <v>1163</v>
      </c>
    </row>
    <row r="190" spans="1:8" x14ac:dyDescent="0.2">
      <c r="H190" s="1" t="s">
        <v>1164</v>
      </c>
    </row>
    <row r="191" spans="1:8" x14ac:dyDescent="0.2">
      <c r="B191" s="1" t="s">
        <v>1168</v>
      </c>
      <c r="E191" s="163" t="s">
        <v>137</v>
      </c>
      <c r="F191" s="162" t="s">
        <v>136</v>
      </c>
      <c r="H191" s="1" t="s">
        <v>1165</v>
      </c>
    </row>
    <row r="192" spans="1:8" x14ac:dyDescent="0.2">
      <c r="H192" s="1" t="s">
        <v>1166</v>
      </c>
    </row>
    <row r="193" spans="1:8" x14ac:dyDescent="0.2">
      <c r="A193" s="355">
        <f>(1+6.539%)^12-1</f>
        <v>1.1384711369525191</v>
      </c>
      <c r="B193" s="354" t="s">
        <v>138</v>
      </c>
      <c r="C193" s="354">
        <f>(1+6.539%)^12-1</f>
        <v>1.1384711369525191</v>
      </c>
    </row>
    <row r="194" spans="1:8" x14ac:dyDescent="0.2">
      <c r="A194" s="355"/>
      <c r="B194" s="354"/>
      <c r="C194" s="354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61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1169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1170</v>
      </c>
      <c r="B225" s="164"/>
      <c r="C225" s="164"/>
      <c r="D225" s="164"/>
      <c r="E225" s="164"/>
      <c r="F225" s="164"/>
      <c r="G225" s="164"/>
      <c r="H225" s="164"/>
    </row>
    <row r="226" spans="1:8" x14ac:dyDescent="0.2">
      <c r="A226" s="1" t="s">
        <v>1171</v>
      </c>
    </row>
    <row r="227" spans="1:8" x14ac:dyDescent="0.2">
      <c r="A227" s="1" t="s">
        <v>1172</v>
      </c>
    </row>
    <row r="228" spans="1:8" x14ac:dyDescent="0.2">
      <c r="A228" s="1" t="s">
        <v>1173</v>
      </c>
    </row>
    <row r="229" spans="1:8" x14ac:dyDescent="0.2">
      <c r="A229" s="1" t="s">
        <v>1174</v>
      </c>
    </row>
    <row r="230" spans="1:8" x14ac:dyDescent="0.2">
      <c r="A230" s="1" t="s">
        <v>1175</v>
      </c>
    </row>
    <row r="231" spans="1:8" x14ac:dyDescent="0.2">
      <c r="A231" s="1" t="s">
        <v>1176</v>
      </c>
    </row>
    <row r="234" spans="1:8" x14ac:dyDescent="0.2">
      <c r="C234" s="166">
        <f>A241*100</f>
        <v>0.40741237836483535</v>
      </c>
      <c r="D234" s="1" t="s">
        <v>42</v>
      </c>
      <c r="E234" s="1" t="s">
        <v>1180</v>
      </c>
    </row>
    <row r="235" spans="1:8" x14ac:dyDescent="0.2">
      <c r="C235" s="1">
        <f>10*12</f>
        <v>120</v>
      </c>
      <c r="D235" s="1" t="s">
        <v>45</v>
      </c>
      <c r="E235" s="1" t="s">
        <v>1179</v>
      </c>
    </row>
    <row r="236" spans="1:8" x14ac:dyDescent="0.2">
      <c r="C236" s="1">
        <v>-400000</v>
      </c>
      <c r="D236" s="1" t="s">
        <v>39</v>
      </c>
      <c r="E236" s="1" t="s">
        <v>1178</v>
      </c>
    </row>
    <row r="237" spans="1:8" x14ac:dyDescent="0.2">
      <c r="C237" s="168">
        <f>PMT(C234/100,C235,C236,C238)</f>
        <v>-28170.20662589727</v>
      </c>
      <c r="D237" s="1" t="s">
        <v>47</v>
      </c>
      <c r="E237" s="1" t="s">
        <v>798</v>
      </c>
    </row>
    <row r="238" spans="1:8" x14ac:dyDescent="0.2">
      <c r="C238" s="86">
        <v>5000000</v>
      </c>
      <c r="D238" s="1" t="s">
        <v>50</v>
      </c>
      <c r="E238" s="1" t="s">
        <v>1177</v>
      </c>
    </row>
    <row r="240" spans="1:8" x14ac:dyDescent="0.2">
      <c r="A240" s="1" t="s">
        <v>1181</v>
      </c>
    </row>
    <row r="241" spans="1:8" x14ac:dyDescent="0.2">
      <c r="A241" s="165">
        <f>C241</f>
        <v>4.0741237836483535E-3</v>
      </c>
      <c r="B241" s="1" t="s">
        <v>1184</v>
      </c>
      <c r="C241" s="167">
        <f>(1+5%)^(1/12)-1</f>
        <v>4.0741237836483535E-3</v>
      </c>
    </row>
    <row r="243" spans="1:8" x14ac:dyDescent="0.2">
      <c r="A243" s="1" t="s">
        <v>1182</v>
      </c>
    </row>
    <row r="244" spans="1:8" x14ac:dyDescent="0.2">
      <c r="A244" s="1" t="s">
        <v>1183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1186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1187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1188</v>
      </c>
    </row>
    <row r="18" spans="1:8" x14ac:dyDescent="0.2">
      <c r="C18" s="1" t="s">
        <v>1189</v>
      </c>
      <c r="F18" s="12" t="s">
        <v>174</v>
      </c>
    </row>
    <row r="19" spans="1:8" x14ac:dyDescent="0.2">
      <c r="C19" s="1" t="s">
        <v>1190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1191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1192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1193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169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169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58" customFormat="1" x14ac:dyDescent="0.2">
      <c r="D87" s="169">
        <f>FV(D84/100,D83,D86,D85)</f>
        <v>505.04948184269637</v>
      </c>
      <c r="E87" s="70" t="s">
        <v>50</v>
      </c>
      <c r="F87" s="170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1194</v>
      </c>
    </row>
    <row r="106" spans="1:8" x14ac:dyDescent="0.2">
      <c r="A106" s="1" t="s">
        <v>1195</v>
      </c>
      <c r="D106" s="12">
        <f>12*3</f>
        <v>36</v>
      </c>
      <c r="E106" s="12" t="s">
        <v>45</v>
      </c>
      <c r="F106" s="1" t="s">
        <v>1196</v>
      </c>
    </row>
    <row r="107" spans="1:8" x14ac:dyDescent="0.2">
      <c r="A107" s="1" t="s">
        <v>1197</v>
      </c>
      <c r="D107" s="12">
        <v>1</v>
      </c>
      <c r="E107" s="12" t="s">
        <v>42</v>
      </c>
      <c r="F107" s="1" t="s">
        <v>1198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1199</v>
      </c>
    </row>
    <row r="110" spans="1:8" x14ac:dyDescent="0.2">
      <c r="A110" s="2" t="s">
        <v>1200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169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169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171" t="s">
        <v>1201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169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173">
        <f>FV(D191/100,D190,D193,D192)</f>
        <v>55897.002444829268</v>
      </c>
      <c r="E194" s="172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1203</v>
      </c>
      <c r="F195" s="12" t="s">
        <v>1202</v>
      </c>
    </row>
    <row r="196" spans="1:8" x14ac:dyDescent="0.2">
      <c r="D196" s="1" t="s">
        <v>1204</v>
      </c>
    </row>
    <row r="198" spans="1:8" x14ac:dyDescent="0.2">
      <c r="A198" s="1" t="s">
        <v>298</v>
      </c>
    </row>
    <row r="200" spans="1:8" x14ac:dyDescent="0.2">
      <c r="A200" s="175" t="s">
        <v>1205</v>
      </c>
      <c r="B200" s="174"/>
      <c r="C200" s="174"/>
      <c r="D200" s="174"/>
      <c r="E200" s="174"/>
      <c r="F200" s="174"/>
      <c r="G200" s="174"/>
    </row>
    <row r="201" spans="1:8" x14ac:dyDescent="0.2">
      <c r="A201" s="1" t="s">
        <v>1206</v>
      </c>
    </row>
    <row r="202" spans="1:8" x14ac:dyDescent="0.2">
      <c r="A202" s="1" t="s">
        <v>1207</v>
      </c>
    </row>
    <row r="203" spans="1:8" x14ac:dyDescent="0.2">
      <c r="A203" s="1" t="s">
        <v>1208</v>
      </c>
    </row>
    <row r="204" spans="1:8" x14ac:dyDescent="0.2">
      <c r="A204" s="1" t="s">
        <v>1209</v>
      </c>
    </row>
    <row r="205" spans="1:8" x14ac:dyDescent="0.2">
      <c r="A205" s="1" t="s">
        <v>1210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1211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1212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1214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176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1213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176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171" t="s">
        <v>1201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177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178">
        <f>FV(C253/100,C252,C255,C254)</f>
        <v>417719.81329510908</v>
      </c>
      <c r="D256" s="177">
        <f>FV(D253/100,D252,D255,D254)</f>
        <v>51058.051641720835</v>
      </c>
      <c r="E256" s="172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179" t="s">
        <v>1215</v>
      </c>
      <c r="B268" s="179"/>
      <c r="C268" s="179"/>
      <c r="D268" s="179"/>
      <c r="E268" s="179"/>
      <c r="F268" s="179"/>
      <c r="G268" s="179"/>
      <c r="H268" s="179"/>
    </row>
    <row r="269" spans="1:8" x14ac:dyDescent="0.2">
      <c r="A269" s="1" t="s">
        <v>1216</v>
      </c>
    </row>
    <row r="270" spans="1:8" x14ac:dyDescent="0.2">
      <c r="A270" s="1" t="s">
        <v>1217</v>
      </c>
    </row>
    <row r="271" spans="1:8" x14ac:dyDescent="0.2">
      <c r="A271" s="1" t="s">
        <v>1218</v>
      </c>
    </row>
    <row r="272" spans="1:8" x14ac:dyDescent="0.2">
      <c r="A272" s="1" t="s">
        <v>1219</v>
      </c>
    </row>
    <row r="273" spans="1:8" x14ac:dyDescent="0.2">
      <c r="A273" s="1" t="s">
        <v>1221</v>
      </c>
    </row>
    <row r="274" spans="1:8" x14ac:dyDescent="0.2">
      <c r="A274" s="1" t="s">
        <v>1220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180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179" t="s">
        <v>1215</v>
      </c>
      <c r="B284" s="179"/>
      <c r="C284" s="179"/>
      <c r="D284" s="179"/>
      <c r="E284" s="179"/>
      <c r="F284" s="179"/>
      <c r="G284" s="179"/>
      <c r="H284" s="179"/>
    </row>
    <row r="285" spans="1:8" x14ac:dyDescent="0.2">
      <c r="A285" s="1" t="s">
        <v>1222</v>
      </c>
    </row>
    <row r="286" spans="1:8" x14ac:dyDescent="0.2">
      <c r="A286" s="1" t="s">
        <v>1223</v>
      </c>
    </row>
    <row r="287" spans="1:8" x14ac:dyDescent="0.2">
      <c r="A287" s="1" t="s">
        <v>1224</v>
      </c>
    </row>
    <row r="288" spans="1:8" x14ac:dyDescent="0.2">
      <c r="A288" s="1" t="s">
        <v>1225</v>
      </c>
    </row>
    <row r="289" spans="1:9" x14ac:dyDescent="0.2">
      <c r="H289" s="1" t="s">
        <v>1226</v>
      </c>
    </row>
    <row r="290" spans="1:9" x14ac:dyDescent="0.2">
      <c r="D290" s="59" t="s">
        <v>291</v>
      </c>
      <c r="E290" s="59" t="s">
        <v>290</v>
      </c>
      <c r="H290" s="1" t="s">
        <v>1227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1228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1229</v>
      </c>
    </row>
    <row r="296" spans="1:9" x14ac:dyDescent="0.2">
      <c r="A296" s="1" t="s">
        <v>1234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1230</v>
      </c>
    </row>
    <row r="298" spans="1:9" x14ac:dyDescent="0.2">
      <c r="A298" s="1" t="s">
        <v>1231</v>
      </c>
    </row>
    <row r="299" spans="1:9" x14ac:dyDescent="0.2">
      <c r="A299" s="1" t="s">
        <v>294</v>
      </c>
    </row>
    <row r="300" spans="1:9" x14ac:dyDescent="0.2">
      <c r="A300" s="1" t="s">
        <v>1232</v>
      </c>
    </row>
    <row r="301" spans="1:9" x14ac:dyDescent="0.2">
      <c r="A301" s="1" t="s">
        <v>1233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1235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353" t="s">
        <v>449</v>
      </c>
      <c r="B1" s="353"/>
      <c r="C1" s="353"/>
      <c r="D1" s="353"/>
      <c r="E1" s="353"/>
      <c r="F1" s="353"/>
      <c r="G1" s="353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1236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1242</v>
      </c>
      <c r="D24" s="356" t="s">
        <v>390</v>
      </c>
      <c r="E24" s="357"/>
    </row>
    <row r="25" spans="1:7" x14ac:dyDescent="0.2">
      <c r="D25" s="358" t="s">
        <v>385</v>
      </c>
      <c r="E25" s="358"/>
    </row>
    <row r="26" spans="1:7" x14ac:dyDescent="0.2">
      <c r="A26" s="1" t="s">
        <v>1241</v>
      </c>
      <c r="D26" s="358" t="s">
        <v>386</v>
      </c>
      <c r="E26" s="358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183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1240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182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1238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1239</v>
      </c>
      <c r="E36" s="184">
        <f>FV(E33/100,E32,E35,E34)</f>
        <v>1036407.6625229202</v>
      </c>
      <c r="F36" s="181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1237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1243</v>
      </c>
    </row>
    <row r="43" spans="1:9" x14ac:dyDescent="0.2">
      <c r="A43" s="1" t="s">
        <v>400</v>
      </c>
      <c r="I43" s="1" t="s">
        <v>1244</v>
      </c>
    </row>
    <row r="44" spans="1:9" x14ac:dyDescent="0.2">
      <c r="A44" s="1" t="s">
        <v>401</v>
      </c>
      <c r="I44" s="1" t="s">
        <v>1245</v>
      </c>
    </row>
    <row r="45" spans="1:9" x14ac:dyDescent="0.2">
      <c r="A45" s="1" t="s">
        <v>402</v>
      </c>
      <c r="I45" s="1" t="s">
        <v>1246</v>
      </c>
    </row>
    <row r="46" spans="1:9" x14ac:dyDescent="0.2">
      <c r="A46" s="1" t="s">
        <v>403</v>
      </c>
      <c r="I46" s="1" t="s">
        <v>1247</v>
      </c>
    </row>
    <row r="47" spans="1:9" x14ac:dyDescent="0.2">
      <c r="I47" s="1" t="s">
        <v>1248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185" t="s">
        <v>406</v>
      </c>
      <c r="D57" s="185" t="s">
        <v>1249</v>
      </c>
      <c r="E57" s="185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190">
        <f>-D63-45000</f>
        <v>-296602.96101395937</v>
      </c>
      <c r="D61" s="188">
        <f>-E63</f>
        <v>-146607.24267146544</v>
      </c>
      <c r="E61" s="186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191">
        <f>FV(C60/100,C59,C62,C61)</f>
        <v>465460.98942108313</v>
      </c>
      <c r="D63" s="189">
        <f>FV(D60/100,D59,D62,D61)</f>
        <v>251602.96101395934</v>
      </c>
      <c r="E63" s="187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860</v>
      </c>
      <c r="I70" s="12" t="s">
        <v>1254</v>
      </c>
      <c r="J70" s="12" t="s">
        <v>851</v>
      </c>
      <c r="K70" s="12" t="s">
        <v>959</v>
      </c>
      <c r="L70" s="12"/>
    </row>
    <row r="71" spans="1:13" x14ac:dyDescent="0.2">
      <c r="A71" s="1" t="s">
        <v>417</v>
      </c>
      <c r="H71" s="12" t="s">
        <v>1250</v>
      </c>
      <c r="I71" s="12" t="s">
        <v>1255</v>
      </c>
      <c r="J71" s="12" t="s">
        <v>1253</v>
      </c>
      <c r="K71" s="12" t="s">
        <v>1250</v>
      </c>
      <c r="L71" s="12"/>
    </row>
    <row r="72" spans="1:13" x14ac:dyDescent="0.2">
      <c r="A72" s="1" t="s">
        <v>418</v>
      </c>
      <c r="H72" s="12" t="s">
        <v>1257</v>
      </c>
      <c r="I72" s="12" t="s">
        <v>316</v>
      </c>
      <c r="J72" s="12" t="s">
        <v>829</v>
      </c>
      <c r="K72" s="12" t="s">
        <v>1251</v>
      </c>
      <c r="L72" s="12"/>
    </row>
    <row r="73" spans="1:13" x14ac:dyDescent="0.2">
      <c r="A73" s="1" t="s">
        <v>419</v>
      </c>
      <c r="H73" s="59" t="s">
        <v>1258</v>
      </c>
      <c r="I73" s="59" t="s">
        <v>1256</v>
      </c>
      <c r="J73" s="59" t="s">
        <v>1143</v>
      </c>
      <c r="K73" s="59" t="s">
        <v>1252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47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798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1261</v>
      </c>
    </row>
    <row r="109" spans="1:10" x14ac:dyDescent="0.2">
      <c r="A109" s="1" t="s">
        <v>443</v>
      </c>
      <c r="J109" s="12" t="s">
        <v>1262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1263</v>
      </c>
    </row>
    <row r="113" spans="1:10" x14ac:dyDescent="0.2">
      <c r="A113" s="59" t="s">
        <v>1260</v>
      </c>
      <c r="B113" s="59" t="s">
        <v>1259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192">
        <f>FV(B116/100,B115,B118,B117)</f>
        <v>193.88462809689082</v>
      </c>
      <c r="C119" s="1" t="s">
        <v>50</v>
      </c>
    </row>
    <row r="120" spans="1:10" x14ac:dyDescent="0.2">
      <c r="A120" s="12" t="s">
        <v>1265</v>
      </c>
      <c r="B120" s="12" t="s">
        <v>1264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193" t="s">
        <v>1266</v>
      </c>
      <c r="B136" s="193"/>
      <c r="C136" s="193"/>
      <c r="D136" s="193"/>
      <c r="E136" s="193"/>
      <c r="F136" s="193"/>
      <c r="G136" s="193"/>
      <c r="H136" s="193"/>
    </row>
    <row r="147" spans="1:10" x14ac:dyDescent="0.2">
      <c r="A147" s="1" t="s">
        <v>1267</v>
      </c>
      <c r="H147" s="1" t="s">
        <v>1274</v>
      </c>
    </row>
    <row r="148" spans="1:10" x14ac:dyDescent="0.2">
      <c r="A148" s="1" t="s">
        <v>1268</v>
      </c>
    </row>
    <row r="149" spans="1:10" x14ac:dyDescent="0.2">
      <c r="A149" s="1" t="s">
        <v>1269</v>
      </c>
    </row>
    <row r="150" spans="1:10" x14ac:dyDescent="0.2">
      <c r="H150" s="1" t="s">
        <v>1270</v>
      </c>
    </row>
    <row r="151" spans="1:10" x14ac:dyDescent="0.2">
      <c r="A151" s="1" t="s">
        <v>1271</v>
      </c>
      <c r="J151" s="1" t="s">
        <v>1272</v>
      </c>
    </row>
    <row r="152" spans="1:10" x14ac:dyDescent="0.2">
      <c r="A152" s="1" t="s">
        <v>1276</v>
      </c>
      <c r="D152" s="12">
        <v>1</v>
      </c>
      <c r="E152" s="1" t="s">
        <v>1184</v>
      </c>
      <c r="F152" s="133">
        <f>(1+4.060401%)^0.25-1</f>
        <v>1.0000000000000009E-2</v>
      </c>
      <c r="H152" s="1" t="s">
        <v>1275</v>
      </c>
      <c r="J152" s="1" t="s">
        <v>1273</v>
      </c>
    </row>
    <row r="154" spans="1:10" x14ac:dyDescent="0.2">
      <c r="D154" s="59" t="s">
        <v>1278</v>
      </c>
      <c r="E154" s="59" t="s">
        <v>1277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53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2" t="s">
        <v>1279</v>
      </c>
      <c r="B163" s="193"/>
      <c r="C163" s="193"/>
      <c r="D163" s="193"/>
      <c r="E163" s="193"/>
      <c r="F163" s="193"/>
      <c r="G163" s="193"/>
      <c r="H163" s="193"/>
    </row>
    <row r="165" spans="1:11" x14ac:dyDescent="0.2">
      <c r="I165" s="1" t="s">
        <v>1280</v>
      </c>
    </row>
    <row r="166" spans="1:11" x14ac:dyDescent="0.2">
      <c r="K166" s="1" t="s">
        <v>1282</v>
      </c>
    </row>
    <row r="168" spans="1:11" x14ac:dyDescent="0.2">
      <c r="I168" s="1" t="s">
        <v>1281</v>
      </c>
    </row>
    <row r="169" spans="1:11" x14ac:dyDescent="0.2">
      <c r="K169" s="1" t="s">
        <v>1283</v>
      </c>
    </row>
    <row r="174" spans="1:11" x14ac:dyDescent="0.2">
      <c r="C174" s="12" t="s">
        <v>437</v>
      </c>
      <c r="D174" s="12" t="s">
        <v>436</v>
      </c>
      <c r="G174" s="1" t="s">
        <v>1286</v>
      </c>
    </row>
    <row r="175" spans="1:11" x14ac:dyDescent="0.2">
      <c r="C175" s="59" t="s">
        <v>1285</v>
      </c>
      <c r="D175" s="59" t="s">
        <v>1284</v>
      </c>
      <c r="G175" s="1" t="s">
        <v>1287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1288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1289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1290</v>
      </c>
      <c r="K179" s="105" t="s">
        <v>1292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1291</v>
      </c>
      <c r="K181" s="1" t="s">
        <v>1293</v>
      </c>
    </row>
    <row r="185" spans="1:11" ht="18" x14ac:dyDescent="0.2">
      <c r="A185" s="131" t="s">
        <v>1541</v>
      </c>
      <c r="B185" s="131"/>
      <c r="C185" s="131"/>
      <c r="D185" s="131"/>
      <c r="E185" s="131"/>
      <c r="F185" s="131"/>
      <c r="G185" s="131"/>
      <c r="H185" s="131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797</v>
      </c>
    </row>
    <row r="198" spans="1:8" x14ac:dyDescent="0.2">
      <c r="C198" s="1" t="s">
        <v>801</v>
      </c>
      <c r="E198" s="1" t="s">
        <v>800</v>
      </c>
    </row>
    <row r="199" spans="1:8" x14ac:dyDescent="0.2">
      <c r="C199" s="1" t="s">
        <v>802</v>
      </c>
    </row>
    <row r="200" spans="1:8" x14ac:dyDescent="0.2">
      <c r="C200" s="59" t="s">
        <v>799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09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798</v>
      </c>
    </row>
    <row r="207" spans="1:8" x14ac:dyDescent="0.2">
      <c r="A207" s="2" t="s">
        <v>803</v>
      </c>
      <c r="B207" s="2"/>
      <c r="C207" s="2"/>
      <c r="D207" s="2"/>
      <c r="E207" s="2"/>
      <c r="F207" s="110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0"/>
    </row>
    <row r="209" spans="1:7" x14ac:dyDescent="0.2">
      <c r="A209" s="2"/>
      <c r="B209" s="2"/>
      <c r="C209" s="2"/>
      <c r="D209" s="2"/>
      <c r="E209" s="2"/>
      <c r="F209" s="110"/>
    </row>
    <row r="210" spans="1:7" x14ac:dyDescent="0.2">
      <c r="A210" s="2"/>
      <c r="B210" s="2"/>
      <c r="C210" s="2"/>
      <c r="D210" s="2"/>
      <c r="E210" s="2"/>
      <c r="F210" s="110"/>
    </row>
    <row r="219" spans="1:7" x14ac:dyDescent="0.2">
      <c r="B219" s="115" t="s">
        <v>629</v>
      </c>
      <c r="C219" s="115" t="s">
        <v>315</v>
      </c>
      <c r="D219" s="115" t="s">
        <v>817</v>
      </c>
      <c r="E219" s="115" t="s">
        <v>813</v>
      </c>
      <c r="F219" s="116" t="s">
        <v>805</v>
      </c>
    </row>
    <row r="220" spans="1:7" x14ac:dyDescent="0.2">
      <c r="B220" s="115" t="s">
        <v>818</v>
      </c>
      <c r="C220" s="115" t="s">
        <v>814</v>
      </c>
      <c r="D220" s="115" t="s">
        <v>814</v>
      </c>
      <c r="E220" s="115" t="s">
        <v>806</v>
      </c>
      <c r="F220" s="115" t="s">
        <v>804</v>
      </c>
    </row>
    <row r="221" spans="1:7" x14ac:dyDescent="0.2">
      <c r="B221" s="111" t="s">
        <v>819</v>
      </c>
      <c r="C221" s="111" t="s">
        <v>816</v>
      </c>
      <c r="D221" s="111" t="s">
        <v>815</v>
      </c>
      <c r="E221" s="111" t="s">
        <v>809</v>
      </c>
      <c r="F221" s="111" t="s">
        <v>812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3"/>
      <c r="G222" s="1" t="s">
        <v>45</v>
      </c>
    </row>
    <row r="223" spans="1:7" x14ac:dyDescent="0.2">
      <c r="B223" s="16">
        <f>((1+10%)^0.25-1)*100</f>
        <v>2.4113689084445111</v>
      </c>
      <c r="C223" s="119">
        <v>10</v>
      </c>
      <c r="D223" s="117">
        <f>E223</f>
        <v>0.94887929345830457</v>
      </c>
      <c r="E223" s="117">
        <f>((1+12%)^(1/12)-1)*100</f>
        <v>0.94887929345830457</v>
      </c>
      <c r="F223" s="114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4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4"/>
      <c r="G225" s="1" t="s">
        <v>47</v>
      </c>
    </row>
    <row r="226" spans="1:8" x14ac:dyDescent="0.2">
      <c r="B226" s="108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2">
        <f>5000*12</f>
        <v>60000</v>
      </c>
      <c r="G226" s="1" t="s">
        <v>50</v>
      </c>
      <c r="H226" s="1" t="s">
        <v>798</v>
      </c>
    </row>
    <row r="229" spans="1:8" x14ac:dyDescent="0.2">
      <c r="B229" s="1" t="s">
        <v>820</v>
      </c>
      <c r="E229" s="1" t="s">
        <v>807</v>
      </c>
    </row>
    <row r="230" spans="1:8" x14ac:dyDescent="0.2">
      <c r="B230" s="1" t="s">
        <v>821</v>
      </c>
      <c r="E230" s="1" t="s">
        <v>808</v>
      </c>
    </row>
    <row r="231" spans="1:8" x14ac:dyDescent="0.2">
      <c r="A231" s="120">
        <f>B223</f>
        <v>2.4113689084445111</v>
      </c>
      <c r="C231" s="1" t="s">
        <v>822</v>
      </c>
      <c r="E231" s="1" t="s">
        <v>810</v>
      </c>
    </row>
    <row r="232" spans="1:8" x14ac:dyDescent="0.2">
      <c r="E232" s="117">
        <f>E223</f>
        <v>0.94887929345830457</v>
      </c>
      <c r="G232" s="1" t="s">
        <v>811</v>
      </c>
    </row>
    <row r="234" spans="1:8" x14ac:dyDescent="0.2">
      <c r="A234" s="1" t="s">
        <v>823</v>
      </c>
    </row>
    <row r="242" spans="1:9" ht="17" thickBot="1" x14ac:dyDescent="0.25">
      <c r="E242" s="115" t="s">
        <v>827</v>
      </c>
      <c r="F242" s="115" t="s">
        <v>824</v>
      </c>
    </row>
    <row r="243" spans="1:9" x14ac:dyDescent="0.2">
      <c r="A243" s="21" t="s">
        <v>841</v>
      </c>
      <c r="B243" s="122"/>
      <c r="E243" s="115" t="s">
        <v>828</v>
      </c>
      <c r="F243" s="115" t="s">
        <v>825</v>
      </c>
      <c r="I243" s="1" t="s">
        <v>846</v>
      </c>
    </row>
    <row r="244" spans="1:9" x14ac:dyDescent="0.2">
      <c r="A244" s="123" t="s">
        <v>842</v>
      </c>
      <c r="B244" s="124"/>
      <c r="E244" s="111" t="s">
        <v>829</v>
      </c>
      <c r="F244" s="111" t="s">
        <v>826</v>
      </c>
      <c r="I244" s="2" t="s">
        <v>847</v>
      </c>
    </row>
    <row r="245" spans="1:9" x14ac:dyDescent="0.2">
      <c r="A245" s="123" t="s">
        <v>843</v>
      </c>
      <c r="B245" s="124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3" t="s">
        <v>844</v>
      </c>
      <c r="B246" s="124"/>
      <c r="C246" s="1" t="s">
        <v>830</v>
      </c>
      <c r="E246" s="117">
        <f>F246</f>
        <v>0.94887929345830457</v>
      </c>
      <c r="F246" s="117">
        <f>((1+12%)^(1/12)-1)*100</f>
        <v>0.94887929345830457</v>
      </c>
      <c r="G246" s="1" t="s">
        <v>42</v>
      </c>
    </row>
    <row r="247" spans="1:9" ht="17" thickBot="1" x14ac:dyDescent="0.25">
      <c r="A247" s="125" t="s">
        <v>845</v>
      </c>
      <c r="B247" s="126"/>
      <c r="C247" s="1" t="s">
        <v>831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832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833</v>
      </c>
      <c r="E249" s="108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834</v>
      </c>
    </row>
    <row r="251" spans="1:9" x14ac:dyDescent="0.2">
      <c r="C251" s="1" t="s">
        <v>835</v>
      </c>
    </row>
    <row r="252" spans="1:9" x14ac:dyDescent="0.2">
      <c r="C252" s="1" t="s">
        <v>836</v>
      </c>
    </row>
    <row r="253" spans="1:9" x14ac:dyDescent="0.2">
      <c r="E253" s="1" t="s">
        <v>837</v>
      </c>
      <c r="G253" s="86">
        <f>F249</f>
        <v>1198304.9862389127</v>
      </c>
    </row>
    <row r="254" spans="1:9" x14ac:dyDescent="0.2">
      <c r="E254" s="1" t="s">
        <v>838</v>
      </c>
      <c r="G254" s="86">
        <v>200000</v>
      </c>
    </row>
    <row r="255" spans="1:9" x14ac:dyDescent="0.2">
      <c r="E255" s="1" t="s">
        <v>839</v>
      </c>
      <c r="G255" s="121">
        <f>G253+G254</f>
        <v>1398304.9862389127</v>
      </c>
      <c r="H255" s="1" t="s">
        <v>840</v>
      </c>
    </row>
    <row r="267" spans="1:8" x14ac:dyDescent="0.2">
      <c r="B267" s="127" t="s">
        <v>850</v>
      </c>
      <c r="C267" s="127" t="s">
        <v>850</v>
      </c>
      <c r="D267" s="127" t="s">
        <v>850</v>
      </c>
      <c r="F267" s="116" t="s">
        <v>850</v>
      </c>
      <c r="G267" s="127" t="s">
        <v>856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849</v>
      </c>
      <c r="B271" s="12"/>
      <c r="C271" s="12">
        <v>-150000</v>
      </c>
      <c r="D271" s="12" t="s">
        <v>851</v>
      </c>
      <c r="E271" s="12">
        <v>-80000</v>
      </c>
      <c r="F271" s="12" t="s">
        <v>854</v>
      </c>
      <c r="G271" s="12"/>
      <c r="H271" s="12" t="s">
        <v>848</v>
      </c>
    </row>
    <row r="272" spans="1:8" x14ac:dyDescent="0.2">
      <c r="C272" s="12" t="s">
        <v>387</v>
      </c>
      <c r="E272" s="12" t="s">
        <v>387</v>
      </c>
      <c r="F272" s="12" t="s">
        <v>855</v>
      </c>
    </row>
    <row r="274" spans="1:7" x14ac:dyDescent="0.2">
      <c r="B274" s="115" t="s">
        <v>860</v>
      </c>
      <c r="C274" s="115" t="s">
        <v>863</v>
      </c>
      <c r="D274" s="115" t="s">
        <v>860</v>
      </c>
      <c r="E274" s="115" t="s">
        <v>859</v>
      </c>
      <c r="F274" s="115" t="s">
        <v>368</v>
      </c>
    </row>
    <row r="275" spans="1:7" x14ac:dyDescent="0.2">
      <c r="B275" s="115" t="s">
        <v>861</v>
      </c>
      <c r="C275" s="115" t="s">
        <v>864</v>
      </c>
      <c r="D275" s="115" t="s">
        <v>861</v>
      </c>
      <c r="E275" s="115" t="s">
        <v>857</v>
      </c>
      <c r="F275" s="115" t="s">
        <v>852</v>
      </c>
    </row>
    <row r="276" spans="1:7" x14ac:dyDescent="0.2">
      <c r="B276" s="128" t="s">
        <v>866</v>
      </c>
      <c r="C276" s="111" t="s">
        <v>865</v>
      </c>
      <c r="D276" s="128" t="s">
        <v>862</v>
      </c>
      <c r="E276" s="111" t="s">
        <v>858</v>
      </c>
      <c r="F276" s="111" t="s">
        <v>853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7">
        <f>C278</f>
        <v>1.4673846168659299</v>
      </c>
      <c r="C278" s="117">
        <f>((1+6%)^(1/4)-1)*100</f>
        <v>1.4673846168659299</v>
      </c>
      <c r="D278" s="117">
        <f>E278</f>
        <v>1.2272234429039353</v>
      </c>
      <c r="E278" s="117">
        <f>((1+5%)^(1/4)-1)*100</f>
        <v>1.2272234429039353</v>
      </c>
      <c r="F278" s="119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8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867</v>
      </c>
    </row>
    <row r="293" spans="1:7" x14ac:dyDescent="0.2">
      <c r="A293" s="1" t="s">
        <v>873</v>
      </c>
      <c r="D293" s="12" t="s">
        <v>814</v>
      </c>
      <c r="E293" s="12" t="s">
        <v>870</v>
      </c>
      <c r="F293" s="12" t="s">
        <v>868</v>
      </c>
    </row>
    <row r="294" spans="1:7" x14ac:dyDescent="0.2">
      <c r="A294" s="1" t="s">
        <v>874</v>
      </c>
      <c r="D294" s="59" t="s">
        <v>872</v>
      </c>
      <c r="E294" s="59" t="s">
        <v>871</v>
      </c>
      <c r="F294" s="59" t="s">
        <v>869</v>
      </c>
    </row>
    <row r="295" spans="1:7" x14ac:dyDescent="0.2">
      <c r="A295" s="1" t="s">
        <v>875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19">
        <v>6</v>
      </c>
      <c r="E296" s="117">
        <f>((1+5%)^(1/12)-1)*100</f>
        <v>0.40741237836483535</v>
      </c>
      <c r="F296" s="117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09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876</v>
      </c>
    </row>
    <row r="309" spans="1:8" x14ac:dyDescent="0.2">
      <c r="H309" s="1" t="s">
        <v>884</v>
      </c>
    </row>
    <row r="310" spans="1:8" x14ac:dyDescent="0.2">
      <c r="F310" s="12" t="s">
        <v>868</v>
      </c>
    </row>
    <row r="311" spans="1:8" x14ac:dyDescent="0.2">
      <c r="F311" s="59" t="s">
        <v>869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878</v>
      </c>
      <c r="E313" s="1" t="s">
        <v>877</v>
      </c>
      <c r="F313" s="129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879</v>
      </c>
      <c r="F314" s="18">
        <v>0</v>
      </c>
      <c r="G314" s="1" t="s">
        <v>39</v>
      </c>
    </row>
    <row r="315" spans="1:8" x14ac:dyDescent="0.2">
      <c r="A315" s="1" t="s">
        <v>880</v>
      </c>
      <c r="F315" s="18">
        <v>-1000</v>
      </c>
      <c r="G315" s="1" t="s">
        <v>47</v>
      </c>
    </row>
    <row r="316" spans="1:8" ht="17" thickBot="1" x14ac:dyDescent="0.25">
      <c r="A316" s="1" t="s">
        <v>881</v>
      </c>
      <c r="F316" s="18">
        <v>14000</v>
      </c>
      <c r="G316" s="1" t="s">
        <v>50</v>
      </c>
    </row>
    <row r="317" spans="1:8" ht="17" thickBot="1" x14ac:dyDescent="0.25">
      <c r="B317" s="130">
        <f>(1+2.7599%)^12-1</f>
        <v>0.38638571727340021</v>
      </c>
      <c r="D317" s="1" t="s">
        <v>882</v>
      </c>
    </row>
    <row r="319" spans="1:8" x14ac:dyDescent="0.2">
      <c r="A319" s="2" t="s">
        <v>883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7" zoomScale="218" zoomScaleNormal="270" workbookViewId="0">
      <selection activeCell="A364" sqref="A364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1294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5" t="s">
        <v>1295</v>
      </c>
      <c r="B19" s="95"/>
      <c r="C19" s="95"/>
      <c r="D19" s="95"/>
      <c r="E19" s="95"/>
      <c r="F19" s="95"/>
      <c r="G19" s="95"/>
      <c r="H19" s="95"/>
    </row>
    <row r="20" spans="1:8" x14ac:dyDescent="0.2">
      <c r="A20" s="1" t="s">
        <v>1296</v>
      </c>
    </row>
    <row r="21" spans="1:8" x14ac:dyDescent="0.2">
      <c r="A21" s="1" t="s">
        <v>1297</v>
      </c>
    </row>
    <row r="22" spans="1:8" x14ac:dyDescent="0.2">
      <c r="A22" s="1" t="s">
        <v>1298</v>
      </c>
    </row>
    <row r="23" spans="1:8" x14ac:dyDescent="0.2">
      <c r="A23" s="1" t="s">
        <v>1299</v>
      </c>
    </row>
    <row r="25" spans="1:8" x14ac:dyDescent="0.2">
      <c r="A25" s="1" t="s">
        <v>711</v>
      </c>
    </row>
    <row r="26" spans="1:8" x14ac:dyDescent="0.2">
      <c r="A26" s="1" t="s">
        <v>1301</v>
      </c>
    </row>
    <row r="27" spans="1:8" x14ac:dyDescent="0.2">
      <c r="A27" s="1" t="s">
        <v>1300</v>
      </c>
    </row>
    <row r="28" spans="1:8" x14ac:dyDescent="0.2">
      <c r="F28" s="1" t="s">
        <v>1308</v>
      </c>
    </row>
    <row r="29" spans="1:8" x14ac:dyDescent="0.2">
      <c r="A29" s="58" t="s">
        <v>1303</v>
      </c>
      <c r="B29" s="58"/>
      <c r="C29" s="58"/>
      <c r="D29" s="58" t="s">
        <v>1306</v>
      </c>
      <c r="F29" s="58"/>
      <c r="G29" s="58"/>
      <c r="H29" s="58" t="s">
        <v>1307</v>
      </c>
    </row>
    <row r="30" spans="1:8" x14ac:dyDescent="0.2">
      <c r="A30" s="1" t="s">
        <v>1302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1304</v>
      </c>
      <c r="C33" s="12">
        <v>-200000</v>
      </c>
      <c r="D33" s="1" t="s">
        <v>39</v>
      </c>
      <c r="G33" s="90">
        <v>-200000</v>
      </c>
      <c r="H33" s="1" t="s">
        <v>39</v>
      </c>
      <c r="I33" s="40" t="s">
        <v>798</v>
      </c>
    </row>
    <row r="34" spans="1:9" x14ac:dyDescent="0.2">
      <c r="A34" s="1" t="s">
        <v>1305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1309</v>
      </c>
      <c r="C35" s="90">
        <f>200000*1.03^4</f>
        <v>225101.76199999999</v>
      </c>
      <c r="D35" s="1" t="s">
        <v>50</v>
      </c>
      <c r="E35" s="40" t="s">
        <v>798</v>
      </c>
      <c r="G35" s="12">
        <v>225102</v>
      </c>
      <c r="H35" s="1" t="s">
        <v>50</v>
      </c>
      <c r="I35" s="1" t="s">
        <v>1199</v>
      </c>
    </row>
    <row r="37" spans="1:9" x14ac:dyDescent="0.2">
      <c r="A37" s="2" t="s">
        <v>1310</v>
      </c>
    </row>
    <row r="38" spans="1:9" x14ac:dyDescent="0.2">
      <c r="A38" s="1" t="s">
        <v>1311</v>
      </c>
    </row>
    <row r="40" spans="1:9" x14ac:dyDescent="0.2">
      <c r="A40" s="2" t="s">
        <v>1320</v>
      </c>
    </row>
    <row r="41" spans="1:9" x14ac:dyDescent="0.2">
      <c r="A41" s="1" t="s">
        <v>1314</v>
      </c>
    </row>
    <row r="43" spans="1:9" x14ac:dyDescent="0.2">
      <c r="A43" s="1" t="s">
        <v>1316</v>
      </c>
    </row>
    <row r="44" spans="1:9" x14ac:dyDescent="0.2">
      <c r="A44" s="1" t="s">
        <v>1315</v>
      </c>
    </row>
    <row r="45" spans="1:9" x14ac:dyDescent="0.2">
      <c r="A45" s="1" t="s">
        <v>1317</v>
      </c>
    </row>
    <row r="46" spans="1:9" ht="17" thickBot="1" x14ac:dyDescent="0.25"/>
    <row r="47" spans="1:9" x14ac:dyDescent="0.2">
      <c r="A47" s="30" t="s">
        <v>1312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1313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194" t="s">
        <v>1318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1319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1321</v>
      </c>
    </row>
    <row r="75" spans="1:8" x14ac:dyDescent="0.2">
      <c r="A75" s="1" t="s">
        <v>1322</v>
      </c>
    </row>
    <row r="76" spans="1:8" x14ac:dyDescent="0.2">
      <c r="A76" s="1" t="s">
        <v>1323</v>
      </c>
    </row>
    <row r="77" spans="1:8" x14ac:dyDescent="0.2">
      <c r="A77" s="1" t="s">
        <v>1324</v>
      </c>
    </row>
    <row r="78" spans="1:8" x14ac:dyDescent="0.2">
      <c r="A78" s="1" t="s">
        <v>1325</v>
      </c>
    </row>
    <row r="80" spans="1:8" x14ac:dyDescent="0.2">
      <c r="A80" s="2" t="s">
        <v>1326</v>
      </c>
      <c r="F80" s="1" t="s">
        <v>1328</v>
      </c>
    </row>
    <row r="81" spans="1:8" x14ac:dyDescent="0.2">
      <c r="A81" s="1" t="s">
        <v>1327</v>
      </c>
      <c r="F81" s="2" t="s">
        <v>1329</v>
      </c>
    </row>
    <row r="82" spans="1:8" ht="17" thickBot="1" x14ac:dyDescent="0.25"/>
    <row r="83" spans="1:8" x14ac:dyDescent="0.2">
      <c r="C83" s="195" t="s">
        <v>292</v>
      </c>
      <c r="D83" s="195" t="s">
        <v>291</v>
      </c>
      <c r="E83" s="195" t="s">
        <v>290</v>
      </c>
      <c r="F83" s="59" t="s">
        <v>177</v>
      </c>
    </row>
    <row r="84" spans="1:8" x14ac:dyDescent="0.2">
      <c r="C84" s="157" t="s">
        <v>179</v>
      </c>
      <c r="D84" s="157" t="s">
        <v>179</v>
      </c>
      <c r="E84" s="157" t="s">
        <v>179</v>
      </c>
      <c r="F84" s="12" t="s">
        <v>178</v>
      </c>
    </row>
    <row r="85" spans="1:8" x14ac:dyDescent="0.2">
      <c r="C85" s="157">
        <f>10*4</f>
        <v>40</v>
      </c>
      <c r="D85" s="157">
        <f>10*12</f>
        <v>120</v>
      </c>
      <c r="E85" s="157">
        <v>10</v>
      </c>
      <c r="F85" s="12" t="s">
        <v>45</v>
      </c>
    </row>
    <row r="86" spans="1:8" x14ac:dyDescent="0.2">
      <c r="C86" s="157">
        <v>1</v>
      </c>
      <c r="D86" s="157">
        <v>0.5</v>
      </c>
      <c r="E86" s="157">
        <v>4</v>
      </c>
      <c r="F86" s="12" t="s">
        <v>42</v>
      </c>
    </row>
    <row r="87" spans="1:8" x14ac:dyDescent="0.2">
      <c r="C87" s="196">
        <f t="shared" ref="C87:D87" si="0">PV(C86/100,C85,C88,C89)</f>
        <v>-335826.56943021901</v>
      </c>
      <c r="D87" s="196">
        <f t="shared" si="0"/>
        <v>-274816.36668208335</v>
      </c>
      <c r="E87" s="196">
        <f>PV(E86/100,E85,E88,E89)</f>
        <v>-337782.08441289928</v>
      </c>
      <c r="F87" s="12" t="s">
        <v>39</v>
      </c>
      <c r="G87" s="1" t="s">
        <v>798</v>
      </c>
    </row>
    <row r="88" spans="1:8" x14ac:dyDescent="0.2">
      <c r="C88" s="157">
        <v>0</v>
      </c>
      <c r="D88" s="157">
        <v>0</v>
      </c>
      <c r="E88" s="157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1333</v>
      </c>
      <c r="D91" s="2" t="s">
        <v>1333</v>
      </c>
      <c r="E91" s="2" t="s">
        <v>1330</v>
      </c>
    </row>
    <row r="92" spans="1:8" x14ac:dyDescent="0.2">
      <c r="C92" s="2" t="s">
        <v>1335</v>
      </c>
      <c r="D92" s="2" t="s">
        <v>1334</v>
      </c>
      <c r="E92" s="2" t="s">
        <v>1331</v>
      </c>
    </row>
    <row r="93" spans="1:8" x14ac:dyDescent="0.2">
      <c r="C93" s="197">
        <f>-C87</f>
        <v>335826.56943021901</v>
      </c>
      <c r="D93" s="197">
        <f>-D87</f>
        <v>274816.36668208335</v>
      </c>
      <c r="E93" s="2" t="s">
        <v>1332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1318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1336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1337</v>
      </c>
    </row>
    <row r="111" spans="1:8" x14ac:dyDescent="0.2">
      <c r="A111" s="1" t="s">
        <v>1338</v>
      </c>
    </row>
    <row r="112" spans="1:8" x14ac:dyDescent="0.2">
      <c r="A112" s="1" t="s">
        <v>1339</v>
      </c>
    </row>
    <row r="113" spans="1:8" x14ac:dyDescent="0.2">
      <c r="A113" s="1" t="s">
        <v>1340</v>
      </c>
    </row>
    <row r="115" spans="1:8" x14ac:dyDescent="0.2">
      <c r="C115" s="1" t="s">
        <v>1342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1343</v>
      </c>
      <c r="D117" s="12">
        <f>10*12</f>
        <v>120</v>
      </c>
      <c r="E117" s="12" t="s">
        <v>45</v>
      </c>
      <c r="F117" s="146" t="s">
        <v>1341</v>
      </c>
    </row>
    <row r="118" spans="1:8" x14ac:dyDescent="0.2">
      <c r="C118" s="1" t="s">
        <v>1345</v>
      </c>
      <c r="D118" s="12">
        <f>(1.08^(1/12)-1)*100</f>
        <v>0.64340301100034303</v>
      </c>
      <c r="E118" s="12" t="s">
        <v>42</v>
      </c>
      <c r="F118" s="146" t="s">
        <v>1344</v>
      </c>
    </row>
    <row r="119" spans="1:8" x14ac:dyDescent="0.2">
      <c r="D119" s="80">
        <f>PV(D118/100,D117,D120,D121)</f>
        <v>-250297.17116836525</v>
      </c>
      <c r="E119" s="12" t="s">
        <v>39</v>
      </c>
      <c r="F119" s="198" t="s">
        <v>798</v>
      </c>
    </row>
    <row r="120" spans="1:8" x14ac:dyDescent="0.2">
      <c r="D120" s="12">
        <v>3000</v>
      </c>
      <c r="E120" s="12" t="s">
        <v>47</v>
      </c>
      <c r="F120" s="146" t="s">
        <v>1346</v>
      </c>
    </row>
    <row r="121" spans="1:8" x14ac:dyDescent="0.2">
      <c r="D121" s="12">
        <v>0</v>
      </c>
      <c r="E121" s="12" t="s">
        <v>50</v>
      </c>
      <c r="F121" s="1" t="s">
        <v>1347</v>
      </c>
    </row>
    <row r="122" spans="1:8" x14ac:dyDescent="0.2">
      <c r="D122" s="12"/>
      <c r="E122" s="12"/>
    </row>
    <row r="123" spans="1:8" x14ac:dyDescent="0.2">
      <c r="A123" s="1" t="s">
        <v>1348</v>
      </c>
    </row>
    <row r="125" spans="1:8" x14ac:dyDescent="0.2">
      <c r="A125" s="77" t="s">
        <v>1349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1358</v>
      </c>
    </row>
    <row r="127" spans="1:8" x14ac:dyDescent="0.2">
      <c r="A127" s="1" t="s">
        <v>1350</v>
      </c>
    </row>
    <row r="128" spans="1:8" x14ac:dyDescent="0.2">
      <c r="A128" s="1" t="s">
        <v>1351</v>
      </c>
    </row>
    <row r="129" spans="1:8" x14ac:dyDescent="0.2">
      <c r="A129" s="1" t="s">
        <v>1352</v>
      </c>
    </row>
    <row r="131" spans="1:8" x14ac:dyDescent="0.2">
      <c r="A131" s="1" t="s">
        <v>1353</v>
      </c>
      <c r="D131" s="58"/>
      <c r="E131" s="58"/>
      <c r="F131" s="58" t="s">
        <v>177</v>
      </c>
    </row>
    <row r="132" spans="1:8" x14ac:dyDescent="0.2">
      <c r="A132" s="1" t="s">
        <v>1354</v>
      </c>
      <c r="E132" s="12" t="s">
        <v>179</v>
      </c>
      <c r="F132" s="1" t="s">
        <v>178</v>
      </c>
    </row>
    <row r="133" spans="1:8" x14ac:dyDescent="0.2">
      <c r="A133" s="1" t="s">
        <v>1355</v>
      </c>
      <c r="E133" s="12">
        <f>4*12</f>
        <v>48</v>
      </c>
      <c r="F133" s="1" t="s">
        <v>45</v>
      </c>
    </row>
    <row r="134" spans="1:8" x14ac:dyDescent="0.2">
      <c r="A134" s="1" t="s">
        <v>1356</v>
      </c>
      <c r="E134" s="12">
        <v>1</v>
      </c>
      <c r="F134" s="1" t="s">
        <v>42</v>
      </c>
    </row>
    <row r="135" spans="1:8" x14ac:dyDescent="0.2">
      <c r="A135" s="1" t="s">
        <v>1357</v>
      </c>
      <c r="E135" s="42">
        <f>PV(E134/100,E133,E136,E137)</f>
        <v>-238250.10906248679</v>
      </c>
      <c r="F135" s="1" t="s">
        <v>39</v>
      </c>
      <c r="G135" s="200" t="s">
        <v>798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1318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1318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1318</v>
      </c>
      <c r="G173" s="82"/>
      <c r="H173" s="82"/>
    </row>
    <row r="174" spans="1:8" x14ac:dyDescent="0.2">
      <c r="A174" s="1" t="s">
        <v>502</v>
      </c>
      <c r="H174" s="359" t="s">
        <v>506</v>
      </c>
    </row>
    <row r="175" spans="1:8" x14ac:dyDescent="0.2">
      <c r="A175" s="1" t="s">
        <v>503</v>
      </c>
      <c r="H175" s="360"/>
    </row>
    <row r="176" spans="1:8" x14ac:dyDescent="0.2">
      <c r="A176" s="1" t="s">
        <v>504</v>
      </c>
      <c r="H176" s="360"/>
    </row>
    <row r="177" spans="1:8" ht="17" thickBot="1" x14ac:dyDescent="0.25">
      <c r="A177" s="1" t="s">
        <v>505</v>
      </c>
      <c r="H177" s="361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1318</v>
      </c>
      <c r="H200" s="82"/>
    </row>
    <row r="201" spans="1:8" x14ac:dyDescent="0.2">
      <c r="A201" s="1" t="s">
        <v>518</v>
      </c>
      <c r="H201" s="359" t="s">
        <v>506</v>
      </c>
    </row>
    <row r="202" spans="1:8" x14ac:dyDescent="0.2">
      <c r="A202" s="1" t="s">
        <v>519</v>
      </c>
      <c r="H202" s="360"/>
    </row>
    <row r="203" spans="1:8" x14ac:dyDescent="0.2">
      <c r="A203" s="1" t="s">
        <v>520</v>
      </c>
      <c r="H203" s="360"/>
    </row>
    <row r="204" spans="1:8" ht="17" thickBot="1" x14ac:dyDescent="0.25">
      <c r="A204" s="1" t="s">
        <v>521</v>
      </c>
      <c r="H204" s="361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1318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1318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1360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1361</v>
      </c>
    </row>
    <row r="261" spans="1:8" x14ac:dyDescent="0.2">
      <c r="A261" s="1" t="s">
        <v>1362</v>
      </c>
    </row>
    <row r="262" spans="1:8" x14ac:dyDescent="0.2">
      <c r="A262" s="1" t="s">
        <v>1363</v>
      </c>
    </row>
    <row r="263" spans="1:8" x14ac:dyDescent="0.2">
      <c r="A263" s="1" t="s">
        <v>1364</v>
      </c>
    </row>
    <row r="264" spans="1:8" x14ac:dyDescent="0.2">
      <c r="A264" s="1" t="s">
        <v>1365</v>
      </c>
    </row>
    <row r="265" spans="1:8" x14ac:dyDescent="0.2">
      <c r="A265" s="1" t="s">
        <v>1366</v>
      </c>
    </row>
    <row r="266" spans="1:8" x14ac:dyDescent="0.2">
      <c r="A266" s="1" t="s">
        <v>1367</v>
      </c>
    </row>
    <row r="268" spans="1:8" x14ac:dyDescent="0.2">
      <c r="A268" s="1" t="s">
        <v>27</v>
      </c>
    </row>
    <row r="270" spans="1:8" x14ac:dyDescent="0.2">
      <c r="A270" s="2" t="s">
        <v>1368</v>
      </c>
    </row>
    <row r="271" spans="1:8" x14ac:dyDescent="0.2">
      <c r="A271" s="1" t="s">
        <v>1369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1371</v>
      </c>
      <c r="D275" s="12">
        <v>60</v>
      </c>
      <c r="E275" s="1" t="s">
        <v>45</v>
      </c>
      <c r="F275" s="1" t="s">
        <v>1370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1372</v>
      </c>
    </row>
    <row r="277" spans="1:10" x14ac:dyDescent="0.2">
      <c r="D277" s="80">
        <f>PV(D276/100,D275,D278,D279)</f>
        <v>260003.35845961256</v>
      </c>
      <c r="E277" s="1" t="s">
        <v>39</v>
      </c>
      <c r="F277" s="201" t="s">
        <v>798</v>
      </c>
    </row>
    <row r="278" spans="1:10" x14ac:dyDescent="0.2">
      <c r="D278" s="12">
        <v>-4000</v>
      </c>
      <c r="E278" s="1" t="s">
        <v>47</v>
      </c>
      <c r="F278" s="1" t="s">
        <v>1379</v>
      </c>
    </row>
    <row r="279" spans="1:10" x14ac:dyDescent="0.2">
      <c r="D279" s="12">
        <v>-70000</v>
      </c>
      <c r="E279" s="1" t="s">
        <v>50</v>
      </c>
      <c r="F279" s="1" t="s">
        <v>1380</v>
      </c>
    </row>
    <row r="280" spans="1:10" x14ac:dyDescent="0.2">
      <c r="F280" s="1" t="s">
        <v>1381</v>
      </c>
    </row>
    <row r="281" spans="1:10" ht="17" thickBot="1" x14ac:dyDescent="0.25"/>
    <row r="282" spans="1:10" x14ac:dyDescent="0.2">
      <c r="F282" s="21" t="s">
        <v>1382</v>
      </c>
      <c r="G282" s="31"/>
      <c r="H282" s="31"/>
      <c r="I282" s="31"/>
      <c r="J282" s="23"/>
    </row>
    <row r="283" spans="1:10" x14ac:dyDescent="0.2">
      <c r="F283" s="24" t="s">
        <v>1383</v>
      </c>
      <c r="J283" s="25"/>
    </row>
    <row r="284" spans="1:10" x14ac:dyDescent="0.2">
      <c r="A284" s="1" t="s">
        <v>1373</v>
      </c>
      <c r="B284" s="1" t="s">
        <v>1374</v>
      </c>
      <c r="F284" s="24" t="s">
        <v>1384</v>
      </c>
      <c r="J284" s="25"/>
    </row>
    <row r="285" spans="1:10" x14ac:dyDescent="0.2">
      <c r="A285" s="1" t="s">
        <v>1375</v>
      </c>
      <c r="B285" s="1" t="s">
        <v>1376</v>
      </c>
      <c r="F285" s="24" t="s">
        <v>1385</v>
      </c>
      <c r="J285" s="25"/>
    </row>
    <row r="286" spans="1:10" x14ac:dyDescent="0.2">
      <c r="A286" s="1" t="s">
        <v>1377</v>
      </c>
      <c r="B286" s="1" t="s">
        <v>1378</v>
      </c>
      <c r="F286" s="24" t="s">
        <v>1386</v>
      </c>
      <c r="J286" s="25"/>
    </row>
    <row r="287" spans="1:10" ht="17" thickBot="1" x14ac:dyDescent="0.25">
      <c r="F287" s="125" t="s">
        <v>1387</v>
      </c>
      <c r="G287" s="27"/>
      <c r="H287" s="27"/>
      <c r="I287" s="27"/>
      <c r="J287" s="28"/>
    </row>
    <row r="290" spans="1:9" x14ac:dyDescent="0.2">
      <c r="A290" s="77" t="s">
        <v>1388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1397</v>
      </c>
    </row>
    <row r="292" spans="1:9" x14ac:dyDescent="0.2">
      <c r="A292" s="1" t="s">
        <v>1389</v>
      </c>
      <c r="I292" s="1" t="s">
        <v>1398</v>
      </c>
    </row>
    <row r="293" spans="1:9" x14ac:dyDescent="0.2">
      <c r="A293" s="1" t="s">
        <v>1390</v>
      </c>
      <c r="I293" s="1" t="s">
        <v>1399</v>
      </c>
    </row>
    <row r="294" spans="1:9" x14ac:dyDescent="0.2">
      <c r="A294" s="1" t="s">
        <v>1391</v>
      </c>
      <c r="I294" s="1" t="s">
        <v>1400</v>
      </c>
    </row>
    <row r="295" spans="1:9" x14ac:dyDescent="0.2">
      <c r="A295" s="1" t="s">
        <v>1392</v>
      </c>
      <c r="I295" s="1" t="s">
        <v>1401</v>
      </c>
    </row>
    <row r="296" spans="1:9" x14ac:dyDescent="0.2">
      <c r="D296" s="1" t="s">
        <v>1407</v>
      </c>
      <c r="E296" s="1" t="s">
        <v>1408</v>
      </c>
      <c r="I296" s="1" t="s">
        <v>1403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1404</v>
      </c>
    </row>
    <row r="298" spans="1:9" x14ac:dyDescent="0.2">
      <c r="A298" s="1" t="s">
        <v>382</v>
      </c>
      <c r="D298" s="12"/>
      <c r="G298" s="12"/>
      <c r="I298" s="1" t="s">
        <v>1405</v>
      </c>
    </row>
    <row r="299" spans="1:9" x14ac:dyDescent="0.2">
      <c r="D299" s="12"/>
      <c r="E299" s="29">
        <v>-219552.82440000001</v>
      </c>
      <c r="G299" s="202" t="s">
        <v>1414</v>
      </c>
      <c r="I299" s="1" t="s">
        <v>1406</v>
      </c>
    </row>
    <row r="300" spans="1:9" x14ac:dyDescent="0.2">
      <c r="C300" s="12" t="s">
        <v>1393</v>
      </c>
      <c r="D300" s="12"/>
      <c r="E300" s="1" t="s">
        <v>1409</v>
      </c>
    </row>
    <row r="301" spans="1:9" x14ac:dyDescent="0.2">
      <c r="C301" s="12" t="s">
        <v>386</v>
      </c>
      <c r="E301" s="1" t="s">
        <v>1212</v>
      </c>
      <c r="F301" s="1" t="s">
        <v>1410</v>
      </c>
      <c r="I301" s="2" t="s">
        <v>1415</v>
      </c>
    </row>
    <row r="302" spans="1:9" x14ac:dyDescent="0.2">
      <c r="C302" s="12" t="s">
        <v>1394</v>
      </c>
      <c r="F302" s="1" t="s">
        <v>386</v>
      </c>
      <c r="I302" s="2" t="s">
        <v>1416</v>
      </c>
    </row>
    <row r="303" spans="1:9" x14ac:dyDescent="0.2">
      <c r="C303" s="12" t="s">
        <v>1395</v>
      </c>
      <c r="F303" s="1" t="s">
        <v>1411</v>
      </c>
    </row>
    <row r="304" spans="1:9" x14ac:dyDescent="0.2">
      <c r="F304" s="1" t="s">
        <v>1412</v>
      </c>
    </row>
    <row r="306" spans="1:9" x14ac:dyDescent="0.2">
      <c r="D306" s="1" t="s">
        <v>1396</v>
      </c>
      <c r="F306" s="1" t="s">
        <v>1413</v>
      </c>
    </row>
    <row r="308" spans="1:9" x14ac:dyDescent="0.2">
      <c r="A308" s="1" t="s">
        <v>1417</v>
      </c>
    </row>
    <row r="309" spans="1:9" x14ac:dyDescent="0.2">
      <c r="A309" s="1" t="s">
        <v>1418</v>
      </c>
    </row>
    <row r="310" spans="1:9" x14ac:dyDescent="0.2">
      <c r="A310" s="1" t="s">
        <v>1419</v>
      </c>
    </row>
    <row r="312" spans="1:9" x14ac:dyDescent="0.2">
      <c r="D312" s="12" t="s">
        <v>608</v>
      </c>
      <c r="E312" s="12" t="s">
        <v>607</v>
      </c>
      <c r="I312" s="1" t="s">
        <v>1421</v>
      </c>
    </row>
    <row r="313" spans="1:9" x14ac:dyDescent="0.2">
      <c r="D313" s="12" t="s">
        <v>1426</v>
      </c>
      <c r="E313" s="12" t="s">
        <v>1420</v>
      </c>
      <c r="I313" s="1" t="s">
        <v>1422</v>
      </c>
    </row>
    <row r="314" spans="1:9" x14ac:dyDescent="0.2">
      <c r="D314" s="59" t="s">
        <v>1427</v>
      </c>
      <c r="E314" s="59" t="s">
        <v>1425</v>
      </c>
      <c r="F314" s="58" t="s">
        <v>177</v>
      </c>
      <c r="I314" s="1" t="s">
        <v>1424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1423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798</v>
      </c>
      <c r="D318" s="202">
        <v>-172912</v>
      </c>
      <c r="E318" s="90">
        <v>-219552.82440000001</v>
      </c>
      <c r="F318" s="1" t="s">
        <v>39</v>
      </c>
      <c r="G318" s="1" t="s">
        <v>798</v>
      </c>
      <c r="I318" s="1" t="s">
        <v>1428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1429</v>
      </c>
    </row>
    <row r="320" spans="1:9" x14ac:dyDescent="0.2">
      <c r="D320" s="90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1430</v>
      </c>
    </row>
    <row r="323" spans="1:10" x14ac:dyDescent="0.2">
      <c r="A323" s="77" t="s">
        <v>1431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1443</v>
      </c>
    </row>
    <row r="325" spans="1:10" x14ac:dyDescent="0.2">
      <c r="A325" s="1" t="s">
        <v>1432</v>
      </c>
    </row>
    <row r="327" spans="1:10" x14ac:dyDescent="0.2">
      <c r="A327" s="1" t="s">
        <v>1433</v>
      </c>
      <c r="F327" s="1" t="s">
        <v>1434</v>
      </c>
    </row>
    <row r="328" spans="1:10" x14ac:dyDescent="0.2">
      <c r="A328" s="115" t="s">
        <v>1447</v>
      </c>
      <c r="B328" s="115" t="s">
        <v>1435</v>
      </c>
      <c r="F328" s="115" t="s">
        <v>1447</v>
      </c>
      <c r="G328" s="115" t="s">
        <v>1435</v>
      </c>
      <c r="I328" s="1" t="s">
        <v>1452</v>
      </c>
    </row>
    <row r="329" spans="1:10" x14ac:dyDescent="0.2">
      <c r="A329" s="115" t="s">
        <v>1448</v>
      </c>
      <c r="B329" s="115" t="s">
        <v>1436</v>
      </c>
      <c r="F329" s="115" t="s">
        <v>1448</v>
      </c>
      <c r="G329" s="115" t="s">
        <v>1436</v>
      </c>
      <c r="I329" s="1" t="s">
        <v>1453</v>
      </c>
    </row>
    <row r="330" spans="1:10" x14ac:dyDescent="0.2">
      <c r="A330" s="115" t="s">
        <v>1449</v>
      </c>
      <c r="B330" s="115" t="s">
        <v>1437</v>
      </c>
      <c r="F330" s="115" t="s">
        <v>1449</v>
      </c>
      <c r="G330" s="115" t="s">
        <v>1437</v>
      </c>
      <c r="I330" s="1">
        <v>14</v>
      </c>
      <c r="J330" s="1" t="s">
        <v>1454</v>
      </c>
    </row>
    <row r="331" spans="1:10" x14ac:dyDescent="0.2">
      <c r="A331" s="115" t="s">
        <v>1450</v>
      </c>
      <c r="B331" s="115" t="s">
        <v>1402</v>
      </c>
      <c r="F331" s="115" t="s">
        <v>1450</v>
      </c>
      <c r="G331" s="115" t="s">
        <v>1402</v>
      </c>
      <c r="I331" s="2" t="s">
        <v>1455</v>
      </c>
    </row>
    <row r="332" spans="1:10" x14ac:dyDescent="0.2">
      <c r="A332" s="111">
        <v>0</v>
      </c>
      <c r="B332" s="111" t="s">
        <v>1438</v>
      </c>
      <c r="F332" s="111">
        <v>0</v>
      </c>
      <c r="G332" s="111" t="s">
        <v>1438</v>
      </c>
      <c r="I332" s="2" t="s">
        <v>1456</v>
      </c>
    </row>
    <row r="333" spans="1:10" x14ac:dyDescent="0.2">
      <c r="C333" s="1" t="s">
        <v>177</v>
      </c>
      <c r="H333" s="1" t="s">
        <v>177</v>
      </c>
      <c r="I333" s="2" t="s">
        <v>1457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199" t="s">
        <v>1446</v>
      </c>
      <c r="B335" s="204" t="s">
        <v>1439</v>
      </c>
      <c r="C335" s="1" t="s">
        <v>45</v>
      </c>
      <c r="E335" s="1" t="s">
        <v>1458</v>
      </c>
      <c r="F335" s="12">
        <v>13</v>
      </c>
      <c r="G335" s="207">
        <f>5*4</f>
        <v>20</v>
      </c>
      <c r="H335" s="1" t="s">
        <v>45</v>
      </c>
    </row>
    <row r="336" spans="1:10" ht="25" x14ac:dyDescent="0.2">
      <c r="A336" s="12" t="s">
        <v>41</v>
      </c>
      <c r="B336" s="204" t="s">
        <v>1440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1451</v>
      </c>
      <c r="B337" s="205" t="s">
        <v>51</v>
      </c>
      <c r="C337" s="1" t="s">
        <v>39</v>
      </c>
      <c r="F337" s="209">
        <v>-12639</v>
      </c>
      <c r="G337" s="208">
        <v>-16351.433000000001</v>
      </c>
      <c r="H337" s="1" t="s">
        <v>39</v>
      </c>
    </row>
    <row r="338" spans="1:8" x14ac:dyDescent="0.2">
      <c r="A338" s="12" t="s">
        <v>1445</v>
      </c>
      <c r="B338" s="203" t="s">
        <v>1441</v>
      </c>
      <c r="C338" s="1" t="s">
        <v>47</v>
      </c>
      <c r="F338" s="12">
        <v>0</v>
      </c>
      <c r="G338" s="155">
        <v>1000</v>
      </c>
      <c r="H338" s="1" t="s">
        <v>47</v>
      </c>
    </row>
    <row r="339" spans="1:8" x14ac:dyDescent="0.2">
      <c r="A339" s="206" t="s">
        <v>1444</v>
      </c>
      <c r="B339" s="203" t="s">
        <v>1442</v>
      </c>
      <c r="C339" s="1" t="s">
        <v>50</v>
      </c>
      <c r="F339" s="202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1458</v>
      </c>
    </row>
    <row r="347" spans="1:8" x14ac:dyDescent="0.2">
      <c r="A347" s="82" t="s">
        <v>1359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175" zoomScaleNormal="240" workbookViewId="0">
      <selection activeCell="I285" sqref="I285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8">
        <v>45887</v>
      </c>
    </row>
    <row r="3" spans="1:8" x14ac:dyDescent="0.2">
      <c r="A3" s="88" t="s">
        <v>581</v>
      </c>
      <c r="B3" s="87"/>
      <c r="C3" s="87"/>
      <c r="D3" s="87"/>
      <c r="E3" s="87"/>
      <c r="F3" s="87"/>
      <c r="G3" s="87"/>
      <c r="H3" s="87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1459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1460</v>
      </c>
    </row>
    <row r="24" spans="1:8" x14ac:dyDescent="0.2">
      <c r="A24" s="1" t="s">
        <v>1461</v>
      </c>
    </row>
    <row r="25" spans="1:8" x14ac:dyDescent="0.2">
      <c r="A25" s="1" t="s">
        <v>1462</v>
      </c>
    </row>
    <row r="27" spans="1:8" x14ac:dyDescent="0.2">
      <c r="A27" s="1" t="s">
        <v>1463</v>
      </c>
    </row>
    <row r="28" spans="1:8" x14ac:dyDescent="0.2">
      <c r="A28" s="1" t="s">
        <v>1464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1465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14">
        <f>D63</f>
        <v>2.4113689084445111</v>
      </c>
      <c r="E33" s="12">
        <v>10</v>
      </c>
      <c r="F33" s="12">
        <v>12</v>
      </c>
      <c r="G33" s="152">
        <f>E45</f>
        <v>0.94887929345830457</v>
      </c>
      <c r="H33" s="1" t="s">
        <v>42</v>
      </c>
    </row>
    <row r="34" spans="1:9" x14ac:dyDescent="0.2">
      <c r="D34" s="212">
        <f>-E36</f>
        <v>-151669.27459626895</v>
      </c>
      <c r="E34" s="211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13">
        <f>FV(D33/100,D32,D35,D34)</f>
        <v>191718.33427128696</v>
      </c>
      <c r="E36" s="212">
        <f>FV(E33/100,E32,E35,E34)</f>
        <v>151669.27459626895</v>
      </c>
      <c r="F36" s="211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798</v>
      </c>
    </row>
    <row r="38" spans="1:9" x14ac:dyDescent="0.2">
      <c r="A38" s="1" t="s">
        <v>1466</v>
      </c>
    </row>
    <row r="39" spans="1:9" x14ac:dyDescent="0.2">
      <c r="A39" s="1" t="s">
        <v>1467</v>
      </c>
    </row>
    <row r="40" spans="1:9" x14ac:dyDescent="0.2">
      <c r="A40" s="1" t="s">
        <v>1468</v>
      </c>
    </row>
    <row r="41" spans="1:9" x14ac:dyDescent="0.2">
      <c r="A41" s="1" t="s">
        <v>1469</v>
      </c>
    </row>
    <row r="42" spans="1:9" x14ac:dyDescent="0.2">
      <c r="A42" s="1" t="s">
        <v>1470</v>
      </c>
    </row>
    <row r="43" spans="1:9" x14ac:dyDescent="0.2">
      <c r="A43" s="1" t="s">
        <v>1471</v>
      </c>
      <c r="E43" s="105" t="s">
        <v>1473</v>
      </c>
      <c r="G43" s="1" t="s">
        <v>1472</v>
      </c>
    </row>
    <row r="44" spans="1:9" x14ac:dyDescent="0.2">
      <c r="E44" s="105" t="s">
        <v>1475</v>
      </c>
      <c r="G44" s="1" t="s">
        <v>1474</v>
      </c>
    </row>
    <row r="45" spans="1:9" x14ac:dyDescent="0.2">
      <c r="E45" s="210">
        <f>(1.12^(1/12)-1)*100</f>
        <v>0.94887929345830457</v>
      </c>
    </row>
    <row r="47" spans="1:9" x14ac:dyDescent="0.2">
      <c r="A47" s="1" t="s">
        <v>1476</v>
      </c>
    </row>
    <row r="48" spans="1:9" x14ac:dyDescent="0.2">
      <c r="A48" s="1" t="s">
        <v>1477</v>
      </c>
    </row>
    <row r="49" spans="1:6" x14ac:dyDescent="0.2">
      <c r="A49" s="1" t="s">
        <v>1478</v>
      </c>
    </row>
    <row r="50" spans="1:6" x14ac:dyDescent="0.2">
      <c r="A50" s="1" t="s">
        <v>1479</v>
      </c>
    </row>
    <row r="52" spans="1:6" x14ac:dyDescent="0.2">
      <c r="A52" s="1" t="s">
        <v>1481</v>
      </c>
    </row>
    <row r="53" spans="1:6" x14ac:dyDescent="0.2">
      <c r="A53" s="1" t="s">
        <v>1480</v>
      </c>
    </row>
    <row r="54" spans="1:6" x14ac:dyDescent="0.2">
      <c r="A54" s="1" t="s">
        <v>1482</v>
      </c>
    </row>
    <row r="55" spans="1:6" x14ac:dyDescent="0.2">
      <c r="A55" s="1" t="s">
        <v>1483</v>
      </c>
    </row>
    <row r="58" spans="1:6" x14ac:dyDescent="0.2">
      <c r="A58" s="1" t="s">
        <v>1484</v>
      </c>
    </row>
    <row r="59" spans="1:6" x14ac:dyDescent="0.2">
      <c r="A59" s="1" t="s">
        <v>1485</v>
      </c>
    </row>
    <row r="60" spans="1:6" x14ac:dyDescent="0.2">
      <c r="A60" s="1" t="s">
        <v>1486</v>
      </c>
    </row>
    <row r="61" spans="1:6" x14ac:dyDescent="0.2">
      <c r="A61" s="1" t="s">
        <v>1487</v>
      </c>
    </row>
    <row r="62" spans="1:6" x14ac:dyDescent="0.2">
      <c r="A62" s="1" t="s">
        <v>1488</v>
      </c>
    </row>
    <row r="63" spans="1:6" x14ac:dyDescent="0.2">
      <c r="D63" s="193">
        <f>(1.1^0.25-1)*100</f>
        <v>2.4113689084445111</v>
      </c>
      <c r="F63" s="1" t="s">
        <v>1489</v>
      </c>
    </row>
    <row r="65" spans="1:8" x14ac:dyDescent="0.2">
      <c r="A65" s="89" t="s">
        <v>589</v>
      </c>
      <c r="B65" s="89"/>
      <c r="C65" s="89"/>
      <c r="D65" s="89"/>
      <c r="E65" s="89"/>
      <c r="F65" s="89"/>
      <c r="G65" s="89"/>
      <c r="H65" s="89" t="s">
        <v>1318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0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1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89" t="s">
        <v>598</v>
      </c>
      <c r="B97" s="89"/>
      <c r="C97" s="89"/>
      <c r="D97" s="89"/>
      <c r="E97" s="89"/>
      <c r="F97" s="89"/>
      <c r="G97" s="89"/>
      <c r="H97" s="89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1490</v>
      </c>
    </row>
    <row r="105" spans="1:8" x14ac:dyDescent="0.2">
      <c r="A105" s="1" t="s">
        <v>1491</v>
      </c>
    </row>
    <row r="106" spans="1:8" x14ac:dyDescent="0.2">
      <c r="A106" s="162" t="s">
        <v>1492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2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1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89" t="s">
        <v>617</v>
      </c>
      <c r="B134" s="89"/>
      <c r="C134" s="89"/>
      <c r="D134" s="89"/>
      <c r="E134" s="89"/>
      <c r="F134" s="89"/>
      <c r="G134" s="89"/>
      <c r="H134" s="89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1504</v>
      </c>
      <c r="D157" s="12" t="s">
        <v>318</v>
      </c>
      <c r="E157" s="215" t="s">
        <v>1500</v>
      </c>
      <c r="F157" s="215" t="s">
        <v>634</v>
      </c>
      <c r="G157" s="115" t="s">
        <v>1493</v>
      </c>
    </row>
    <row r="158" spans="1:10" x14ac:dyDescent="0.2">
      <c r="C158" s="12" t="s">
        <v>595</v>
      </c>
      <c r="D158" s="12" t="s">
        <v>1497</v>
      </c>
      <c r="E158" s="215" t="s">
        <v>1501</v>
      </c>
      <c r="F158" s="215" t="s">
        <v>1497</v>
      </c>
      <c r="G158" s="115" t="s">
        <v>1494</v>
      </c>
    </row>
    <row r="159" spans="1:10" x14ac:dyDescent="0.2">
      <c r="C159" s="12" t="s">
        <v>852</v>
      </c>
      <c r="D159" s="12" t="s">
        <v>595</v>
      </c>
      <c r="E159" s="215" t="s">
        <v>1502</v>
      </c>
      <c r="F159" s="215" t="s">
        <v>1498</v>
      </c>
      <c r="G159" s="115" t="s">
        <v>1495</v>
      </c>
    </row>
    <row r="160" spans="1:10" x14ac:dyDescent="0.2">
      <c r="C160" s="12"/>
      <c r="D160" s="12" t="s">
        <v>1505</v>
      </c>
      <c r="E160" s="115" t="s">
        <v>1503</v>
      </c>
      <c r="F160" s="115" t="s">
        <v>1499</v>
      </c>
      <c r="G160" s="115" t="s">
        <v>1496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17">
        <f t="shared" ref="C165:E165" si="0">PV(C163/100,C164,C166,C167)</f>
        <v>-2027343.5010258981</v>
      </c>
      <c r="D165" s="216">
        <f t="shared" si="0"/>
        <v>-2900659.7948851213</v>
      </c>
      <c r="E165" s="216">
        <f t="shared" si="0"/>
        <v>-2819528.9773331205</v>
      </c>
      <c r="F165" s="216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1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89" t="s">
        <v>643</v>
      </c>
      <c r="B176" s="89"/>
      <c r="C176" s="89"/>
      <c r="D176" s="89"/>
      <c r="E176" s="89"/>
      <c r="F176" s="89"/>
      <c r="G176" s="89"/>
      <c r="H176" s="89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3">
        <f t="shared" ref="C195" si="3">PV(C193/100,C194,C196,C197)</f>
        <v>-1398655.68540707</v>
      </c>
      <c r="D195" s="92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1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89" t="s">
        <v>652</v>
      </c>
      <c r="B200" s="89"/>
      <c r="C200" s="89"/>
      <c r="D200" s="89"/>
      <c r="E200" s="89"/>
      <c r="F200" s="89"/>
      <c r="G200" s="89"/>
      <c r="H200" s="89"/>
    </row>
    <row r="201" spans="1:8" x14ac:dyDescent="0.2">
      <c r="A201" s="1" t="s">
        <v>653</v>
      </c>
    </row>
    <row r="202" spans="1:8" x14ac:dyDescent="0.2">
      <c r="A202" s="1" t="s">
        <v>1506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4">
        <f t="shared" ref="C233" si="5">PV(C231/100,C232,C234,C235)</f>
        <v>-358137.62890877103</v>
      </c>
      <c r="D233" s="92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1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1507</v>
      </c>
    </row>
    <row r="239" spans="1:8" x14ac:dyDescent="0.2">
      <c r="A239" s="1" t="s">
        <v>1508</v>
      </c>
    </row>
    <row r="240" spans="1:8" x14ac:dyDescent="0.2">
      <c r="A240" s="1" t="s">
        <v>1509</v>
      </c>
    </row>
    <row r="241" spans="1:8" x14ac:dyDescent="0.2">
      <c r="A241" s="1" t="s">
        <v>1510</v>
      </c>
    </row>
    <row r="242" spans="1:8" x14ac:dyDescent="0.2">
      <c r="A242" s="1" t="s">
        <v>1511</v>
      </c>
    </row>
    <row r="243" spans="1:8" x14ac:dyDescent="0.2">
      <c r="A243" s="1" t="s">
        <v>1512</v>
      </c>
    </row>
    <row r="244" spans="1:8" x14ac:dyDescent="0.2">
      <c r="A244" s="1" t="s">
        <v>1513</v>
      </c>
      <c r="G244" s="1" t="str">
        <f ca="1">_xlfn.FORMULATEXT(E231)</f>
        <v>=((1+12.6825%)^(1/12)-1)*100</v>
      </c>
      <c r="H244" s="218">
        <f>E231</f>
        <v>0.99999977493334669</v>
      </c>
    </row>
    <row r="245" spans="1:8" x14ac:dyDescent="0.2">
      <c r="A245" s="1" t="s">
        <v>1514</v>
      </c>
      <c r="E245" s="133">
        <f>E233</f>
        <v>-270967.55585912394</v>
      </c>
    </row>
    <row r="247" spans="1:8" x14ac:dyDescent="0.2">
      <c r="A247" s="1" t="s">
        <v>1515</v>
      </c>
    </row>
    <row r="248" spans="1:8" x14ac:dyDescent="0.2">
      <c r="A248" s="1" t="s">
        <v>1516</v>
      </c>
    </row>
    <row r="249" spans="1:8" x14ac:dyDescent="0.2">
      <c r="A249" s="1" t="s">
        <v>1530</v>
      </c>
    </row>
    <row r="250" spans="1:8" x14ac:dyDescent="0.2">
      <c r="A250" s="1" t="s">
        <v>1517</v>
      </c>
    </row>
    <row r="251" spans="1:8" x14ac:dyDescent="0.2">
      <c r="A251" s="1" t="s">
        <v>1518</v>
      </c>
      <c r="G251" s="1" t="s">
        <v>1519</v>
      </c>
      <c r="H251" s="193">
        <f>D231</f>
        <v>3.0301</v>
      </c>
    </row>
    <row r="252" spans="1:8" x14ac:dyDescent="0.2">
      <c r="A252" s="1" t="s">
        <v>1520</v>
      </c>
    </row>
    <row r="253" spans="1:8" x14ac:dyDescent="0.2">
      <c r="A253" s="1" t="s">
        <v>1521</v>
      </c>
    </row>
    <row r="255" spans="1:8" x14ac:dyDescent="0.2">
      <c r="A255" s="1" t="s">
        <v>1522</v>
      </c>
    </row>
    <row r="256" spans="1:8" x14ac:dyDescent="0.2">
      <c r="A256" s="1" t="s">
        <v>1523</v>
      </c>
    </row>
    <row r="257" spans="1:8" x14ac:dyDescent="0.2">
      <c r="A257" s="1" t="s">
        <v>1524</v>
      </c>
    </row>
    <row r="258" spans="1:8" x14ac:dyDescent="0.2">
      <c r="A258" s="1" t="s">
        <v>1525</v>
      </c>
    </row>
    <row r="260" spans="1:8" x14ac:dyDescent="0.2">
      <c r="G260" s="1" t="s">
        <v>1526</v>
      </c>
      <c r="H260" s="193">
        <v>5</v>
      </c>
    </row>
    <row r="261" spans="1:8" x14ac:dyDescent="0.2">
      <c r="A261" s="1" t="s">
        <v>1527</v>
      </c>
    </row>
    <row r="262" spans="1:8" x14ac:dyDescent="0.2">
      <c r="A262" s="1" t="s">
        <v>1528</v>
      </c>
    </row>
    <row r="263" spans="1:8" x14ac:dyDescent="0.2">
      <c r="E263" s="133">
        <f>C233</f>
        <v>-358137.62890877103</v>
      </c>
    </row>
    <row r="265" spans="1:8" x14ac:dyDescent="0.2">
      <c r="A265" s="1" t="s">
        <v>1529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opLeftCell="A62" zoomScale="223" zoomScaleNormal="250" workbookViewId="0">
      <selection activeCell="A71" sqref="A71:F71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8">
        <v>45887</v>
      </c>
      <c r="I1" s="29"/>
    </row>
    <row r="2" spans="1:9" x14ac:dyDescent="0.2">
      <c r="H2" s="29" t="s">
        <v>1531</v>
      </c>
      <c r="I2" s="29"/>
    </row>
    <row r="3" spans="1:9" x14ac:dyDescent="0.2">
      <c r="A3" s="29" t="s">
        <v>1533</v>
      </c>
      <c r="B3" s="29"/>
      <c r="C3" s="29"/>
      <c r="D3" s="29"/>
      <c r="E3" s="29"/>
      <c r="F3" s="29"/>
      <c r="G3" s="29"/>
      <c r="H3" s="29" t="s">
        <v>1532</v>
      </c>
      <c r="I3" s="29"/>
    </row>
    <row r="4" spans="1:9" x14ac:dyDescent="0.2">
      <c r="A4" s="1" t="s">
        <v>673</v>
      </c>
    </row>
    <row r="5" spans="1:9" x14ac:dyDescent="0.2">
      <c r="A5" s="1" t="s">
        <v>1534</v>
      </c>
    </row>
    <row r="7" spans="1:9" x14ac:dyDescent="0.2">
      <c r="A7" s="95" t="s">
        <v>1535</v>
      </c>
      <c r="B7" s="95"/>
      <c r="C7" s="95"/>
      <c r="D7" s="95"/>
      <c r="E7" s="95"/>
      <c r="F7" s="95"/>
      <c r="G7" s="95"/>
      <c r="H7" s="95" t="s">
        <v>1582</v>
      </c>
    </row>
    <row r="8" spans="1:9" x14ac:dyDescent="0.2">
      <c r="A8" s="1" t="s">
        <v>674</v>
      </c>
    </row>
    <row r="9" spans="1:9" x14ac:dyDescent="0.2">
      <c r="A9" s="1" t="s">
        <v>675</v>
      </c>
    </row>
    <row r="10" spans="1:9" x14ac:dyDescent="0.2">
      <c r="A10" s="1" t="s">
        <v>676</v>
      </c>
    </row>
    <row r="12" spans="1:9" x14ac:dyDescent="0.2">
      <c r="A12" s="1" t="s">
        <v>677</v>
      </c>
    </row>
    <row r="13" spans="1:9" x14ac:dyDescent="0.2">
      <c r="A13" s="1" t="s">
        <v>678</v>
      </c>
    </row>
    <row r="15" spans="1:9" x14ac:dyDescent="0.2">
      <c r="A15" s="1" t="s">
        <v>27</v>
      </c>
    </row>
    <row r="17" spans="1:8" x14ac:dyDescent="0.2">
      <c r="A17" s="78" t="s">
        <v>677</v>
      </c>
      <c r="F17" s="75" t="s">
        <v>687</v>
      </c>
      <c r="G17" s="75"/>
    </row>
    <row r="18" spans="1:8" x14ac:dyDescent="0.2">
      <c r="A18" s="1" t="s">
        <v>679</v>
      </c>
    </row>
    <row r="19" spans="1:8" x14ac:dyDescent="0.2">
      <c r="A19" s="1" t="s">
        <v>680</v>
      </c>
    </row>
    <row r="20" spans="1:8" x14ac:dyDescent="0.2">
      <c r="A20" s="2" t="s">
        <v>681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682</v>
      </c>
    </row>
    <row r="26" spans="1:8" x14ac:dyDescent="0.2">
      <c r="H26" s="12" t="s">
        <v>683</v>
      </c>
    </row>
    <row r="30" spans="1:8" x14ac:dyDescent="0.2">
      <c r="A30" s="1" t="s">
        <v>1536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7" t="s">
        <v>1537</v>
      </c>
      <c r="E32" s="12">
        <v>36</v>
      </c>
      <c r="F32" s="1" t="s">
        <v>45</v>
      </c>
    </row>
    <row r="33" spans="1:8" x14ac:dyDescent="0.2">
      <c r="A33" s="1" t="s">
        <v>1538</v>
      </c>
      <c r="E33" s="12">
        <v>1</v>
      </c>
      <c r="F33" s="1" t="s">
        <v>42</v>
      </c>
    </row>
    <row r="34" spans="1:8" x14ac:dyDescent="0.2">
      <c r="A34" s="1" t="s">
        <v>685</v>
      </c>
      <c r="E34" s="12">
        <v>300000</v>
      </c>
      <c r="F34" s="1" t="s">
        <v>39</v>
      </c>
    </row>
    <row r="35" spans="1:8" x14ac:dyDescent="0.2">
      <c r="A35" s="1" t="s">
        <v>686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684</v>
      </c>
      <c r="E36" s="12">
        <v>0</v>
      </c>
      <c r="F36" s="1" t="s">
        <v>50</v>
      </c>
    </row>
    <row r="38" spans="1:8" x14ac:dyDescent="0.2">
      <c r="A38" s="78" t="s">
        <v>678</v>
      </c>
      <c r="G38" s="1" t="s">
        <v>692</v>
      </c>
    </row>
    <row r="39" spans="1:8" x14ac:dyDescent="0.2">
      <c r="A39" s="1" t="s">
        <v>688</v>
      </c>
    </row>
    <row r="41" spans="1:8" x14ac:dyDescent="0.2">
      <c r="A41" s="1" t="s">
        <v>1539</v>
      </c>
      <c r="F41" s="96">
        <f>9964*36</f>
        <v>358704</v>
      </c>
      <c r="H41" s="1" t="s">
        <v>689</v>
      </c>
    </row>
    <row r="42" spans="1:8" x14ac:dyDescent="0.2">
      <c r="A42" s="1" t="s">
        <v>1540</v>
      </c>
      <c r="F42" s="96">
        <f>E34</f>
        <v>300000</v>
      </c>
    </row>
    <row r="43" spans="1:8" x14ac:dyDescent="0.2">
      <c r="A43" s="1" t="s">
        <v>690</v>
      </c>
      <c r="F43" s="97">
        <f>F41-F42</f>
        <v>58704</v>
      </c>
      <c r="H43" s="1" t="s">
        <v>691</v>
      </c>
    </row>
    <row r="44" spans="1:8" ht="17" thickBot="1" x14ac:dyDescent="0.25"/>
    <row r="45" spans="1:8" x14ac:dyDescent="0.2">
      <c r="A45" s="30" t="s">
        <v>693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694</v>
      </c>
      <c r="H46" s="25"/>
    </row>
    <row r="47" spans="1:8" ht="17" thickBot="1" x14ac:dyDescent="0.25">
      <c r="A47" s="26" t="s">
        <v>695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5" t="s">
        <v>696</v>
      </c>
      <c r="B49" s="95"/>
      <c r="C49" s="95"/>
      <c r="D49" s="95"/>
      <c r="E49" s="95"/>
      <c r="F49" s="95"/>
      <c r="G49" s="95"/>
      <c r="H49" s="95" t="s">
        <v>1582</v>
      </c>
    </row>
    <row r="50" spans="1:9" x14ac:dyDescent="0.2">
      <c r="A50" s="1" t="s">
        <v>697</v>
      </c>
    </row>
    <row r="51" spans="1:9" x14ac:dyDescent="0.2">
      <c r="A51" s="1" t="s">
        <v>698</v>
      </c>
    </row>
    <row r="52" spans="1:9" x14ac:dyDescent="0.2">
      <c r="A52" s="1" t="s">
        <v>699</v>
      </c>
    </row>
    <row r="53" spans="1:9" x14ac:dyDescent="0.2">
      <c r="A53" s="1" t="s">
        <v>700</v>
      </c>
    </row>
    <row r="55" spans="1:9" x14ac:dyDescent="0.2">
      <c r="A55" s="1" t="s">
        <v>701</v>
      </c>
      <c r="E55" s="1" t="s">
        <v>706</v>
      </c>
      <c r="G55" s="1" t="s">
        <v>704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702</v>
      </c>
      <c r="E58" s="12">
        <f>4*12</f>
        <v>48</v>
      </c>
      <c r="F58" s="1" t="s">
        <v>45</v>
      </c>
    </row>
    <row r="59" spans="1:9" x14ac:dyDescent="0.2">
      <c r="A59" s="1" t="s">
        <v>703</v>
      </c>
      <c r="E59" s="12">
        <v>1</v>
      </c>
      <c r="F59" s="1" t="s">
        <v>42</v>
      </c>
    </row>
    <row r="60" spans="1:9" x14ac:dyDescent="0.2">
      <c r="A60" s="1" t="s">
        <v>685</v>
      </c>
      <c r="E60" s="12">
        <v>1000000</v>
      </c>
      <c r="F60" s="1" t="s">
        <v>39</v>
      </c>
    </row>
    <row r="61" spans="1:9" x14ac:dyDescent="0.2">
      <c r="A61" s="1" t="s">
        <v>686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705</v>
      </c>
      <c r="E62" s="12">
        <v>-300000</v>
      </c>
      <c r="F62" s="1" t="s">
        <v>50</v>
      </c>
    </row>
    <row r="64" spans="1:9" x14ac:dyDescent="0.2">
      <c r="A64" s="95" t="s">
        <v>707</v>
      </c>
      <c r="B64" s="95"/>
      <c r="C64" s="95"/>
      <c r="D64" s="95"/>
      <c r="E64" s="95"/>
      <c r="F64" s="95"/>
      <c r="G64" s="95"/>
      <c r="H64" s="95" t="s">
        <v>1583</v>
      </c>
      <c r="I64" s="14" t="s">
        <v>1542</v>
      </c>
    </row>
    <row r="65" spans="1:9" x14ac:dyDescent="0.2">
      <c r="A65" s="1" t="s">
        <v>708</v>
      </c>
    </row>
    <row r="66" spans="1:9" x14ac:dyDescent="0.2">
      <c r="A66" s="1" t="s">
        <v>709</v>
      </c>
    </row>
    <row r="67" spans="1:9" x14ac:dyDescent="0.2">
      <c r="A67" s="1" t="s">
        <v>1543</v>
      </c>
    </row>
    <row r="68" spans="1:9" x14ac:dyDescent="0.2">
      <c r="A68" s="1" t="s">
        <v>710</v>
      </c>
    </row>
    <row r="69" spans="1:9" x14ac:dyDescent="0.2">
      <c r="I69" s="1" t="s">
        <v>1142</v>
      </c>
    </row>
    <row r="70" spans="1:9" x14ac:dyDescent="0.2">
      <c r="A70" s="1" t="s">
        <v>711</v>
      </c>
      <c r="I70" s="1" t="s">
        <v>1545</v>
      </c>
    </row>
    <row r="71" spans="1:9" x14ac:dyDescent="0.2">
      <c r="A71" s="1" t="s">
        <v>1544</v>
      </c>
    </row>
    <row r="72" spans="1:9" x14ac:dyDescent="0.2">
      <c r="A72" s="1" t="s">
        <v>713</v>
      </c>
    </row>
    <row r="74" spans="1:9" x14ac:dyDescent="0.2">
      <c r="A74" s="1" t="s">
        <v>27</v>
      </c>
    </row>
    <row r="76" spans="1:9" x14ac:dyDescent="0.2">
      <c r="A76" s="78" t="s">
        <v>712</v>
      </c>
      <c r="G76" s="1" t="s">
        <v>731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1546</v>
      </c>
    </row>
    <row r="79" spans="1:9" x14ac:dyDescent="0.2">
      <c r="A79" s="221">
        <f>((1+12%)^(1/12)-1)*100</f>
        <v>0.94887929345830457</v>
      </c>
      <c r="E79" s="220">
        <v>0.94889999999999997</v>
      </c>
      <c r="F79" s="1" t="s">
        <v>42</v>
      </c>
      <c r="G79" s="1" t="s">
        <v>1547</v>
      </c>
    </row>
    <row r="80" spans="1:9" x14ac:dyDescent="0.2">
      <c r="E80" s="12">
        <v>30000</v>
      </c>
      <c r="F80" s="1" t="s">
        <v>39</v>
      </c>
      <c r="G80" s="1" t="s">
        <v>1548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1550</v>
      </c>
    </row>
    <row r="82" spans="3:8" x14ac:dyDescent="0.2">
      <c r="E82" s="12">
        <v>0</v>
      </c>
      <c r="F82" s="1" t="s">
        <v>50</v>
      </c>
      <c r="G82" s="1" t="s">
        <v>1549</v>
      </c>
    </row>
    <row r="85" spans="3:8" x14ac:dyDescent="0.2">
      <c r="D85" s="1" t="s">
        <v>714</v>
      </c>
    </row>
    <row r="86" spans="3:8" x14ac:dyDescent="0.2">
      <c r="D86" s="1" t="s">
        <v>715</v>
      </c>
    </row>
    <row r="87" spans="3:8" x14ac:dyDescent="0.2">
      <c r="D87" s="1" t="s">
        <v>716</v>
      </c>
    </row>
    <row r="88" spans="3:8" x14ac:dyDescent="0.2">
      <c r="D88" s="1" t="s">
        <v>717</v>
      </c>
    </row>
    <row r="89" spans="3:8" x14ac:dyDescent="0.2">
      <c r="D89" s="1" t="s">
        <v>718</v>
      </c>
    </row>
    <row r="90" spans="3:8" x14ac:dyDescent="0.2">
      <c r="D90" s="1" t="s">
        <v>719</v>
      </c>
    </row>
    <row r="91" spans="3:8" x14ac:dyDescent="0.2">
      <c r="D91" s="1" t="s">
        <v>720</v>
      </c>
    </row>
    <row r="95" spans="3:8" x14ac:dyDescent="0.2">
      <c r="F95" s="1" t="s">
        <v>721</v>
      </c>
    </row>
    <row r="96" spans="3:8" x14ac:dyDescent="0.2">
      <c r="C96" s="1" t="s">
        <v>724</v>
      </c>
      <c r="F96" s="1" t="s">
        <v>722</v>
      </c>
    </row>
    <row r="97" spans="1:7" x14ac:dyDescent="0.2">
      <c r="C97" s="1" t="s">
        <v>725</v>
      </c>
    </row>
    <row r="98" spans="1:7" x14ac:dyDescent="0.2">
      <c r="C98" s="1" t="s">
        <v>726</v>
      </c>
      <c r="E98" s="1" t="s">
        <v>723</v>
      </c>
    </row>
    <row r="99" spans="1:7" x14ac:dyDescent="0.2">
      <c r="C99" s="1" t="s">
        <v>727</v>
      </c>
    </row>
    <row r="101" spans="1:7" x14ac:dyDescent="0.2">
      <c r="A101" s="1" t="s">
        <v>728</v>
      </c>
    </row>
    <row r="103" spans="1:7" x14ac:dyDescent="0.2">
      <c r="D103" s="98">
        <f>(1+12%)^(1/12)-1</f>
        <v>9.4887929345830457E-3</v>
      </c>
    </row>
    <row r="105" spans="1:7" x14ac:dyDescent="0.2">
      <c r="A105" s="1" t="s">
        <v>512</v>
      </c>
      <c r="F105" s="1" t="s">
        <v>729</v>
      </c>
    </row>
    <row r="106" spans="1:7" x14ac:dyDescent="0.2">
      <c r="F106" s="1" t="s">
        <v>730</v>
      </c>
    </row>
    <row r="108" spans="1:7" x14ac:dyDescent="0.2">
      <c r="A108" s="78" t="s">
        <v>1551</v>
      </c>
      <c r="G108" s="1" t="s">
        <v>737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1552</v>
      </c>
      <c r="E110" s="12">
        <f>3*12</f>
        <v>36</v>
      </c>
      <c r="F110" s="1" t="s">
        <v>45</v>
      </c>
      <c r="G110" s="1" t="s">
        <v>1556</v>
      </c>
    </row>
    <row r="111" spans="1:7" x14ac:dyDescent="0.2">
      <c r="B111" s="95"/>
      <c r="C111" s="95" t="s">
        <v>1553</v>
      </c>
      <c r="E111" s="222">
        <v>1</v>
      </c>
      <c r="F111" s="1" t="s">
        <v>42</v>
      </c>
      <c r="G111" s="1" t="s">
        <v>1559</v>
      </c>
    </row>
    <row r="112" spans="1:7" x14ac:dyDescent="0.2">
      <c r="A112" s="1" t="s">
        <v>1554</v>
      </c>
      <c r="E112" s="70">
        <v>30000</v>
      </c>
      <c r="F112" s="1" t="s">
        <v>39</v>
      </c>
      <c r="G112" s="1" t="s">
        <v>1557</v>
      </c>
    </row>
    <row r="113" spans="1:8" x14ac:dyDescent="0.2">
      <c r="A113" s="1" t="s">
        <v>1555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1558</v>
      </c>
    </row>
    <row r="117" spans="1:8" x14ac:dyDescent="0.2">
      <c r="D117" s="1" t="s">
        <v>732</v>
      </c>
    </row>
    <row r="118" spans="1:8" x14ac:dyDescent="0.2">
      <c r="D118" s="1" t="s">
        <v>736</v>
      </c>
    </row>
    <row r="119" spans="1:8" x14ac:dyDescent="0.2">
      <c r="D119" s="1" t="s">
        <v>733</v>
      </c>
    </row>
    <row r="120" spans="1:8" x14ac:dyDescent="0.2">
      <c r="D120" s="1" t="s">
        <v>734</v>
      </c>
    </row>
    <row r="121" spans="1:8" x14ac:dyDescent="0.2">
      <c r="F121" s="1" t="s">
        <v>735</v>
      </c>
    </row>
    <row r="123" spans="1:8" x14ac:dyDescent="0.2">
      <c r="A123" s="95" t="s">
        <v>738</v>
      </c>
      <c r="B123" s="95"/>
      <c r="C123" s="95"/>
      <c r="D123" s="95"/>
      <c r="E123" s="95"/>
      <c r="F123" s="95"/>
      <c r="G123" s="95"/>
      <c r="H123" s="95"/>
    </row>
    <row r="125" spans="1:8" x14ac:dyDescent="0.2">
      <c r="D125" s="1" t="s">
        <v>739</v>
      </c>
    </row>
    <row r="126" spans="1:8" x14ac:dyDescent="0.2">
      <c r="D126" s="1" t="s">
        <v>1564</v>
      </c>
    </row>
    <row r="127" spans="1:8" x14ac:dyDescent="0.2">
      <c r="D127" s="1" t="s">
        <v>740</v>
      </c>
    </row>
    <row r="132" spans="1:8" x14ac:dyDescent="0.2">
      <c r="D132" s="1" t="s">
        <v>1560</v>
      </c>
    </row>
    <row r="134" spans="1:8" x14ac:dyDescent="0.2">
      <c r="D134" s="1" t="s">
        <v>741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1561</v>
      </c>
      <c r="F136" s="12">
        <v>36</v>
      </c>
      <c r="G136" s="1" t="s">
        <v>45</v>
      </c>
    </row>
    <row r="137" spans="1:8" ht="17" thickBot="1" x14ac:dyDescent="0.25">
      <c r="F137" s="99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1" t="s">
        <v>751</v>
      </c>
      <c r="E138" s="6"/>
      <c r="F138" s="102">
        <v>7000</v>
      </c>
      <c r="G138" s="7" t="s">
        <v>39</v>
      </c>
    </row>
    <row r="139" spans="1:8" x14ac:dyDescent="0.2">
      <c r="D139" s="1" t="s">
        <v>1562</v>
      </c>
      <c r="F139" s="12">
        <v>-195</v>
      </c>
      <c r="G139" s="1" t="s">
        <v>47</v>
      </c>
    </row>
    <row r="140" spans="1:8" x14ac:dyDescent="0.2">
      <c r="D140" s="1" t="s">
        <v>1563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1565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1566</v>
      </c>
    </row>
    <row r="144" spans="1:8" x14ac:dyDescent="0.2">
      <c r="F144" s="12"/>
    </row>
    <row r="145" spans="1:8" x14ac:dyDescent="0.2">
      <c r="A145" s="1" t="s">
        <v>1567</v>
      </c>
      <c r="F145" s="12"/>
    </row>
    <row r="146" spans="1:8" x14ac:dyDescent="0.2">
      <c r="A146" s="1" t="s">
        <v>1568</v>
      </c>
      <c r="F146" s="12"/>
    </row>
    <row r="147" spans="1:8" x14ac:dyDescent="0.2">
      <c r="A147" s="1" t="s">
        <v>1569</v>
      </c>
      <c r="F147" s="12"/>
    </row>
    <row r="148" spans="1:8" x14ac:dyDescent="0.2">
      <c r="A148" s="1" t="s">
        <v>1570</v>
      </c>
    </row>
    <row r="149" spans="1:8" x14ac:dyDescent="0.2">
      <c r="A149" s="1" t="s">
        <v>1571</v>
      </c>
    </row>
    <row r="150" spans="1:8" x14ac:dyDescent="0.2">
      <c r="A150" s="1" t="s">
        <v>1572</v>
      </c>
    </row>
    <row r="152" spans="1:8" x14ac:dyDescent="0.2">
      <c r="D152" s="1" t="s">
        <v>742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1573</v>
      </c>
      <c r="F154" s="12">
        <v>36</v>
      </c>
      <c r="G154" s="1" t="s">
        <v>45</v>
      </c>
    </row>
    <row r="155" spans="1:8" ht="17" thickBot="1" x14ac:dyDescent="0.25">
      <c r="D155" s="1" t="s">
        <v>1577</v>
      </c>
      <c r="F155" s="99">
        <f>RATE(F154,F157,F156,F158)</f>
        <v>1.2765291363633311E-2</v>
      </c>
      <c r="G155" s="1" t="s">
        <v>42</v>
      </c>
      <c r="H155" s="40" t="s">
        <v>1576</v>
      </c>
    </row>
    <row r="156" spans="1:8" ht="17" thickBot="1" x14ac:dyDescent="0.25">
      <c r="D156" s="223" t="s">
        <v>1575</v>
      </c>
      <c r="E156" s="224"/>
      <c r="F156" s="225">
        <v>5600</v>
      </c>
      <c r="G156" s="226" t="s">
        <v>39</v>
      </c>
    </row>
    <row r="157" spans="1:8" x14ac:dyDescent="0.2">
      <c r="D157" s="1" t="s">
        <v>1574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743</v>
      </c>
    </row>
    <row r="161" spans="1:8" x14ac:dyDescent="0.2">
      <c r="A161" s="1" t="s">
        <v>744</v>
      </c>
    </row>
    <row r="162" spans="1:8" x14ac:dyDescent="0.2">
      <c r="D162" s="100">
        <f>(1+F155)^12-1</f>
        <v>0.1644094190907428</v>
      </c>
      <c r="F162" s="1" t="s">
        <v>745</v>
      </c>
    </row>
    <row r="164" spans="1:8" x14ac:dyDescent="0.2">
      <c r="A164" s="2" t="s">
        <v>746</v>
      </c>
    </row>
    <row r="165" spans="1:8" x14ac:dyDescent="0.2">
      <c r="A165" s="1" t="s">
        <v>747</v>
      </c>
    </row>
    <row r="166" spans="1:8" x14ac:dyDescent="0.2">
      <c r="A166" s="1" t="s">
        <v>748</v>
      </c>
    </row>
    <row r="167" spans="1:8" x14ac:dyDescent="0.2">
      <c r="A167" s="1" t="s">
        <v>749</v>
      </c>
    </row>
    <row r="168" spans="1:8" x14ac:dyDescent="0.2">
      <c r="A168" s="1" t="s">
        <v>750</v>
      </c>
    </row>
    <row r="170" spans="1:8" x14ac:dyDescent="0.2">
      <c r="A170" s="95" t="s">
        <v>1578</v>
      </c>
      <c r="B170" s="95"/>
      <c r="C170" s="95"/>
      <c r="D170" s="95"/>
      <c r="E170" s="95"/>
      <c r="F170" s="95"/>
      <c r="G170" s="95"/>
      <c r="H170" s="95"/>
    </row>
    <row r="171" spans="1:8" x14ac:dyDescent="0.2">
      <c r="A171" s="1" t="s">
        <v>752</v>
      </c>
    </row>
    <row r="172" spans="1:8" x14ac:dyDescent="0.2">
      <c r="A172" s="1" t="s">
        <v>753</v>
      </c>
    </row>
    <row r="173" spans="1:8" x14ac:dyDescent="0.2">
      <c r="A173" s="1" t="s">
        <v>1579</v>
      </c>
    </row>
    <row r="174" spans="1:8" x14ac:dyDescent="0.2">
      <c r="A174" s="1" t="s">
        <v>765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754</v>
      </c>
      <c r="E178" s="12">
        <v>60</v>
      </c>
      <c r="F178" s="1" t="s">
        <v>45</v>
      </c>
    </row>
    <row r="179" spans="1:8" x14ac:dyDescent="0.2">
      <c r="A179" s="1" t="s">
        <v>764</v>
      </c>
      <c r="E179" s="103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755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756</v>
      </c>
      <c r="E182" s="12">
        <v>0</v>
      </c>
      <c r="F182" s="1" t="s">
        <v>50</v>
      </c>
    </row>
    <row r="186" spans="1:8" x14ac:dyDescent="0.2">
      <c r="D186" s="2" t="s">
        <v>757</v>
      </c>
      <c r="E186" s="2"/>
      <c r="F186" s="2"/>
      <c r="G186" s="2"/>
      <c r="H186" s="2"/>
    </row>
    <row r="187" spans="1:8" x14ac:dyDescent="0.2">
      <c r="D187" s="2" t="s">
        <v>758</v>
      </c>
      <c r="E187" s="2"/>
      <c r="F187" s="2"/>
      <c r="G187" s="2"/>
      <c r="H187" s="2"/>
    </row>
    <row r="188" spans="1:8" x14ac:dyDescent="0.2">
      <c r="D188" s="2" t="s">
        <v>759</v>
      </c>
      <c r="E188" s="2"/>
      <c r="F188" s="2"/>
      <c r="G188" s="2"/>
      <c r="H188" s="2"/>
    </row>
    <row r="189" spans="1:8" x14ac:dyDescent="0.2">
      <c r="D189" s="1" t="s">
        <v>760</v>
      </c>
    </row>
    <row r="190" spans="1:8" x14ac:dyDescent="0.2">
      <c r="D190" s="1" t="s">
        <v>761</v>
      </c>
      <c r="G190" s="1" t="s">
        <v>762</v>
      </c>
    </row>
    <row r="191" spans="1:8" x14ac:dyDescent="0.2">
      <c r="D191" s="1" t="s">
        <v>763</v>
      </c>
    </row>
    <row r="193" spans="1:8" ht="17" thickBot="1" x14ac:dyDescent="0.25">
      <c r="D193" s="1" t="s">
        <v>766</v>
      </c>
    </row>
    <row r="194" spans="1:8" ht="17" thickBot="1" x14ac:dyDescent="0.25">
      <c r="A194" s="101" t="s">
        <v>767</v>
      </c>
      <c r="B194" s="6"/>
      <c r="C194" s="6"/>
      <c r="D194" s="104">
        <f>(1+E179)^12-1</f>
        <v>4.3084383754335986E-2</v>
      </c>
      <c r="F194" s="1" t="s">
        <v>1580</v>
      </c>
    </row>
    <row r="197" spans="1:8" x14ac:dyDescent="0.2">
      <c r="F197" s="1" t="s">
        <v>768</v>
      </c>
    </row>
    <row r="199" spans="1:8" x14ac:dyDescent="0.2">
      <c r="E199" s="1" t="s">
        <v>769</v>
      </c>
    </row>
    <row r="201" spans="1:8" x14ac:dyDescent="0.2">
      <c r="A201" s="95" t="s">
        <v>770</v>
      </c>
      <c r="B201" s="95"/>
      <c r="C201" s="95"/>
      <c r="D201" s="95"/>
      <c r="E201" s="95"/>
      <c r="F201" s="95"/>
      <c r="G201" s="227" t="s">
        <v>1318</v>
      </c>
      <c r="H201" s="95"/>
    </row>
    <row r="203" spans="1:8" x14ac:dyDescent="0.2">
      <c r="A203" s="1" t="s">
        <v>771</v>
      </c>
    </row>
    <row r="204" spans="1:8" x14ac:dyDescent="0.2">
      <c r="A204" s="1" t="s">
        <v>772</v>
      </c>
    </row>
    <row r="205" spans="1:8" x14ac:dyDescent="0.2">
      <c r="A205" s="1" t="s">
        <v>773</v>
      </c>
    </row>
    <row r="206" spans="1:8" x14ac:dyDescent="0.2">
      <c r="A206" s="1" t="s">
        <v>774</v>
      </c>
    </row>
    <row r="207" spans="1:8" x14ac:dyDescent="0.2">
      <c r="A207" s="1" t="s">
        <v>775</v>
      </c>
    </row>
    <row r="208" spans="1:8" x14ac:dyDescent="0.2">
      <c r="A208" s="1" t="s">
        <v>776</v>
      </c>
    </row>
    <row r="209" spans="1:7" x14ac:dyDescent="0.2">
      <c r="A209" s="1" t="s">
        <v>777</v>
      </c>
    </row>
    <row r="211" spans="1:7" x14ac:dyDescent="0.2">
      <c r="A211" s="1" t="s">
        <v>778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780</v>
      </c>
      <c r="E216" s="103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5" t="s">
        <v>779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781</v>
      </c>
    </row>
    <row r="223" spans="1:7" x14ac:dyDescent="0.2">
      <c r="C223" s="106">
        <f>(1+E216)^4-1</f>
        <v>3.8283465085318324E-2</v>
      </c>
      <c r="E223" s="1" t="s">
        <v>782</v>
      </c>
    </row>
    <row r="226" spans="1:8" x14ac:dyDescent="0.2">
      <c r="C226" s="1" t="s">
        <v>785</v>
      </c>
      <c r="E226" s="1" t="s">
        <v>783</v>
      </c>
    </row>
    <row r="227" spans="1:8" x14ac:dyDescent="0.2">
      <c r="C227" s="1" t="s">
        <v>786</v>
      </c>
      <c r="E227" s="1" t="s">
        <v>784</v>
      </c>
    </row>
    <row r="228" spans="1:8" x14ac:dyDescent="0.2">
      <c r="C228" s="1" t="s">
        <v>787</v>
      </c>
    </row>
    <row r="230" spans="1:8" x14ac:dyDescent="0.2">
      <c r="A230" s="95" t="s">
        <v>788</v>
      </c>
      <c r="B230" s="95"/>
      <c r="C230" s="95"/>
      <c r="D230" s="95"/>
      <c r="E230" s="95"/>
      <c r="F230" s="95"/>
      <c r="G230" s="227" t="s">
        <v>1318</v>
      </c>
      <c r="H230" s="95"/>
    </row>
    <row r="231" spans="1:8" x14ac:dyDescent="0.2">
      <c r="A231" s="1" t="s">
        <v>789</v>
      </c>
    </row>
    <row r="232" spans="1:8" x14ac:dyDescent="0.2">
      <c r="A232" s="1" t="s">
        <v>790</v>
      </c>
    </row>
    <row r="233" spans="1:8" x14ac:dyDescent="0.2">
      <c r="A233" s="1" t="s">
        <v>791</v>
      </c>
    </row>
    <row r="234" spans="1:8" x14ac:dyDescent="0.2">
      <c r="A234" s="1" t="s">
        <v>792</v>
      </c>
    </row>
    <row r="235" spans="1:8" x14ac:dyDescent="0.2">
      <c r="A235" s="1" t="s">
        <v>793</v>
      </c>
    </row>
    <row r="236" spans="1:8" x14ac:dyDescent="0.2">
      <c r="A236" s="1" t="s">
        <v>794</v>
      </c>
    </row>
    <row r="238" spans="1:8" x14ac:dyDescent="0.2">
      <c r="A238" s="1" t="s">
        <v>795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3">
        <f>RATE(B242,B245,B244,B246)</f>
        <v>1.1971635038702614E-2</v>
      </c>
      <c r="C243" s="1" t="s">
        <v>42</v>
      </c>
      <c r="D243" s="1" t="s">
        <v>51</v>
      </c>
      <c r="F243" s="103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796</v>
      </c>
    </row>
    <row r="249" spans="1:8" x14ac:dyDescent="0.2">
      <c r="B249" s="107">
        <f>(1+1.19716%)^12-1</f>
        <v>0.15350609987751351</v>
      </c>
      <c r="F249" s="107">
        <f>(1+1.54549%)^12-1</f>
        <v>0.20206423307819454</v>
      </c>
    </row>
    <row r="251" spans="1:8" ht="18" x14ac:dyDescent="0.2">
      <c r="A251" s="131" t="s">
        <v>885</v>
      </c>
      <c r="B251" s="131"/>
      <c r="C251" s="131"/>
      <c r="D251" s="131"/>
      <c r="E251" s="131"/>
      <c r="F251" s="131"/>
      <c r="G251" s="131"/>
      <c r="H251" s="131"/>
    </row>
    <row r="253" spans="1:8" x14ac:dyDescent="0.2">
      <c r="A253" s="1" t="s">
        <v>1581</v>
      </c>
    </row>
    <row r="254" spans="1:8" x14ac:dyDescent="0.2">
      <c r="A254" s="1" t="s">
        <v>886</v>
      </c>
    </row>
    <row r="255" spans="1:8" x14ac:dyDescent="0.2">
      <c r="A255" s="1" t="s">
        <v>887</v>
      </c>
    </row>
    <row r="256" spans="1:8" ht="17" thickBot="1" x14ac:dyDescent="0.25"/>
    <row r="257" spans="1:10" x14ac:dyDescent="0.2">
      <c r="A257" s="30" t="s">
        <v>888</v>
      </c>
      <c r="B257" s="31" t="s">
        <v>889</v>
      </c>
      <c r="C257" s="31"/>
      <c r="D257" s="31"/>
      <c r="E257" s="31"/>
      <c r="F257" s="31" t="s">
        <v>890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891</v>
      </c>
      <c r="F258" s="1" t="s">
        <v>892</v>
      </c>
      <c r="J258" s="25"/>
    </row>
    <row r="259" spans="1:10" x14ac:dyDescent="0.2">
      <c r="A259" s="24">
        <v>2</v>
      </c>
      <c r="B259" s="1" t="s">
        <v>893</v>
      </c>
      <c r="F259" s="1" t="s">
        <v>894</v>
      </c>
      <c r="J259" s="25"/>
    </row>
    <row r="260" spans="1:10" ht="17" thickBot="1" x14ac:dyDescent="0.25">
      <c r="A260" s="26">
        <v>3</v>
      </c>
      <c r="B260" s="27" t="s">
        <v>895</v>
      </c>
      <c r="C260" s="27"/>
      <c r="D260" s="27"/>
      <c r="E260" s="27"/>
      <c r="F260" s="27" t="s">
        <v>896</v>
      </c>
      <c r="G260" s="27"/>
      <c r="H260" s="27"/>
      <c r="I260" s="27"/>
      <c r="J260" s="28"/>
    </row>
    <row r="262" spans="1:10" x14ac:dyDescent="0.2">
      <c r="A262" s="1" t="s">
        <v>897</v>
      </c>
    </row>
    <row r="264" spans="1:10" x14ac:dyDescent="0.2">
      <c r="A264" s="132" t="s">
        <v>911</v>
      </c>
      <c r="B264" s="132"/>
      <c r="C264" s="132"/>
      <c r="D264" s="132"/>
      <c r="E264" s="132"/>
      <c r="F264" s="132"/>
      <c r="G264" s="132"/>
      <c r="H264" s="132"/>
    </row>
    <row r="265" spans="1:10" x14ac:dyDescent="0.2">
      <c r="A265" s="1" t="s">
        <v>898</v>
      </c>
    </row>
    <row r="266" spans="1:10" x14ac:dyDescent="0.2">
      <c r="A266" s="1" t="s">
        <v>899</v>
      </c>
    </row>
    <row r="267" spans="1:10" x14ac:dyDescent="0.2">
      <c r="A267" s="1" t="s">
        <v>900</v>
      </c>
    </row>
    <row r="268" spans="1:10" x14ac:dyDescent="0.2">
      <c r="A268" s="1" t="s">
        <v>901</v>
      </c>
    </row>
    <row r="269" spans="1:10" x14ac:dyDescent="0.2">
      <c r="A269" s="1" t="s">
        <v>902</v>
      </c>
    </row>
    <row r="271" spans="1:10" x14ac:dyDescent="0.2">
      <c r="A271" s="1" t="s">
        <v>903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904</v>
      </c>
    </row>
    <row r="276" spans="1:10" x14ac:dyDescent="0.2">
      <c r="A276" s="1" t="s">
        <v>905</v>
      </c>
    </row>
    <row r="277" spans="1:10" x14ac:dyDescent="0.2">
      <c r="C277" s="59" t="s">
        <v>907</v>
      </c>
      <c r="D277" s="12"/>
      <c r="E277" s="59" t="s">
        <v>906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229">
        <f>((1+12.6825%)^(1/12)-1)*100</f>
        <v>0.99999977493334669</v>
      </c>
      <c r="D279" s="1" t="s">
        <v>42</v>
      </c>
      <c r="E279" s="229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908</v>
      </c>
    </row>
    <row r="285" spans="1:10" x14ac:dyDescent="0.2">
      <c r="A285" s="1" t="s">
        <v>909</v>
      </c>
    </row>
    <row r="288" spans="1:10" x14ac:dyDescent="0.2">
      <c r="J288" s="1" t="s">
        <v>910</v>
      </c>
    </row>
    <row r="289" spans="1:10" x14ac:dyDescent="0.2">
      <c r="J289" s="228" t="s">
        <v>1584</v>
      </c>
    </row>
    <row r="299" spans="1:10" x14ac:dyDescent="0.2">
      <c r="A299" s="132" t="s">
        <v>912</v>
      </c>
      <c r="B299" s="132"/>
      <c r="C299" s="132"/>
      <c r="D299" s="132"/>
      <c r="E299" s="132"/>
      <c r="F299" s="132"/>
      <c r="G299" s="132"/>
      <c r="H299" s="132"/>
    </row>
    <row r="301" spans="1:10" x14ac:dyDescent="0.2">
      <c r="A301" s="1" t="s">
        <v>913</v>
      </c>
      <c r="G301"/>
    </row>
    <row r="302" spans="1:10" x14ac:dyDescent="0.2">
      <c r="A302" s="1" t="s">
        <v>914</v>
      </c>
    </row>
    <row r="303" spans="1:10" x14ac:dyDescent="0.2">
      <c r="A303" s="1" t="s">
        <v>915</v>
      </c>
    </row>
    <row r="304" spans="1:10" x14ac:dyDescent="0.2">
      <c r="A304" s="1" t="s">
        <v>916</v>
      </c>
    </row>
    <row r="305" spans="1:7" x14ac:dyDescent="0.2">
      <c r="A305" s="1" t="s">
        <v>917</v>
      </c>
    </row>
    <row r="307" spans="1:7" x14ac:dyDescent="0.2">
      <c r="A307" s="1" t="s">
        <v>918</v>
      </c>
    </row>
    <row r="309" spans="1:7" x14ac:dyDescent="0.2">
      <c r="A309" s="1" t="s">
        <v>27</v>
      </c>
    </row>
    <row r="310" spans="1:7" x14ac:dyDescent="0.2">
      <c r="A310" s="1" t="s">
        <v>919</v>
      </c>
    </row>
    <row r="311" spans="1:7" x14ac:dyDescent="0.2">
      <c r="A311" s="1" t="s">
        <v>920</v>
      </c>
    </row>
    <row r="312" spans="1:7" x14ac:dyDescent="0.2">
      <c r="A312" s="1" t="s">
        <v>921</v>
      </c>
    </row>
    <row r="313" spans="1:7" x14ac:dyDescent="0.2">
      <c r="B313" s="12" t="s">
        <v>926</v>
      </c>
      <c r="C313" s="12"/>
      <c r="D313" s="12" t="s">
        <v>925</v>
      </c>
      <c r="E313" s="12"/>
      <c r="F313" s="12" t="s">
        <v>924</v>
      </c>
    </row>
    <row r="314" spans="1:7" x14ac:dyDescent="0.2">
      <c r="B314" s="59" t="s">
        <v>923</v>
      </c>
      <c r="C314" s="12"/>
      <c r="D314" s="59" t="s">
        <v>922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8">
        <v>0.5</v>
      </c>
      <c r="C316" s="1" t="s">
        <v>42</v>
      </c>
      <c r="D316" s="118">
        <v>0.5</v>
      </c>
      <c r="E316" s="1" t="s">
        <v>42</v>
      </c>
      <c r="F316" s="118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1585</v>
      </c>
    </row>
    <row r="321" spans="1:8" x14ac:dyDescent="0.2">
      <c r="F321" s="1" t="s">
        <v>927</v>
      </c>
    </row>
    <row r="322" spans="1:8" x14ac:dyDescent="0.2">
      <c r="A322" s="1" t="s">
        <v>931</v>
      </c>
      <c r="C322" s="133">
        <f>-F317</f>
        <v>131484.06495705992</v>
      </c>
      <c r="F322" s="1" t="s">
        <v>928</v>
      </c>
    </row>
    <row r="323" spans="1:8" x14ac:dyDescent="0.2">
      <c r="A323" s="1" t="s">
        <v>932</v>
      </c>
      <c r="C323" s="133">
        <f>-D317</f>
        <v>128913.94699278503</v>
      </c>
      <c r="F323" s="1" t="s">
        <v>929</v>
      </c>
    </row>
    <row r="324" spans="1:8" x14ac:dyDescent="0.2">
      <c r="A324" s="1" t="s">
        <v>933</v>
      </c>
      <c r="C324" s="133">
        <f>-B317</f>
        <v>94190.533966591975</v>
      </c>
      <c r="F324" s="1" t="s">
        <v>930</v>
      </c>
    </row>
    <row r="335" spans="1:8" x14ac:dyDescent="0.2">
      <c r="A335" s="134" t="s">
        <v>934</v>
      </c>
      <c r="B335" s="134"/>
      <c r="C335" s="134"/>
      <c r="D335" s="134"/>
      <c r="E335" s="134"/>
      <c r="F335" s="134"/>
      <c r="G335" s="134"/>
      <c r="H335" s="134"/>
    </row>
    <row r="336" spans="1:8" x14ac:dyDescent="0.2">
      <c r="A336" s="1" t="s">
        <v>935</v>
      </c>
    </row>
    <row r="337" spans="1:8" x14ac:dyDescent="0.2">
      <c r="A337" s="1" t="s">
        <v>936</v>
      </c>
    </row>
    <row r="338" spans="1:8" x14ac:dyDescent="0.2">
      <c r="A338" s="1" t="s">
        <v>937</v>
      </c>
    </row>
    <row r="339" spans="1:8" x14ac:dyDescent="0.2">
      <c r="A339" s="1" t="s">
        <v>938</v>
      </c>
    </row>
    <row r="340" spans="1:8" x14ac:dyDescent="0.2">
      <c r="A340" s="1" t="s">
        <v>939</v>
      </c>
    </row>
    <row r="342" spans="1:8" x14ac:dyDescent="0.2">
      <c r="A342" s="29" t="s">
        <v>1586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1587</v>
      </c>
    </row>
    <row r="344" spans="1:8" x14ac:dyDescent="0.2">
      <c r="A344" s="1" t="s">
        <v>1588</v>
      </c>
    </row>
    <row r="345" spans="1:8" x14ac:dyDescent="0.2">
      <c r="A345" s="1" t="s">
        <v>1589</v>
      </c>
    </row>
    <row r="346" spans="1:8" x14ac:dyDescent="0.2">
      <c r="A346" s="1" t="s">
        <v>1590</v>
      </c>
    </row>
    <row r="347" spans="1:8" x14ac:dyDescent="0.2">
      <c r="A347" s="1" t="s">
        <v>1591</v>
      </c>
    </row>
    <row r="348" spans="1:8" x14ac:dyDescent="0.2">
      <c r="A348" s="1" t="s">
        <v>1592</v>
      </c>
    </row>
    <row r="350" spans="1:8" x14ac:dyDescent="0.2">
      <c r="A350" s="1" t="s">
        <v>1593</v>
      </c>
    </row>
    <row r="351" spans="1:8" x14ac:dyDescent="0.2">
      <c r="A351" s="1" t="s">
        <v>1594</v>
      </c>
    </row>
    <row r="352" spans="1:8" x14ac:dyDescent="0.2">
      <c r="A352" s="1" t="s">
        <v>1596</v>
      </c>
    </row>
    <row r="353" spans="1:11" x14ac:dyDescent="0.2">
      <c r="A353" s="1" t="s">
        <v>1600</v>
      </c>
    </row>
    <row r="355" spans="1:11" x14ac:dyDescent="0.2">
      <c r="D355" s="231" t="s">
        <v>291</v>
      </c>
      <c r="E355" s="362" t="s">
        <v>1595</v>
      </c>
      <c r="F355" s="362"/>
      <c r="G355" s="362"/>
      <c r="H355" s="231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1597</v>
      </c>
      <c r="K358" s="199" t="s">
        <v>1598</v>
      </c>
    </row>
    <row r="359" spans="1:11" x14ac:dyDescent="0.2">
      <c r="C359" s="232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1599</v>
      </c>
    </row>
    <row r="360" spans="1:11" ht="18" x14ac:dyDescent="0.2">
      <c r="B360" s="198" t="s">
        <v>798</v>
      </c>
      <c r="C360" s="233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232">
        <f>FV(G358/100,G357,G360,G359)</f>
        <v>825137.32561130414</v>
      </c>
      <c r="H361" s="1" t="s">
        <v>50</v>
      </c>
      <c r="I361" s="230" t="s">
        <v>798</v>
      </c>
    </row>
    <row r="362" spans="1:11" ht="17" thickBot="1" x14ac:dyDescent="0.25"/>
    <row r="363" spans="1:11" ht="17" thickBot="1" x14ac:dyDescent="0.25">
      <c r="A363" s="101" t="s">
        <v>1601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51" t="s">
        <v>1602</v>
      </c>
      <c r="B365" s="150"/>
      <c r="C365" s="150"/>
      <c r="D365" s="150"/>
      <c r="E365" s="150"/>
      <c r="F365" s="150"/>
      <c r="G365" s="150"/>
      <c r="H365" s="150"/>
      <c r="I365" s="150"/>
    </row>
    <row r="366" spans="1:11" x14ac:dyDescent="0.2">
      <c r="A366" s="1" t="s">
        <v>940</v>
      </c>
    </row>
    <row r="367" spans="1:11" x14ac:dyDescent="0.2">
      <c r="A367" s="1" t="s">
        <v>941</v>
      </c>
    </row>
    <row r="368" spans="1:11" x14ac:dyDescent="0.2">
      <c r="A368" s="1" t="s">
        <v>942</v>
      </c>
    </row>
    <row r="369" spans="1:8" x14ac:dyDescent="0.2">
      <c r="A369" s="1" t="s">
        <v>943</v>
      </c>
    </row>
    <row r="371" spans="1:8" x14ac:dyDescent="0.2">
      <c r="A371" s="1" t="s">
        <v>1603</v>
      </c>
    </row>
    <row r="372" spans="1:8" x14ac:dyDescent="0.2">
      <c r="A372" s="1" t="s">
        <v>1604</v>
      </c>
    </row>
    <row r="373" spans="1:8" x14ac:dyDescent="0.2">
      <c r="A373" s="1" t="s">
        <v>1605</v>
      </c>
    </row>
    <row r="374" spans="1:8" x14ac:dyDescent="0.2">
      <c r="B374" s="1" t="s">
        <v>1606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946</v>
      </c>
      <c r="F386" s="12" t="s">
        <v>945</v>
      </c>
      <c r="G386"/>
      <c r="H386" s="12" t="s">
        <v>944</v>
      </c>
    </row>
    <row r="387" spans="1:10" x14ac:dyDescent="0.2">
      <c r="B387" s="12"/>
      <c r="G387"/>
    </row>
    <row r="388" spans="1:10" x14ac:dyDescent="0.2">
      <c r="A388" s="14" t="s">
        <v>1607</v>
      </c>
      <c r="G388"/>
      <c r="H388" s="14" t="s">
        <v>1610</v>
      </c>
    </row>
    <row r="389" spans="1:10" x14ac:dyDescent="0.2">
      <c r="A389" s="1" t="s">
        <v>1609</v>
      </c>
      <c r="C389" s="12">
        <f>75*12</f>
        <v>900</v>
      </c>
      <c r="D389" s="1" t="s">
        <v>45</v>
      </c>
      <c r="G389" s="135">
        <f>23*12</f>
        <v>276</v>
      </c>
      <c r="H389" s="1" t="s">
        <v>45</v>
      </c>
      <c r="J389" s="1" t="s">
        <v>1611</v>
      </c>
    </row>
    <row r="390" spans="1:10" x14ac:dyDescent="0.2">
      <c r="A390" s="1" t="s">
        <v>1608</v>
      </c>
      <c r="C390" s="12">
        <v>0.8</v>
      </c>
      <c r="D390" s="1" t="s">
        <v>42</v>
      </c>
      <c r="G390" s="135">
        <v>0.8</v>
      </c>
      <c r="H390" s="1" t="s">
        <v>42</v>
      </c>
      <c r="J390" s="1" t="s">
        <v>1612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7">
        <f>PMT(G390/100,G389,G392,G393)</f>
        <v>-1869.3697333652638</v>
      </c>
      <c r="H391" s="1" t="s">
        <v>47</v>
      </c>
      <c r="I391" s="234" t="s">
        <v>1451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798</v>
      </c>
      <c r="G392" s="135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6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947</v>
      </c>
      <c r="G396"/>
    </row>
    <row r="397" spans="1:10" x14ac:dyDescent="0.2">
      <c r="A397" s="1" t="s">
        <v>948</v>
      </c>
      <c r="G397"/>
    </row>
    <row r="398" spans="1:10" x14ac:dyDescent="0.2">
      <c r="A398" s="1" t="s">
        <v>949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K384"/>
  <sheetViews>
    <sheetView rightToLeft="1" topLeftCell="A104" zoomScale="134" zoomScaleNormal="200" workbookViewId="0">
      <selection activeCell="F101" sqref="E101:F101"/>
    </sheetView>
  </sheetViews>
  <sheetFormatPr baseColWidth="10" defaultRowHeight="16" x14ac:dyDescent="0.2"/>
  <cols>
    <col min="1" max="16384" width="10.83203125" style="1"/>
  </cols>
  <sheetData>
    <row r="1" spans="1:9" x14ac:dyDescent="0.2">
      <c r="A1" s="29" t="s">
        <v>1613</v>
      </c>
      <c r="B1" s="29"/>
      <c r="C1" s="29"/>
      <c r="D1" s="29"/>
      <c r="E1" s="29"/>
      <c r="F1" s="29"/>
      <c r="G1" s="29"/>
      <c r="H1" s="138">
        <v>45901</v>
      </c>
    </row>
    <row r="2" spans="1:9" ht="17" thickBot="1" x14ac:dyDescent="0.25"/>
    <row r="3" spans="1:9" x14ac:dyDescent="0.2">
      <c r="A3" s="21" t="s">
        <v>1616</v>
      </c>
      <c r="B3" s="31"/>
      <c r="C3" s="31"/>
      <c r="D3" s="31"/>
      <c r="E3" s="31"/>
      <c r="F3" s="31"/>
      <c r="G3" s="31"/>
      <c r="H3" s="23"/>
    </row>
    <row r="4" spans="1:9" x14ac:dyDescent="0.2">
      <c r="A4" s="24" t="s">
        <v>1614</v>
      </c>
      <c r="H4" s="25"/>
    </row>
    <row r="5" spans="1:9" x14ac:dyDescent="0.2">
      <c r="A5" s="24" t="s">
        <v>1615</v>
      </c>
      <c r="H5" s="25"/>
    </row>
    <row r="6" spans="1:9" ht="17" thickBot="1" x14ac:dyDescent="0.25">
      <c r="A6" s="26" t="s">
        <v>950</v>
      </c>
      <c r="B6" s="27"/>
      <c r="C6" s="27"/>
      <c r="D6" s="27"/>
      <c r="E6" s="27"/>
      <c r="F6" s="27"/>
      <c r="G6" s="27"/>
      <c r="H6" s="28"/>
    </row>
    <row r="7" spans="1:9" ht="17" thickBot="1" x14ac:dyDescent="0.25"/>
    <row r="8" spans="1:9" x14ac:dyDescent="0.2">
      <c r="A8" s="21" t="s">
        <v>1617</v>
      </c>
      <c r="B8" s="31"/>
      <c r="C8" s="31"/>
      <c r="D8" s="31"/>
      <c r="E8" s="31"/>
      <c r="F8" s="23"/>
      <c r="I8" s="1" t="s">
        <v>1623</v>
      </c>
    </row>
    <row r="9" spans="1:9" x14ac:dyDescent="0.2">
      <c r="A9" s="24" t="s">
        <v>1618</v>
      </c>
      <c r="F9" s="25"/>
    </row>
    <row r="10" spans="1:9" x14ac:dyDescent="0.2">
      <c r="A10" s="24" t="s">
        <v>1619</v>
      </c>
      <c r="F10" s="25"/>
      <c r="I10" s="1" t="s">
        <v>1624</v>
      </c>
    </row>
    <row r="11" spans="1:9" x14ac:dyDescent="0.2">
      <c r="A11" s="24" t="s">
        <v>1620</v>
      </c>
      <c r="F11" s="25"/>
    </row>
    <row r="12" spans="1:9" x14ac:dyDescent="0.2">
      <c r="A12" s="24" t="s">
        <v>1621</v>
      </c>
      <c r="F12" s="25"/>
      <c r="I12" s="1" t="s">
        <v>1625</v>
      </c>
    </row>
    <row r="13" spans="1:9" ht="17" thickBot="1" x14ac:dyDescent="0.25">
      <c r="A13" s="26" t="s">
        <v>1622</v>
      </c>
      <c r="B13" s="27"/>
      <c r="C13" s="27"/>
      <c r="D13" s="27"/>
      <c r="E13" s="27"/>
      <c r="F13" s="28"/>
    </row>
    <row r="14" spans="1:9" x14ac:dyDescent="0.2">
      <c r="I14" s="1" t="s">
        <v>1626</v>
      </c>
    </row>
    <row r="15" spans="1:9" ht="17" thickBot="1" x14ac:dyDescent="0.25"/>
    <row r="16" spans="1:9" ht="17" thickBot="1" x14ac:dyDescent="0.25">
      <c r="A16" s="3" t="s">
        <v>1627</v>
      </c>
      <c r="B16" s="6"/>
      <c r="C16" s="6"/>
      <c r="D16" s="6"/>
      <c r="E16" s="6"/>
      <c r="F16" s="6"/>
      <c r="G16" s="6"/>
      <c r="H16" s="7"/>
    </row>
    <row r="17" spans="1:11" x14ac:dyDescent="0.2">
      <c r="A17" s="1" t="s">
        <v>951</v>
      </c>
    </row>
    <row r="19" spans="1:11" x14ac:dyDescent="0.2">
      <c r="A19" s="78" t="s">
        <v>1628</v>
      </c>
    </row>
    <row r="20" spans="1:11" x14ac:dyDescent="0.2">
      <c r="A20" s="78"/>
    </row>
    <row r="21" spans="1:11" x14ac:dyDescent="0.2">
      <c r="B21" s="1" t="s">
        <v>963</v>
      </c>
      <c r="D21" s="12">
        <v>1</v>
      </c>
      <c r="F21" s="12">
        <v>0</v>
      </c>
    </row>
    <row r="22" spans="1:11" x14ac:dyDescent="0.2">
      <c r="D22" s="12" t="s">
        <v>1199</v>
      </c>
      <c r="F22" s="12" t="s">
        <v>1629</v>
      </c>
    </row>
    <row r="23" spans="1:11" x14ac:dyDescent="0.2">
      <c r="D23" s="12"/>
      <c r="F23" s="12"/>
    </row>
    <row r="24" spans="1:11" x14ac:dyDescent="0.2">
      <c r="C24" s="1" t="s">
        <v>1630</v>
      </c>
      <c r="D24" s="219">
        <v>-112</v>
      </c>
      <c r="F24" s="235">
        <v>100</v>
      </c>
      <c r="H24" s="1" t="s">
        <v>1632</v>
      </c>
    </row>
    <row r="25" spans="1:11" x14ac:dyDescent="0.2">
      <c r="F25" s="12" t="s">
        <v>1631</v>
      </c>
      <c r="H25" s="1" t="s">
        <v>1633</v>
      </c>
    </row>
    <row r="27" spans="1:11" x14ac:dyDescent="0.2">
      <c r="G27" s="1" t="s">
        <v>1634</v>
      </c>
    </row>
    <row r="29" spans="1:11" x14ac:dyDescent="0.2">
      <c r="A29" s="1" t="s">
        <v>1635</v>
      </c>
    </row>
    <row r="30" spans="1:11" x14ac:dyDescent="0.2">
      <c r="E30" s="1" t="s">
        <v>960</v>
      </c>
    </row>
    <row r="31" spans="1:11" x14ac:dyDescent="0.2">
      <c r="F31" s="1" t="s">
        <v>1636</v>
      </c>
      <c r="K31" s="236" t="s">
        <v>1640</v>
      </c>
    </row>
    <row r="32" spans="1:11" x14ac:dyDescent="0.2">
      <c r="F32" s="1" t="s">
        <v>1637</v>
      </c>
      <c r="K32" s="236" t="s">
        <v>1641</v>
      </c>
    </row>
    <row r="33" spans="1:11" x14ac:dyDescent="0.2">
      <c r="K33" s="236" t="s">
        <v>1642</v>
      </c>
    </row>
    <row r="34" spans="1:11" x14ac:dyDescent="0.2">
      <c r="K34" s="236" t="s">
        <v>1643</v>
      </c>
    </row>
    <row r="35" spans="1:11" x14ac:dyDescent="0.2">
      <c r="D35" s="12">
        <v>1</v>
      </c>
      <c r="F35" s="12">
        <v>0</v>
      </c>
      <c r="K35" s="236" t="s">
        <v>1644</v>
      </c>
    </row>
    <row r="36" spans="1:11" x14ac:dyDescent="0.2">
      <c r="D36" s="12" t="s">
        <v>1199</v>
      </c>
      <c r="F36" s="12" t="s">
        <v>1629</v>
      </c>
      <c r="K36" s="236" t="s">
        <v>1649</v>
      </c>
    </row>
    <row r="37" spans="1:11" x14ac:dyDescent="0.2">
      <c r="D37" s="12"/>
      <c r="F37" s="12"/>
      <c r="K37" s="236" t="s">
        <v>1645</v>
      </c>
    </row>
    <row r="38" spans="1:11" x14ac:dyDescent="0.2">
      <c r="D38" s="219">
        <v>-112</v>
      </c>
      <c r="F38" s="235">
        <v>100</v>
      </c>
      <c r="K38" s="236" t="s">
        <v>1646</v>
      </c>
    </row>
    <row r="39" spans="1:11" x14ac:dyDescent="0.2">
      <c r="F39" s="12"/>
      <c r="K39" s="236" t="s">
        <v>1647</v>
      </c>
    </row>
    <row r="40" spans="1:11" x14ac:dyDescent="0.2">
      <c r="H40" s="1" t="s">
        <v>1638</v>
      </c>
      <c r="K40" s="236" t="s">
        <v>1648</v>
      </c>
    </row>
    <row r="41" spans="1:11" x14ac:dyDescent="0.2">
      <c r="H41" s="29"/>
      <c r="I41" s="29" t="s">
        <v>1639</v>
      </c>
    </row>
    <row r="43" spans="1:11" x14ac:dyDescent="0.2">
      <c r="A43" s="179" t="s">
        <v>1650</v>
      </c>
      <c r="B43" s="179"/>
      <c r="C43" s="179"/>
      <c r="D43" s="179"/>
      <c r="E43" s="179"/>
      <c r="F43" s="179"/>
      <c r="G43" s="179"/>
      <c r="H43" s="179"/>
    </row>
    <row r="45" spans="1:11" x14ac:dyDescent="0.2">
      <c r="A45" s="1" t="s">
        <v>1651</v>
      </c>
      <c r="I45" s="1" t="s">
        <v>1658</v>
      </c>
    </row>
    <row r="46" spans="1:11" x14ac:dyDescent="0.2">
      <c r="A46" s="1" t="s">
        <v>1652</v>
      </c>
      <c r="I46" s="1" t="s">
        <v>1659</v>
      </c>
    </row>
    <row r="47" spans="1:11" x14ac:dyDescent="0.2">
      <c r="A47" s="1" t="s">
        <v>1653</v>
      </c>
      <c r="I47" s="1" t="s">
        <v>1660</v>
      </c>
    </row>
    <row r="48" spans="1:11" x14ac:dyDescent="0.2">
      <c r="A48" s="1" t="s">
        <v>1654</v>
      </c>
      <c r="I48" s="1" t="s">
        <v>1661</v>
      </c>
    </row>
    <row r="49" spans="1:9" x14ac:dyDescent="0.2">
      <c r="I49" s="1" t="s">
        <v>1662</v>
      </c>
    </row>
    <row r="50" spans="1:9" x14ac:dyDescent="0.2">
      <c r="A50" s="1" t="s">
        <v>711</v>
      </c>
      <c r="I50" s="1" t="s">
        <v>1663</v>
      </c>
    </row>
    <row r="51" spans="1:9" x14ac:dyDescent="0.2">
      <c r="A51" s="1" t="s">
        <v>1655</v>
      </c>
      <c r="I51" s="1" t="s">
        <v>1664</v>
      </c>
    </row>
    <row r="52" spans="1:9" x14ac:dyDescent="0.2">
      <c r="A52" s="1" t="s">
        <v>1656</v>
      </c>
    </row>
    <row r="53" spans="1:9" ht="17" thickBot="1" x14ac:dyDescent="0.25"/>
    <row r="54" spans="1:9" ht="17" thickBot="1" x14ac:dyDescent="0.25">
      <c r="A54" s="101" t="s">
        <v>1657</v>
      </c>
      <c r="B54" s="6"/>
      <c r="C54" s="6"/>
      <c r="D54" s="6"/>
      <c r="E54" s="6"/>
      <c r="F54" s="6"/>
      <c r="G54" s="6"/>
      <c r="H54" s="7"/>
    </row>
    <row r="55" spans="1:9" x14ac:dyDescent="0.2">
      <c r="D55" s="12">
        <v>4</v>
      </c>
      <c r="F55" s="12">
        <v>0</v>
      </c>
    </row>
    <row r="56" spans="1:9" x14ac:dyDescent="0.2">
      <c r="D56" s="12" t="s">
        <v>1199</v>
      </c>
      <c r="F56" s="12" t="s">
        <v>1629</v>
      </c>
    </row>
    <row r="57" spans="1:9" x14ac:dyDescent="0.2">
      <c r="D57" s="12"/>
      <c r="F57" s="12"/>
    </row>
    <row r="58" spans="1:9" x14ac:dyDescent="0.2">
      <c r="D58" s="219"/>
      <c r="F58" s="235"/>
    </row>
    <row r="59" spans="1:9" x14ac:dyDescent="0.2">
      <c r="F59" s="12"/>
    </row>
    <row r="60" spans="1:9" x14ac:dyDescent="0.2">
      <c r="A60" s="1" t="s">
        <v>960</v>
      </c>
    </row>
    <row r="61" spans="1:9" x14ac:dyDescent="0.2">
      <c r="B61" s="1" t="s">
        <v>1636</v>
      </c>
    </row>
    <row r="62" spans="1:9" x14ac:dyDescent="0.2">
      <c r="B62" s="1" t="s">
        <v>1637</v>
      </c>
      <c r="H62" s="1">
        <f>188/143-1</f>
        <v>0.31468531468531458</v>
      </c>
    </row>
    <row r="64" spans="1:9" x14ac:dyDescent="0.2">
      <c r="H64" s="1" t="s">
        <v>1665</v>
      </c>
    </row>
    <row r="65" spans="1:9" x14ac:dyDescent="0.2">
      <c r="I65" s="237">
        <v>0.31468531500000002</v>
      </c>
    </row>
    <row r="67" spans="1:9" x14ac:dyDescent="0.2">
      <c r="H67" s="1" t="s">
        <v>1666</v>
      </c>
    </row>
    <row r="68" spans="1:9" x14ac:dyDescent="0.2">
      <c r="H68" s="1" t="s">
        <v>1667</v>
      </c>
    </row>
    <row r="69" spans="1:9" x14ac:dyDescent="0.2">
      <c r="H69" s="1" t="s">
        <v>1668</v>
      </c>
    </row>
    <row r="70" spans="1:9" x14ac:dyDescent="0.2">
      <c r="H70" s="1" t="s">
        <v>1669</v>
      </c>
    </row>
    <row r="71" spans="1:9" x14ac:dyDescent="0.2">
      <c r="H71" s="2" t="s">
        <v>1670</v>
      </c>
    </row>
    <row r="72" spans="1:9" ht="17" thickBot="1" x14ac:dyDescent="0.25"/>
    <row r="73" spans="1:9" ht="17" thickBot="1" x14ac:dyDescent="0.25">
      <c r="A73" s="101" t="s">
        <v>1671</v>
      </c>
      <c r="B73" s="6"/>
      <c r="C73" s="6"/>
      <c r="D73" s="6"/>
      <c r="E73" s="6"/>
      <c r="F73" s="6"/>
      <c r="G73" s="6"/>
      <c r="H73" s="7"/>
    </row>
    <row r="75" spans="1:9" x14ac:dyDescent="0.2">
      <c r="A75" s="1" t="s">
        <v>1672</v>
      </c>
    </row>
    <row r="76" spans="1:9" x14ac:dyDescent="0.2">
      <c r="A76" s="1" t="s">
        <v>1673</v>
      </c>
    </row>
    <row r="78" spans="1:9" x14ac:dyDescent="0.2">
      <c r="B78" s="238">
        <f>1.314685315^0.25-1</f>
        <v>7.0792826240431594E-2</v>
      </c>
    </row>
    <row r="81" spans="1:11" x14ac:dyDescent="0.2">
      <c r="B81" s="1" t="s">
        <v>1677</v>
      </c>
      <c r="E81" s="1" t="s">
        <v>1675</v>
      </c>
      <c r="G81" s="1" t="s">
        <v>1674</v>
      </c>
    </row>
    <row r="82" spans="1:11" x14ac:dyDescent="0.2">
      <c r="B82" s="1" t="s">
        <v>1678</v>
      </c>
      <c r="E82" s="1" t="s">
        <v>1676</v>
      </c>
    </row>
    <row r="84" spans="1:11" x14ac:dyDescent="0.2">
      <c r="A84" s="239" t="s">
        <v>1679</v>
      </c>
      <c r="B84" s="239"/>
      <c r="C84" s="239"/>
      <c r="D84" s="239"/>
      <c r="E84" s="239"/>
      <c r="F84" s="239"/>
      <c r="G84" s="239"/>
      <c r="H84" s="239"/>
    </row>
    <row r="86" spans="1:11" x14ac:dyDescent="0.2">
      <c r="A86" s="1" t="s">
        <v>1680</v>
      </c>
      <c r="H86" s="1" t="s">
        <v>1688</v>
      </c>
    </row>
    <row r="87" spans="1:11" x14ac:dyDescent="0.2">
      <c r="A87" s="1" t="s">
        <v>1681</v>
      </c>
      <c r="H87" s="1" t="s">
        <v>1689</v>
      </c>
    </row>
    <row r="88" spans="1:11" x14ac:dyDescent="0.2">
      <c r="A88" s="1" t="s">
        <v>1682</v>
      </c>
      <c r="H88" s="1" t="s">
        <v>1690</v>
      </c>
    </row>
    <row r="89" spans="1:11" x14ac:dyDescent="0.2">
      <c r="B89" s="1" t="s">
        <v>1683</v>
      </c>
      <c r="F89" s="127" t="s">
        <v>1694</v>
      </c>
      <c r="H89" s="1" t="s">
        <v>1691</v>
      </c>
    </row>
    <row r="90" spans="1:11" x14ac:dyDescent="0.2">
      <c r="B90" s="1" t="s">
        <v>1684</v>
      </c>
      <c r="F90" s="127" t="s">
        <v>1695</v>
      </c>
    </row>
    <row r="91" spans="1:11" x14ac:dyDescent="0.2">
      <c r="B91" s="1" t="s">
        <v>1685</v>
      </c>
      <c r="H91" s="1" t="s">
        <v>1692</v>
      </c>
    </row>
    <row r="92" spans="1:11" x14ac:dyDescent="0.2">
      <c r="A92" s="1" t="s">
        <v>1686</v>
      </c>
      <c r="H92" s="1" t="s">
        <v>1693</v>
      </c>
    </row>
    <row r="93" spans="1:11" x14ac:dyDescent="0.2">
      <c r="A93" s="2" t="s">
        <v>1687</v>
      </c>
    </row>
    <row r="94" spans="1:11" ht="17" thickBot="1" x14ac:dyDescent="0.25"/>
    <row r="95" spans="1:11" ht="17" thickBot="1" x14ac:dyDescent="0.25">
      <c r="A95" s="242" t="s">
        <v>1068</v>
      </c>
      <c r="B95" s="241">
        <f>470/368-1</f>
        <v>0.27717391304347827</v>
      </c>
      <c r="H95" s="77" t="s">
        <v>1712</v>
      </c>
      <c r="I95" s="82"/>
      <c r="J95" s="82"/>
      <c r="K95" s="82"/>
    </row>
    <row r="97" spans="1:11" x14ac:dyDescent="0.2">
      <c r="A97" s="1" t="s">
        <v>1696</v>
      </c>
    </row>
    <row r="98" spans="1:11" x14ac:dyDescent="0.2">
      <c r="A98" s="1" t="s">
        <v>1697</v>
      </c>
    </row>
    <row r="99" spans="1:11" x14ac:dyDescent="0.2">
      <c r="A99" s="1" t="s">
        <v>1698</v>
      </c>
      <c r="C99" s="1" t="s">
        <v>1699</v>
      </c>
      <c r="D99" s="86">
        <v>400000</v>
      </c>
    </row>
    <row r="100" spans="1:11" x14ac:dyDescent="0.2">
      <c r="C100" s="1" t="s">
        <v>1700</v>
      </c>
      <c r="D100" s="86">
        <v>30000</v>
      </c>
    </row>
    <row r="101" spans="1:11" x14ac:dyDescent="0.2">
      <c r="C101" s="1" t="s">
        <v>1701</v>
      </c>
      <c r="D101" s="86">
        <v>40000</v>
      </c>
      <c r="F101" s="1" t="s">
        <v>1702</v>
      </c>
    </row>
    <row r="102" spans="1:11" x14ac:dyDescent="0.2">
      <c r="C102" s="12" t="s">
        <v>1703</v>
      </c>
      <c r="D102" s="240">
        <f>SUM(D99:D101)</f>
        <v>470000</v>
      </c>
    </row>
    <row r="103" spans="1:11" x14ac:dyDescent="0.2">
      <c r="D103" s="86"/>
    </row>
    <row r="104" spans="1:11" x14ac:dyDescent="0.2">
      <c r="A104" s="1" t="s">
        <v>1704</v>
      </c>
      <c r="D104" s="86"/>
    </row>
    <row r="105" spans="1:11" x14ac:dyDescent="0.2">
      <c r="A105" s="1" t="s">
        <v>1705</v>
      </c>
      <c r="D105" s="86"/>
    </row>
    <row r="107" spans="1:11" x14ac:dyDescent="0.2">
      <c r="A107" s="1" t="s">
        <v>1706</v>
      </c>
      <c r="C107" s="1" t="s">
        <v>1699</v>
      </c>
      <c r="D107" s="86">
        <f>D99</f>
        <v>400000</v>
      </c>
      <c r="F107" s="1" t="s">
        <v>1709</v>
      </c>
    </row>
    <row r="108" spans="1:11" x14ac:dyDescent="0.2">
      <c r="C108" s="1" t="s">
        <v>1707</v>
      </c>
      <c r="D108" s="86">
        <v>-32000</v>
      </c>
      <c r="F108" s="1" t="s">
        <v>1710</v>
      </c>
    </row>
    <row r="109" spans="1:11" x14ac:dyDescent="0.2">
      <c r="C109" s="12" t="s">
        <v>1708</v>
      </c>
      <c r="D109" s="240">
        <f>D107+D108</f>
        <v>368000</v>
      </c>
      <c r="F109" s="1" t="s">
        <v>1711</v>
      </c>
    </row>
    <row r="112" spans="1:11" x14ac:dyDescent="0.2">
      <c r="A112" s="1" t="s">
        <v>1069</v>
      </c>
      <c r="B112" s="238">
        <f>(1+B95)^(1/6)-1</f>
        <v>4.1617672925423621E-2</v>
      </c>
      <c r="H112" s="75" t="s">
        <v>1714</v>
      </c>
      <c r="I112" s="75"/>
      <c r="J112" s="75"/>
      <c r="K112" s="75"/>
    </row>
    <row r="114" spans="1:8" x14ac:dyDescent="0.2">
      <c r="A114" s="1" t="s">
        <v>1713</v>
      </c>
    </row>
    <row r="120" spans="1:8" x14ac:dyDescent="0.2">
      <c r="G120" s="1" t="s">
        <v>955</v>
      </c>
    </row>
    <row r="121" spans="1:8" x14ac:dyDescent="0.2">
      <c r="G121" s="1" t="s">
        <v>952</v>
      </c>
    </row>
    <row r="122" spans="1:8" x14ac:dyDescent="0.2">
      <c r="G122" s="1" t="s">
        <v>953</v>
      </c>
    </row>
    <row r="123" spans="1:8" x14ac:dyDescent="0.2">
      <c r="G123" s="1" t="s">
        <v>954</v>
      </c>
    </row>
    <row r="126" spans="1:8" ht="17" thickBot="1" x14ac:dyDescent="0.25"/>
    <row r="127" spans="1:8" ht="17" thickBot="1" x14ac:dyDescent="0.25">
      <c r="A127" s="3" t="s">
        <v>1715</v>
      </c>
      <c r="B127" s="6"/>
      <c r="C127" s="6"/>
      <c r="D127" s="6"/>
      <c r="E127" s="6"/>
      <c r="F127" s="6"/>
      <c r="G127" s="6"/>
      <c r="H127" s="7"/>
    </row>
    <row r="128" spans="1:8" x14ac:dyDescent="0.2">
      <c r="A128" s="1" t="s">
        <v>1716</v>
      </c>
    </row>
    <row r="129" spans="1:8" x14ac:dyDescent="0.2">
      <c r="A129" s="1" t="s">
        <v>1717</v>
      </c>
    </row>
    <row r="130" spans="1:8" x14ac:dyDescent="0.2">
      <c r="A130" s="1" t="s">
        <v>1718</v>
      </c>
    </row>
    <row r="131" spans="1:8" x14ac:dyDescent="0.2">
      <c r="A131" s="1" t="s">
        <v>1720</v>
      </c>
    </row>
    <row r="132" spans="1:8" x14ac:dyDescent="0.2">
      <c r="A132" s="1" t="s">
        <v>1719</v>
      </c>
    </row>
    <row r="133" spans="1:8" ht="17" thickBot="1" x14ac:dyDescent="0.25"/>
    <row r="134" spans="1:8" ht="17" thickBot="1" x14ac:dyDescent="0.25">
      <c r="A134" s="3" t="s">
        <v>1005</v>
      </c>
      <c r="B134" s="4"/>
      <c r="C134" s="4"/>
      <c r="D134" s="4"/>
      <c r="E134" s="4"/>
      <c r="F134" s="4"/>
      <c r="G134" s="4"/>
      <c r="H134" s="5"/>
    </row>
    <row r="135" spans="1:8" x14ac:dyDescent="0.2">
      <c r="A135" s="1" t="s">
        <v>956</v>
      </c>
    </row>
    <row r="136" spans="1:8" x14ac:dyDescent="0.2">
      <c r="A136" s="1" t="s">
        <v>1721</v>
      </c>
    </row>
    <row r="137" spans="1:8" ht="17" thickBot="1" x14ac:dyDescent="0.25">
      <c r="A137" s="1" t="s">
        <v>711</v>
      </c>
    </row>
    <row r="138" spans="1:8" x14ac:dyDescent="0.2">
      <c r="A138" s="1" t="s">
        <v>957</v>
      </c>
      <c r="E138" s="363" t="s">
        <v>958</v>
      </c>
      <c r="F138" s="364"/>
      <c r="G138" s="364"/>
      <c r="H138" s="365"/>
    </row>
    <row r="139" spans="1:8" ht="17" thickBot="1" x14ac:dyDescent="0.25">
      <c r="A139" s="1" t="s">
        <v>1722</v>
      </c>
      <c r="E139" s="366"/>
      <c r="F139" s="367"/>
      <c r="G139" s="367"/>
      <c r="H139" s="368"/>
    </row>
    <row r="140" spans="1:8" x14ac:dyDescent="0.2">
      <c r="E140" s="12"/>
      <c r="F140" s="12"/>
      <c r="G140" s="12"/>
      <c r="H140" s="12"/>
    </row>
    <row r="141" spans="1:8" x14ac:dyDescent="0.2">
      <c r="A141" s="29" t="s">
        <v>1733</v>
      </c>
      <c r="B141" s="29"/>
      <c r="E141" s="12"/>
      <c r="F141" s="12"/>
      <c r="G141" s="12"/>
      <c r="H141" s="12"/>
    </row>
    <row r="142" spans="1:8" x14ac:dyDescent="0.2">
      <c r="A142" s="1" t="s">
        <v>1736</v>
      </c>
      <c r="E142" s="12"/>
      <c r="F142" s="12"/>
      <c r="G142" s="12"/>
      <c r="H142" s="12"/>
    </row>
    <row r="143" spans="1:8" x14ac:dyDescent="0.2">
      <c r="A143" s="1" t="s">
        <v>1737</v>
      </c>
      <c r="E143" s="12"/>
      <c r="F143" s="12"/>
      <c r="G143" s="12"/>
      <c r="H143" s="12"/>
    </row>
    <row r="144" spans="1:8" x14ac:dyDescent="0.2">
      <c r="A144" s="1" t="s">
        <v>1723</v>
      </c>
      <c r="E144" s="12"/>
      <c r="F144" s="12"/>
      <c r="G144" s="12"/>
      <c r="H144" s="12" t="s">
        <v>1724</v>
      </c>
    </row>
    <row r="145" spans="1:8" x14ac:dyDescent="0.2">
      <c r="A145" s="1" t="s">
        <v>1725</v>
      </c>
      <c r="E145" s="12"/>
      <c r="F145" s="12"/>
      <c r="G145" s="12"/>
      <c r="H145" s="12"/>
    </row>
    <row r="146" spans="1:8" x14ac:dyDescent="0.2">
      <c r="A146" s="1" t="s">
        <v>1726</v>
      </c>
      <c r="E146" s="12"/>
      <c r="F146" s="12"/>
      <c r="G146" s="12"/>
      <c r="H146" s="12"/>
    </row>
    <row r="147" spans="1:8" x14ac:dyDescent="0.2">
      <c r="A147" s="1" t="s">
        <v>1727</v>
      </c>
      <c r="E147" s="12"/>
      <c r="F147" s="12"/>
      <c r="G147" s="12"/>
      <c r="H147" s="12"/>
    </row>
    <row r="148" spans="1:8" x14ac:dyDescent="0.2">
      <c r="E148" s="12"/>
      <c r="F148" s="12"/>
      <c r="G148" s="12"/>
      <c r="H148" s="12"/>
    </row>
    <row r="149" spans="1:8" x14ac:dyDescent="0.2">
      <c r="A149" s="1" t="s">
        <v>1728</v>
      </c>
      <c r="E149" s="12"/>
      <c r="F149" s="12" t="s">
        <v>1729</v>
      </c>
      <c r="G149" s="12"/>
      <c r="H149" s="12"/>
    </row>
    <row r="150" spans="1:8" x14ac:dyDescent="0.2">
      <c r="A150" s="1" t="s">
        <v>1730</v>
      </c>
      <c r="E150" s="12"/>
      <c r="F150" s="12"/>
      <c r="H150" s="12"/>
    </row>
    <row r="151" spans="1:8" x14ac:dyDescent="0.2">
      <c r="A151" s="1" t="s">
        <v>1732</v>
      </c>
      <c r="E151" s="90">
        <f>100*1.025^4</f>
        <v>110.38128906249997</v>
      </c>
      <c r="F151" s="12"/>
      <c r="G151" s="12" t="s">
        <v>1731</v>
      </c>
      <c r="H151" s="12"/>
    </row>
    <row r="152" spans="1:8" x14ac:dyDescent="0.2">
      <c r="A152" s="1" t="s">
        <v>1734</v>
      </c>
      <c r="E152" s="12"/>
      <c r="F152" s="12"/>
      <c r="G152" s="12"/>
      <c r="H152" s="12"/>
    </row>
    <row r="153" spans="1:8" x14ac:dyDescent="0.2">
      <c r="A153" s="1" t="s">
        <v>1735</v>
      </c>
      <c r="E153" s="12"/>
      <c r="F153" s="12"/>
      <c r="G153" s="12"/>
      <c r="H153" s="12"/>
    </row>
    <row r="154" spans="1:8" x14ac:dyDescent="0.2">
      <c r="E154" s="12"/>
      <c r="F154" s="12"/>
      <c r="G154" s="12"/>
      <c r="H154" s="12"/>
    </row>
    <row r="155" spans="1:8" x14ac:dyDescent="0.2">
      <c r="A155" s="1" t="s">
        <v>1739</v>
      </c>
      <c r="E155" s="12"/>
      <c r="F155" s="12"/>
      <c r="G155" s="12"/>
      <c r="H155" s="12"/>
    </row>
    <row r="156" spans="1:8" x14ac:dyDescent="0.2">
      <c r="A156" s="1" t="s">
        <v>1738</v>
      </c>
      <c r="E156" s="12"/>
      <c r="F156" s="12"/>
      <c r="G156" s="12"/>
      <c r="H156" s="12"/>
    </row>
    <row r="157" spans="1:8" x14ac:dyDescent="0.2">
      <c r="E157" s="12"/>
      <c r="F157" s="12"/>
      <c r="G157" s="12"/>
      <c r="H157" s="12"/>
    </row>
    <row r="158" spans="1:8" x14ac:dyDescent="0.2">
      <c r="E158" s="12"/>
      <c r="F158" s="12"/>
      <c r="G158" s="12"/>
      <c r="H158" s="12"/>
    </row>
    <row r="159" spans="1:8" x14ac:dyDescent="0.2">
      <c r="A159" s="1" t="s">
        <v>960</v>
      </c>
      <c r="E159" s="12"/>
      <c r="F159" s="12"/>
      <c r="G159" s="12"/>
      <c r="H159" s="12"/>
    </row>
    <row r="160" spans="1:8" x14ac:dyDescent="0.2">
      <c r="B160" s="1" t="s">
        <v>1740</v>
      </c>
      <c r="E160" s="12"/>
      <c r="F160" s="12"/>
      <c r="G160" s="12"/>
      <c r="H160" s="12"/>
    </row>
    <row r="161" spans="1:8" x14ac:dyDescent="0.2">
      <c r="B161" s="1" t="s">
        <v>1741</v>
      </c>
      <c r="E161" s="12"/>
      <c r="F161" s="12"/>
      <c r="G161" s="12"/>
      <c r="H161" s="12"/>
    </row>
    <row r="162" spans="1:8" x14ac:dyDescent="0.2">
      <c r="B162" s="1" t="s">
        <v>1742</v>
      </c>
      <c r="E162" s="12"/>
      <c r="F162" s="12"/>
      <c r="G162" s="12"/>
      <c r="H162" s="12"/>
    </row>
    <row r="163" spans="1:8" x14ac:dyDescent="0.2">
      <c r="C163" s="1" t="s">
        <v>1743</v>
      </c>
      <c r="E163" s="12"/>
      <c r="F163" s="12"/>
      <c r="G163" s="12"/>
      <c r="H163" s="12"/>
    </row>
    <row r="164" spans="1:8" x14ac:dyDescent="0.2">
      <c r="C164" s="1" t="s">
        <v>1744</v>
      </c>
      <c r="E164" s="12"/>
      <c r="F164" s="12"/>
      <c r="G164" s="12"/>
      <c r="H164" s="12"/>
    </row>
    <row r="165" spans="1:8" x14ac:dyDescent="0.2">
      <c r="C165" s="1" t="s">
        <v>1748</v>
      </c>
      <c r="E165" s="12"/>
      <c r="F165" s="12"/>
      <c r="G165" s="12"/>
      <c r="H165" s="12"/>
    </row>
    <row r="166" spans="1:8" x14ac:dyDescent="0.2">
      <c r="B166" s="1" t="s">
        <v>1746</v>
      </c>
      <c r="E166" s="12"/>
      <c r="F166" s="12"/>
      <c r="G166" s="12"/>
      <c r="H166" s="12"/>
    </row>
    <row r="167" spans="1:8" x14ac:dyDescent="0.2">
      <c r="C167" s="1" t="s">
        <v>1745</v>
      </c>
      <c r="E167" s="12"/>
      <c r="F167" s="12"/>
      <c r="G167" s="12"/>
      <c r="H167" s="12"/>
    </row>
    <row r="168" spans="1:8" x14ac:dyDescent="0.2">
      <c r="C168" s="1" t="s">
        <v>1747</v>
      </c>
      <c r="E168" s="12"/>
      <c r="F168" s="12"/>
      <c r="G168" s="12"/>
      <c r="H168" s="12"/>
    </row>
    <row r="169" spans="1:8" x14ac:dyDescent="0.2">
      <c r="C169" s="1" t="s">
        <v>1749</v>
      </c>
      <c r="E169" s="12"/>
      <c r="F169" s="12"/>
      <c r="G169" s="12"/>
      <c r="H169" s="12"/>
    </row>
    <row r="170" spans="1:8" x14ac:dyDescent="0.2">
      <c r="E170" s="12"/>
      <c r="F170" s="12"/>
      <c r="G170" s="12"/>
      <c r="H170" s="12"/>
    </row>
    <row r="171" spans="1:8" x14ac:dyDescent="0.2">
      <c r="E171" s="369">
        <f>100*1.025^4</f>
        <v>110.38128906249997</v>
      </c>
      <c r="F171" s="12"/>
      <c r="G171" s="12"/>
      <c r="H171" s="12"/>
    </row>
    <row r="172" spans="1:8" x14ac:dyDescent="0.2">
      <c r="E172" s="369"/>
      <c r="F172" s="12"/>
      <c r="G172" s="12"/>
      <c r="H172" s="12"/>
    </row>
    <row r="173" spans="1:8" ht="17" thickBot="1" x14ac:dyDescent="0.25">
      <c r="E173" s="12"/>
      <c r="F173" s="12"/>
      <c r="G173" s="12"/>
      <c r="H173" s="12"/>
    </row>
    <row r="174" spans="1:8" ht="17" thickBot="1" x14ac:dyDescent="0.25">
      <c r="A174" s="3" t="s">
        <v>1750</v>
      </c>
      <c r="B174" s="6"/>
      <c r="C174" s="6"/>
      <c r="D174" s="6"/>
      <c r="E174" s="102"/>
      <c r="F174" s="102"/>
      <c r="G174" s="102"/>
      <c r="H174" s="243"/>
    </row>
    <row r="175" spans="1:8" x14ac:dyDescent="0.2">
      <c r="E175" s="12"/>
      <c r="F175" s="12"/>
      <c r="G175" s="12"/>
      <c r="H175" s="12"/>
    </row>
    <row r="176" spans="1:8" x14ac:dyDescent="0.2">
      <c r="A176" s="1" t="s">
        <v>1751</v>
      </c>
      <c r="E176" s="12"/>
      <c r="F176" s="12"/>
      <c r="G176" s="12"/>
      <c r="H176" s="12"/>
    </row>
    <row r="177" spans="1:8" x14ac:dyDescent="0.2">
      <c r="A177" s="1" t="s">
        <v>1752</v>
      </c>
      <c r="E177" s="12"/>
      <c r="F177" s="12"/>
      <c r="G177" s="12"/>
      <c r="H177" s="12"/>
    </row>
    <row r="178" spans="1:8" x14ac:dyDescent="0.2">
      <c r="E178" s="12"/>
      <c r="F178" s="12"/>
      <c r="G178" s="12"/>
      <c r="H178" s="12"/>
    </row>
    <row r="179" spans="1:8" x14ac:dyDescent="0.2">
      <c r="A179" s="1" t="s">
        <v>1753</v>
      </c>
      <c r="E179" s="12"/>
      <c r="F179" s="12"/>
      <c r="G179" s="12"/>
      <c r="H179" s="12"/>
    </row>
    <row r="180" spans="1:8" x14ac:dyDescent="0.2">
      <c r="A180" s="1" t="s">
        <v>1754</v>
      </c>
      <c r="E180" s="12"/>
      <c r="F180" s="12"/>
      <c r="G180" s="12"/>
      <c r="H180" s="12"/>
    </row>
    <row r="181" spans="1:8" x14ac:dyDescent="0.2">
      <c r="E181" s="12"/>
      <c r="F181" s="12"/>
      <c r="G181" s="12"/>
      <c r="H181" s="12"/>
    </row>
    <row r="182" spans="1:8" x14ac:dyDescent="0.2">
      <c r="C182" s="370">
        <f>10.3812891%</f>
        <v>0.103812891</v>
      </c>
      <c r="E182" s="12"/>
      <c r="F182" s="12"/>
      <c r="G182" s="12"/>
      <c r="H182" s="12"/>
    </row>
    <row r="183" spans="1:8" x14ac:dyDescent="0.2">
      <c r="C183" s="370"/>
      <c r="E183" s="12"/>
      <c r="F183" s="12"/>
      <c r="G183" s="12"/>
      <c r="H183" s="12"/>
    </row>
    <row r="184" spans="1:8" x14ac:dyDescent="0.2">
      <c r="A184" s="14"/>
      <c r="B184" s="14"/>
      <c r="C184" s="14"/>
      <c r="D184" s="14"/>
      <c r="E184" s="55"/>
      <c r="F184" s="55"/>
      <c r="G184" s="55"/>
      <c r="H184" s="55"/>
    </row>
    <row r="185" spans="1:8" x14ac:dyDescent="0.2">
      <c r="A185" s="14" t="s">
        <v>1755</v>
      </c>
      <c r="B185" s="14"/>
      <c r="C185" s="14"/>
      <c r="D185" s="14"/>
      <c r="E185" s="55"/>
      <c r="F185" s="55"/>
      <c r="G185" s="55"/>
      <c r="H185" s="55"/>
    </row>
    <row r="186" spans="1:8" x14ac:dyDescent="0.2">
      <c r="A186" s="14" t="s">
        <v>1756</v>
      </c>
      <c r="B186" s="14"/>
      <c r="C186" s="14"/>
      <c r="D186" s="14"/>
      <c r="E186" s="55"/>
      <c r="F186" s="55"/>
      <c r="G186" s="55"/>
      <c r="H186" s="55"/>
    </row>
    <row r="187" spans="1:8" x14ac:dyDescent="0.2">
      <c r="E187" s="12"/>
      <c r="F187" s="12"/>
      <c r="G187" s="12"/>
      <c r="H187" s="12"/>
    </row>
    <row r="188" spans="1:8" x14ac:dyDescent="0.2">
      <c r="A188" s="1" t="s">
        <v>1757</v>
      </c>
      <c r="E188" s="12"/>
      <c r="F188" s="12"/>
      <c r="G188" s="12"/>
      <c r="H188" s="12"/>
    </row>
    <row r="189" spans="1:8" x14ac:dyDescent="0.2">
      <c r="A189" s="1" t="s">
        <v>1758</v>
      </c>
      <c r="E189" s="12"/>
      <c r="F189" s="12"/>
      <c r="G189" s="12"/>
      <c r="H189" s="12"/>
    </row>
    <row r="190" spans="1:8" x14ac:dyDescent="0.2">
      <c r="A190" s="12"/>
      <c r="E190" s="12"/>
      <c r="F190" s="12"/>
      <c r="G190" s="12"/>
      <c r="H190" s="12"/>
    </row>
    <row r="191" spans="1:8" x14ac:dyDescent="0.2">
      <c r="A191" s="12"/>
      <c r="B191" s="12" t="s">
        <v>1759</v>
      </c>
      <c r="C191" s="1" t="s">
        <v>1760</v>
      </c>
      <c r="E191" s="12"/>
      <c r="F191" s="12"/>
      <c r="G191" s="12"/>
      <c r="H191" s="12"/>
    </row>
    <row r="192" spans="1:8" x14ac:dyDescent="0.2">
      <c r="A192" s="244">
        <v>0.1</v>
      </c>
      <c r="B192" s="12" t="s">
        <v>1761</v>
      </c>
      <c r="C192" s="1" t="s">
        <v>1762</v>
      </c>
      <c r="E192" s="12"/>
      <c r="F192" s="12"/>
      <c r="G192" s="12"/>
      <c r="H192" s="12"/>
    </row>
    <row r="193" spans="1:9" x14ac:dyDescent="0.2">
      <c r="A193" s="12">
        <v>4</v>
      </c>
      <c r="B193" s="12" t="s">
        <v>45</v>
      </c>
      <c r="C193" s="1" t="s">
        <v>1763</v>
      </c>
      <c r="E193" s="12"/>
      <c r="F193" s="12"/>
      <c r="G193" s="12"/>
      <c r="H193" s="12"/>
    </row>
    <row r="194" spans="1:9" x14ac:dyDescent="0.2">
      <c r="A194" s="12">
        <v>4</v>
      </c>
      <c r="B194" s="12" t="s">
        <v>1764</v>
      </c>
      <c r="C194" s="1" t="s">
        <v>1765</v>
      </c>
      <c r="E194" s="12"/>
      <c r="F194" s="12"/>
      <c r="G194" s="12"/>
      <c r="H194" s="12"/>
    </row>
    <row r="195" spans="1:9" x14ac:dyDescent="0.2">
      <c r="E195" s="12"/>
      <c r="F195" s="12"/>
      <c r="G195" s="12"/>
      <c r="H195" s="12"/>
    </row>
    <row r="196" spans="1:9" x14ac:dyDescent="0.2">
      <c r="D196" s="245">
        <f>C182</f>
        <v>0.103812891</v>
      </c>
      <c r="E196" s="12"/>
      <c r="F196" s="12"/>
      <c r="G196" s="12"/>
      <c r="H196" s="12"/>
    </row>
    <row r="197" spans="1:9" x14ac:dyDescent="0.2">
      <c r="E197" s="12"/>
      <c r="F197" s="12"/>
      <c r="G197" s="12"/>
      <c r="H197" s="12"/>
    </row>
    <row r="198" spans="1:9" x14ac:dyDescent="0.2">
      <c r="A198" s="239" t="s">
        <v>1766</v>
      </c>
      <c r="B198" s="239"/>
      <c r="C198" s="239"/>
      <c r="D198" s="239"/>
      <c r="E198" s="246"/>
      <c r="F198" s="246"/>
      <c r="G198" s="246"/>
      <c r="H198" s="246"/>
      <c r="I198" s="239"/>
    </row>
    <row r="199" spans="1:9" x14ac:dyDescent="0.2">
      <c r="E199" s="12"/>
      <c r="F199" s="12"/>
      <c r="G199" s="12"/>
      <c r="H199" s="12"/>
    </row>
    <row r="200" spans="1:9" x14ac:dyDescent="0.2">
      <c r="A200" s="1" t="s">
        <v>1767</v>
      </c>
      <c r="E200" s="12"/>
      <c r="F200" s="12"/>
      <c r="G200" s="12"/>
      <c r="H200" s="12"/>
    </row>
    <row r="201" spans="1:9" x14ac:dyDescent="0.2">
      <c r="A201" s="1" t="s">
        <v>1768</v>
      </c>
      <c r="E201" s="12"/>
      <c r="F201" s="12"/>
      <c r="G201" s="12"/>
      <c r="H201" s="12"/>
    </row>
    <row r="202" spans="1:9" x14ac:dyDescent="0.2">
      <c r="A202" s="1" t="s">
        <v>1769</v>
      </c>
      <c r="E202" s="12"/>
      <c r="F202" s="12"/>
      <c r="G202" s="12"/>
      <c r="H202" s="12"/>
    </row>
    <row r="203" spans="1:9" x14ac:dyDescent="0.2">
      <c r="A203" s="1" t="s">
        <v>711</v>
      </c>
      <c r="E203" s="12"/>
      <c r="F203" s="12"/>
      <c r="G203" s="12"/>
      <c r="H203" s="12"/>
    </row>
    <row r="204" spans="1:9" x14ac:dyDescent="0.2">
      <c r="A204" s="1" t="s">
        <v>1770</v>
      </c>
      <c r="E204" s="12"/>
      <c r="F204" s="12"/>
      <c r="G204" s="12"/>
      <c r="H204" s="12"/>
    </row>
    <row r="205" spans="1:9" x14ac:dyDescent="0.2">
      <c r="A205" s="1" t="s">
        <v>1771</v>
      </c>
      <c r="E205" s="12"/>
      <c r="F205" s="12"/>
      <c r="G205" s="12"/>
      <c r="H205" s="12"/>
    </row>
    <row r="206" spans="1:9" x14ac:dyDescent="0.2">
      <c r="E206" s="12"/>
      <c r="F206" s="12"/>
      <c r="G206" s="12"/>
      <c r="H206" s="12"/>
    </row>
    <row r="207" spans="1:9" x14ac:dyDescent="0.2">
      <c r="A207" s="1" t="s">
        <v>27</v>
      </c>
      <c r="E207" s="12"/>
      <c r="F207" s="12"/>
      <c r="G207" s="12"/>
      <c r="H207" s="12"/>
    </row>
    <row r="208" spans="1:9" x14ac:dyDescent="0.2">
      <c r="E208" s="12"/>
      <c r="F208" s="12"/>
      <c r="G208" s="12"/>
      <c r="H208" s="12"/>
    </row>
    <row r="209" spans="1:9" x14ac:dyDescent="0.2">
      <c r="A209" s="1" t="s">
        <v>1772</v>
      </c>
      <c r="E209" s="12"/>
      <c r="F209" s="12"/>
      <c r="G209" s="12"/>
      <c r="H209" s="12"/>
    </row>
    <row r="210" spans="1:9" x14ac:dyDescent="0.2">
      <c r="A210" s="1" t="s">
        <v>1773</v>
      </c>
      <c r="E210" s="12"/>
      <c r="F210" s="12"/>
      <c r="G210" s="12"/>
      <c r="H210" s="12"/>
    </row>
    <row r="211" spans="1:9" x14ac:dyDescent="0.2">
      <c r="E211" s="12"/>
      <c r="F211" s="12"/>
      <c r="G211" s="12"/>
      <c r="H211" s="12"/>
    </row>
    <row r="212" spans="1:9" x14ac:dyDescent="0.2">
      <c r="A212" s="1" t="s">
        <v>1774</v>
      </c>
      <c r="E212" s="12"/>
      <c r="F212" s="12"/>
      <c r="G212" s="12"/>
      <c r="H212" s="12"/>
    </row>
    <row r="213" spans="1:9" x14ac:dyDescent="0.2">
      <c r="A213" s="12" t="s">
        <v>1759</v>
      </c>
      <c r="B213" s="1" t="s">
        <v>1760</v>
      </c>
      <c r="E213" s="12"/>
      <c r="F213" s="12"/>
      <c r="G213" s="12"/>
      <c r="H213" s="12"/>
    </row>
    <row r="214" spans="1:9" x14ac:dyDescent="0.2">
      <c r="A214" s="12" t="s">
        <v>1761</v>
      </c>
      <c r="B214" s="1" t="s">
        <v>1762</v>
      </c>
      <c r="E214" s="12"/>
      <c r="F214" s="12"/>
      <c r="G214" s="12"/>
      <c r="H214" s="12"/>
    </row>
    <row r="215" spans="1:9" x14ac:dyDescent="0.2">
      <c r="A215" s="12" t="s">
        <v>45</v>
      </c>
      <c r="B215" s="1" t="s">
        <v>1763</v>
      </c>
      <c r="E215" s="12"/>
      <c r="F215" s="12"/>
      <c r="G215" s="12"/>
      <c r="H215" s="12"/>
    </row>
    <row r="216" spans="1:9" x14ac:dyDescent="0.2">
      <c r="A216" s="12" t="s">
        <v>1764</v>
      </c>
      <c r="B216" s="1" t="s">
        <v>1765</v>
      </c>
      <c r="E216" s="12"/>
      <c r="F216" s="12"/>
      <c r="G216" s="12"/>
      <c r="H216" s="12"/>
    </row>
    <row r="217" spans="1:9" ht="17" thickBot="1" x14ac:dyDescent="0.25">
      <c r="E217" s="12"/>
      <c r="F217" s="12"/>
      <c r="G217" s="12"/>
      <c r="H217" s="12"/>
    </row>
    <row r="218" spans="1:9" ht="17" thickBot="1" x14ac:dyDescent="0.25">
      <c r="A218" s="101" t="s">
        <v>1770</v>
      </c>
      <c r="B218" s="6"/>
      <c r="C218" s="6"/>
      <c r="D218" s="6"/>
      <c r="E218" s="102"/>
      <c r="F218" s="102"/>
      <c r="G218" s="102"/>
      <c r="H218" s="102"/>
      <c r="I218" s="7"/>
    </row>
    <row r="219" spans="1:9" x14ac:dyDescent="0.2">
      <c r="E219" s="12"/>
      <c r="F219" s="12"/>
      <c r="G219" s="12"/>
      <c r="H219" s="12"/>
    </row>
    <row r="220" spans="1:9" x14ac:dyDescent="0.2">
      <c r="E220" s="12"/>
      <c r="F220" s="12"/>
      <c r="G220" s="12"/>
      <c r="H220" s="12"/>
    </row>
    <row r="221" spans="1:9" x14ac:dyDescent="0.2">
      <c r="E221" s="12"/>
      <c r="F221" s="12"/>
      <c r="G221" s="12"/>
      <c r="H221" s="12"/>
    </row>
    <row r="222" spans="1:9" x14ac:dyDescent="0.2">
      <c r="A222" s="12" t="s">
        <v>1759</v>
      </c>
      <c r="B222" s="1" t="s">
        <v>1760</v>
      </c>
      <c r="E222" s="12"/>
      <c r="F222" s="12"/>
      <c r="G222" s="12"/>
      <c r="H222" s="12"/>
    </row>
    <row r="223" spans="1:9" x14ac:dyDescent="0.2">
      <c r="A223" s="12" t="s">
        <v>1761</v>
      </c>
      <c r="B223" s="1" t="s">
        <v>1762</v>
      </c>
      <c r="G223" s="244">
        <v>0.12</v>
      </c>
      <c r="H223" s="12" t="s">
        <v>1775</v>
      </c>
    </row>
    <row r="224" spans="1:9" x14ac:dyDescent="0.2">
      <c r="A224" s="12" t="s">
        <v>45</v>
      </c>
      <c r="B224" s="1" t="s">
        <v>1763</v>
      </c>
      <c r="E224" s="12"/>
      <c r="F224" s="12"/>
      <c r="G224" s="33" t="s">
        <v>1776</v>
      </c>
      <c r="H224" s="12"/>
    </row>
    <row r="225" spans="1:9" x14ac:dyDescent="0.2">
      <c r="A225" s="12" t="s">
        <v>1764</v>
      </c>
      <c r="B225" s="1" t="s">
        <v>1765</v>
      </c>
      <c r="E225" s="12"/>
      <c r="F225" s="12"/>
      <c r="G225" s="33" t="s">
        <v>1777</v>
      </c>
      <c r="H225" s="12"/>
    </row>
    <row r="226" spans="1:9" ht="17" thickBot="1" x14ac:dyDescent="0.25">
      <c r="E226" s="12"/>
      <c r="F226" s="12"/>
      <c r="G226" s="12"/>
      <c r="H226" s="12"/>
    </row>
    <row r="227" spans="1:9" ht="17" thickBot="1" x14ac:dyDescent="0.25">
      <c r="A227" s="101" t="s">
        <v>1780</v>
      </c>
      <c r="B227" s="6"/>
      <c r="C227" s="6"/>
      <c r="D227" s="6"/>
      <c r="E227" s="102"/>
      <c r="F227" s="102"/>
      <c r="G227" s="102"/>
      <c r="H227" s="102"/>
      <c r="I227" s="7"/>
    </row>
    <row r="228" spans="1:9" x14ac:dyDescent="0.2">
      <c r="E228" s="12"/>
      <c r="F228" s="12"/>
      <c r="G228" s="12"/>
      <c r="H228" s="12"/>
    </row>
    <row r="229" spans="1:9" x14ac:dyDescent="0.2">
      <c r="E229" s="12"/>
      <c r="F229" s="12"/>
      <c r="G229" s="12"/>
      <c r="H229" s="12"/>
    </row>
    <row r="230" spans="1:9" x14ac:dyDescent="0.2">
      <c r="D230" s="247">
        <f>(1+8%/6)^12-1</f>
        <v>0.17227079825887714</v>
      </c>
      <c r="E230" s="12"/>
      <c r="F230" s="12"/>
      <c r="G230" s="12"/>
      <c r="H230" s="12"/>
    </row>
    <row r="231" spans="1:9" x14ac:dyDescent="0.2">
      <c r="E231" s="12"/>
      <c r="F231" s="12"/>
      <c r="G231" s="12"/>
      <c r="H231" s="12"/>
    </row>
    <row r="232" spans="1:9" x14ac:dyDescent="0.2">
      <c r="A232" s="12" t="s">
        <v>1759</v>
      </c>
      <c r="B232" s="1" t="s">
        <v>1760</v>
      </c>
      <c r="E232" s="12"/>
      <c r="F232" s="12"/>
      <c r="G232" s="12"/>
      <c r="H232" s="12"/>
    </row>
    <row r="233" spans="1:9" x14ac:dyDescent="0.2">
      <c r="A233" s="12" t="s">
        <v>1761</v>
      </c>
      <c r="B233" s="1" t="s">
        <v>1762</v>
      </c>
      <c r="F233" s="244">
        <v>0.08</v>
      </c>
      <c r="G233" s="244"/>
      <c r="H233" s="12" t="s">
        <v>1778</v>
      </c>
    </row>
    <row r="234" spans="1:9" x14ac:dyDescent="0.2">
      <c r="A234" s="12" t="s">
        <v>45</v>
      </c>
      <c r="B234" s="1" t="s">
        <v>1763</v>
      </c>
      <c r="E234" s="12"/>
      <c r="F234" s="12"/>
      <c r="G234" s="33" t="s">
        <v>1779</v>
      </c>
      <c r="H234" s="12"/>
    </row>
    <row r="235" spans="1:9" x14ac:dyDescent="0.2">
      <c r="A235" s="12" t="s">
        <v>1764</v>
      </c>
      <c r="B235" s="1" t="s">
        <v>1765</v>
      </c>
      <c r="E235" s="12"/>
      <c r="F235" s="12"/>
      <c r="G235" s="33" t="s">
        <v>1781</v>
      </c>
      <c r="H235" s="12"/>
    </row>
    <row r="236" spans="1:9" x14ac:dyDescent="0.2">
      <c r="E236" s="12"/>
      <c r="F236" s="12"/>
      <c r="G236" s="12"/>
      <c r="H236" s="12"/>
    </row>
    <row r="237" spans="1:9" x14ac:dyDescent="0.2">
      <c r="E237" s="12"/>
      <c r="F237" s="12"/>
      <c r="G237" s="12"/>
      <c r="H237" s="12"/>
    </row>
    <row r="238" spans="1:9" x14ac:dyDescent="0.2">
      <c r="E238" s="12"/>
      <c r="F238" s="12"/>
      <c r="G238" s="12"/>
      <c r="H238" s="12"/>
    </row>
    <row r="239" spans="1:9" x14ac:dyDescent="0.2">
      <c r="E239" s="12"/>
      <c r="F239" s="12"/>
      <c r="G239" s="12"/>
      <c r="H239" s="12"/>
    </row>
    <row r="240" spans="1:9" x14ac:dyDescent="0.2">
      <c r="E240" s="12"/>
      <c r="F240" s="12"/>
      <c r="G240" s="12"/>
      <c r="H240" s="12"/>
    </row>
    <row r="241" spans="1:8" x14ac:dyDescent="0.2">
      <c r="E241" s="12"/>
      <c r="F241" s="12"/>
      <c r="G241" s="12"/>
      <c r="H241" s="12"/>
    </row>
    <row r="242" spans="1:8" x14ac:dyDescent="0.2">
      <c r="E242" s="12"/>
      <c r="F242" s="12"/>
      <c r="G242" s="12"/>
      <c r="H242" s="12"/>
    </row>
    <row r="244" spans="1:8" x14ac:dyDescent="0.2">
      <c r="A244" s="1" t="s">
        <v>960</v>
      </c>
    </row>
    <row r="245" spans="1:8" x14ac:dyDescent="0.2">
      <c r="B245" s="1" t="s">
        <v>961</v>
      </c>
    </row>
    <row r="246" spans="1:8" x14ac:dyDescent="0.2">
      <c r="B246" s="1" t="s">
        <v>962</v>
      </c>
      <c r="D246" s="12" t="s">
        <v>408</v>
      </c>
      <c r="E246" s="12"/>
      <c r="F246" s="12"/>
      <c r="G246" s="12"/>
      <c r="H246" s="12" t="s">
        <v>959</v>
      </c>
    </row>
    <row r="247" spans="1:8" x14ac:dyDescent="0.2">
      <c r="B247" s="12"/>
      <c r="C247" s="12"/>
      <c r="D247" s="12">
        <v>1</v>
      </c>
      <c r="E247" s="12">
        <v>0.75</v>
      </c>
      <c r="F247" s="12">
        <v>0.5</v>
      </c>
      <c r="G247" s="12">
        <v>0.25</v>
      </c>
      <c r="H247" s="12">
        <v>0</v>
      </c>
    </row>
    <row r="248" spans="1:8" x14ac:dyDescent="0.2">
      <c r="B248" s="12"/>
      <c r="C248" s="12" t="s">
        <v>963</v>
      </c>
      <c r="D248" s="12"/>
      <c r="E248" s="12"/>
      <c r="F248" s="12"/>
      <c r="G248" s="12"/>
      <c r="H248" s="12"/>
    </row>
    <row r="249" spans="1:8" x14ac:dyDescent="0.2">
      <c r="B249" s="12"/>
      <c r="C249" s="12"/>
      <c r="D249" s="12"/>
      <c r="E249" s="12"/>
      <c r="F249" s="12"/>
      <c r="G249" s="12"/>
      <c r="H249" s="12">
        <v>100</v>
      </c>
    </row>
    <row r="250" spans="1:8" x14ac:dyDescent="0.2">
      <c r="B250" s="12"/>
      <c r="C250" s="12"/>
      <c r="D250" s="12"/>
      <c r="E250" s="12"/>
      <c r="F250" s="12"/>
      <c r="G250" s="12"/>
      <c r="H250" s="12"/>
    </row>
    <row r="253" spans="1:8" x14ac:dyDescent="0.2">
      <c r="A253" s="1" t="s">
        <v>964</v>
      </c>
    </row>
    <row r="254" spans="1:8" x14ac:dyDescent="0.2">
      <c r="A254" s="1" t="s">
        <v>965</v>
      </c>
    </row>
    <row r="255" spans="1:8" x14ac:dyDescent="0.2">
      <c r="A255" s="1" t="s">
        <v>968</v>
      </c>
    </row>
    <row r="257" spans="1:8" x14ac:dyDescent="0.2">
      <c r="A257" s="1" t="s">
        <v>966</v>
      </c>
    </row>
    <row r="258" spans="1:8" x14ac:dyDescent="0.2">
      <c r="A258" s="1" t="s">
        <v>967</v>
      </c>
      <c r="H258" s="1" t="s">
        <v>969</v>
      </c>
    </row>
    <row r="260" spans="1:8" x14ac:dyDescent="0.2">
      <c r="A260" s="1" t="s">
        <v>970</v>
      </c>
    </row>
    <row r="261" spans="1:8" x14ac:dyDescent="0.2">
      <c r="A261" s="1" t="s">
        <v>971</v>
      </c>
    </row>
    <row r="263" spans="1:8" x14ac:dyDescent="0.2">
      <c r="A263" s="1" t="s">
        <v>972</v>
      </c>
      <c r="F263" s="1">
        <v>110.3812891</v>
      </c>
      <c r="H263" s="1" t="s">
        <v>973</v>
      </c>
    </row>
    <row r="265" spans="1:8" x14ac:dyDescent="0.2">
      <c r="A265" s="1" t="s">
        <v>974</v>
      </c>
      <c r="E265" s="1" t="s">
        <v>975</v>
      </c>
      <c r="F265" s="1">
        <f>F263</f>
        <v>110.3812891</v>
      </c>
    </row>
    <row r="266" spans="1:8" x14ac:dyDescent="0.2">
      <c r="E266" s="1" t="s">
        <v>976</v>
      </c>
      <c r="F266" s="1">
        <v>100</v>
      </c>
    </row>
    <row r="267" spans="1:8" x14ac:dyDescent="0.2">
      <c r="E267" s="1" t="s">
        <v>977</v>
      </c>
      <c r="F267" s="1">
        <f>F265-F266</f>
        <v>10.381289100000004</v>
      </c>
      <c r="H267" s="1" t="s">
        <v>978</v>
      </c>
    </row>
    <row r="269" spans="1:8" x14ac:dyDescent="0.2">
      <c r="A269" s="1" t="s">
        <v>979</v>
      </c>
      <c r="F269" s="141">
        <f>F267/F266</f>
        <v>0.10381289100000003</v>
      </c>
      <c r="H269" s="1" t="s">
        <v>980</v>
      </c>
    </row>
    <row r="271" spans="1:8" x14ac:dyDescent="0.2">
      <c r="A271" s="1" t="s">
        <v>981</v>
      </c>
    </row>
    <row r="274" spans="1:8" x14ac:dyDescent="0.2">
      <c r="A274" s="2" t="s">
        <v>982</v>
      </c>
    </row>
    <row r="276" spans="1:8" x14ac:dyDescent="0.2">
      <c r="D276" s="1" t="s">
        <v>985</v>
      </c>
      <c r="F276" s="1" t="s">
        <v>984</v>
      </c>
    </row>
    <row r="277" spans="1:8" x14ac:dyDescent="0.2">
      <c r="D277" s="1" t="s">
        <v>986</v>
      </c>
      <c r="H277" s="1" t="s">
        <v>983</v>
      </c>
    </row>
    <row r="279" spans="1:8" x14ac:dyDescent="0.2">
      <c r="B279" s="1" t="s">
        <v>987</v>
      </c>
    </row>
    <row r="280" spans="1:8" x14ac:dyDescent="0.2">
      <c r="B280" s="1" t="s">
        <v>988</v>
      </c>
    </row>
    <row r="282" spans="1:8" x14ac:dyDescent="0.2">
      <c r="E282" s="358" t="s">
        <v>989</v>
      </c>
      <c r="F282" s="358"/>
    </row>
    <row r="284" spans="1:8" x14ac:dyDescent="0.2">
      <c r="B284" s="1" t="s">
        <v>990</v>
      </c>
    </row>
    <row r="285" spans="1:8" x14ac:dyDescent="0.2">
      <c r="B285" s="1" t="s">
        <v>991</v>
      </c>
    </row>
    <row r="288" spans="1:8" x14ac:dyDescent="0.2">
      <c r="B288" s="1" t="s">
        <v>992</v>
      </c>
    </row>
    <row r="291" spans="1:3" x14ac:dyDescent="0.2">
      <c r="B291" s="1" t="s">
        <v>993</v>
      </c>
    </row>
    <row r="294" spans="1:3" x14ac:dyDescent="0.2">
      <c r="B294" s="1" t="s">
        <v>960</v>
      </c>
    </row>
    <row r="295" spans="1:3" x14ac:dyDescent="0.2">
      <c r="A295" s="1" t="s">
        <v>998</v>
      </c>
      <c r="C295" s="1" t="s">
        <v>994</v>
      </c>
    </row>
    <row r="296" spans="1:3" x14ac:dyDescent="0.2">
      <c r="A296" s="1" t="s">
        <v>999</v>
      </c>
      <c r="C296" s="1" t="s">
        <v>995</v>
      </c>
    </row>
    <row r="297" spans="1:3" x14ac:dyDescent="0.2">
      <c r="C297" s="1" t="s">
        <v>996</v>
      </c>
    </row>
    <row r="298" spans="1:3" x14ac:dyDescent="0.2">
      <c r="C298" s="1" t="s">
        <v>997</v>
      </c>
    </row>
    <row r="305" spans="1:10" x14ac:dyDescent="0.2">
      <c r="F305" s="1" t="s">
        <v>1000</v>
      </c>
    </row>
    <row r="306" spans="1:10" x14ac:dyDescent="0.2">
      <c r="F306" s="1" t="s">
        <v>1001</v>
      </c>
    </row>
    <row r="307" spans="1:10" x14ac:dyDescent="0.2">
      <c r="F307" s="1" t="s">
        <v>1002</v>
      </c>
    </row>
    <row r="310" spans="1:10" x14ac:dyDescent="0.2">
      <c r="E310" s="1" t="s">
        <v>1000</v>
      </c>
    </row>
    <row r="311" spans="1:10" x14ac:dyDescent="0.2">
      <c r="E311" s="1" t="s">
        <v>1003</v>
      </c>
    </row>
    <row r="312" spans="1:10" x14ac:dyDescent="0.2">
      <c r="E312" s="1" t="s">
        <v>1004</v>
      </c>
    </row>
    <row r="313" spans="1:10" ht="17" thickBot="1" x14ac:dyDescent="0.25"/>
    <row r="314" spans="1:10" ht="17" thickBot="1" x14ac:dyDescent="0.25">
      <c r="A314" s="3" t="s">
        <v>1006</v>
      </c>
      <c r="B314" s="4"/>
      <c r="C314" s="4"/>
      <c r="D314" s="4"/>
      <c r="E314" s="4"/>
      <c r="F314" s="4"/>
      <c r="G314" s="4"/>
      <c r="H314" s="5"/>
    </row>
    <row r="315" spans="1:10" x14ac:dyDescent="0.2">
      <c r="A315" s="1" t="s">
        <v>1007</v>
      </c>
    </row>
    <row r="316" spans="1:10" x14ac:dyDescent="0.2">
      <c r="A316" s="1" t="s">
        <v>1008</v>
      </c>
      <c r="J316" s="1" t="s">
        <v>1009</v>
      </c>
    </row>
    <row r="317" spans="1:10" x14ac:dyDescent="0.2">
      <c r="A317" s="1" t="s">
        <v>1010</v>
      </c>
      <c r="H317" s="98">
        <f>(1+1%)^24-1</f>
        <v>0.26973464853191498</v>
      </c>
      <c r="J317" s="1" t="s">
        <v>1011</v>
      </c>
    </row>
    <row r="318" spans="1:10" x14ac:dyDescent="0.2">
      <c r="A318" s="1" t="s">
        <v>1012</v>
      </c>
      <c r="H318" s="98">
        <f>(1+10%/2)^3-1</f>
        <v>0.15762500000000013</v>
      </c>
      <c r="J318" s="1" t="s">
        <v>1017</v>
      </c>
    </row>
    <row r="319" spans="1:10" x14ac:dyDescent="0.2">
      <c r="A319" s="1" t="s">
        <v>1013</v>
      </c>
      <c r="H319" s="98">
        <f>(1+3%)^4-1</f>
        <v>0.12550880999999992</v>
      </c>
      <c r="J319" s="1" t="s">
        <v>1016</v>
      </c>
    </row>
    <row r="320" spans="1:10" x14ac:dyDescent="0.2">
      <c r="A320" s="1" t="s">
        <v>1014</v>
      </c>
      <c r="H320" s="98">
        <f>(1+1%)^36-1</f>
        <v>0.43076878359158099</v>
      </c>
      <c r="J320" s="1" t="s">
        <v>1015</v>
      </c>
    </row>
    <row r="324" spans="1:9" x14ac:dyDescent="0.2">
      <c r="B324" s="1" t="s">
        <v>960</v>
      </c>
    </row>
    <row r="325" spans="1:9" x14ac:dyDescent="0.2">
      <c r="A325" s="1" t="s">
        <v>998</v>
      </c>
      <c r="C325" s="1" t="s">
        <v>994</v>
      </c>
    </row>
    <row r="326" spans="1:9" x14ac:dyDescent="0.2">
      <c r="A326" s="1" t="s">
        <v>999</v>
      </c>
      <c r="C326" s="1" t="s">
        <v>995</v>
      </c>
    </row>
    <row r="327" spans="1:9" x14ac:dyDescent="0.2">
      <c r="C327" s="1" t="s">
        <v>996</v>
      </c>
    </row>
    <row r="328" spans="1:9" x14ac:dyDescent="0.2">
      <c r="C328" s="1" t="s">
        <v>997</v>
      </c>
    </row>
    <row r="329" spans="1:9" ht="17" thickBot="1" x14ac:dyDescent="0.25"/>
    <row r="330" spans="1:9" ht="17" thickBot="1" x14ac:dyDescent="0.25">
      <c r="A330" s="3" t="s">
        <v>1018</v>
      </c>
      <c r="B330" s="4"/>
      <c r="C330" s="4"/>
      <c r="D330" s="4"/>
      <c r="E330" s="4"/>
      <c r="F330" s="4"/>
      <c r="G330" s="4"/>
      <c r="H330" s="5"/>
    </row>
    <row r="331" spans="1:9" x14ac:dyDescent="0.2">
      <c r="A331" s="1" t="s">
        <v>1019</v>
      </c>
    </row>
    <row r="332" spans="1:9" x14ac:dyDescent="0.2">
      <c r="A332" s="1" t="s">
        <v>1024</v>
      </c>
      <c r="G332" s="140">
        <f>(1 + 10%/4)^4 - 1</f>
        <v>0.10381289062499977</v>
      </c>
      <c r="I332" s="1" t="s">
        <v>1027</v>
      </c>
    </row>
    <row r="333" spans="1:9" x14ac:dyDescent="0.2">
      <c r="A333" s="1" t="s">
        <v>1025</v>
      </c>
      <c r="G333" s="140">
        <f>(1 + 12%/12)^8 - 1</f>
        <v>8.2856705628080229E-2</v>
      </c>
      <c r="I333" s="1" t="s">
        <v>1028</v>
      </c>
    </row>
    <row r="334" spans="1:9" x14ac:dyDescent="0.2">
      <c r="A334" s="1" t="s">
        <v>1026</v>
      </c>
      <c r="G334" s="140">
        <f>(1 + 8%/4)^8 - 1</f>
        <v>0.17165938100226552</v>
      </c>
      <c r="I334" s="1" t="s">
        <v>1029</v>
      </c>
    </row>
    <row r="335" spans="1:9" x14ac:dyDescent="0.2">
      <c r="A335" s="1" t="s">
        <v>1030</v>
      </c>
      <c r="G335" s="140">
        <f>(1 + 6%/3)^24 - 1</f>
        <v>0.60843724947522504</v>
      </c>
      <c r="I335" s="1" t="s">
        <v>1031</v>
      </c>
    </row>
    <row r="337" spans="1:9" x14ac:dyDescent="0.2">
      <c r="A337" s="1" t="s">
        <v>1020</v>
      </c>
    </row>
    <row r="338" spans="1:9" x14ac:dyDescent="0.2">
      <c r="A338" s="1" t="s">
        <v>1021</v>
      </c>
    </row>
    <row r="339" spans="1:9" ht="17" thickBot="1" x14ac:dyDescent="0.25"/>
    <row r="340" spans="1:9" s="2" customFormat="1" ht="17" thickBot="1" x14ac:dyDescent="0.25">
      <c r="A340" s="3" t="s">
        <v>1022</v>
      </c>
      <c r="B340" s="4"/>
      <c r="C340" s="4"/>
      <c r="D340" s="4"/>
      <c r="E340" s="4"/>
      <c r="F340" s="4"/>
      <c r="G340" s="4"/>
      <c r="H340" s="5"/>
    </row>
    <row r="341" spans="1:9" x14ac:dyDescent="0.2">
      <c r="A341" s="1" t="s">
        <v>1023</v>
      </c>
    </row>
    <row r="342" spans="1:9" x14ac:dyDescent="0.2">
      <c r="A342" s="1" t="s">
        <v>1036</v>
      </c>
      <c r="G342" s="106">
        <f>(1+10%/4)^4-1</f>
        <v>0.10381289062499977</v>
      </c>
      <c r="I342" s="1" t="s">
        <v>1027</v>
      </c>
    </row>
    <row r="343" spans="1:9" x14ac:dyDescent="0.2">
      <c r="A343" s="1" t="s">
        <v>1037</v>
      </c>
      <c r="G343" s="139">
        <f>(1 + 11%/1)^1 - 1</f>
        <v>0.1100000000000001</v>
      </c>
      <c r="I343" s="1" t="s">
        <v>1038</v>
      </c>
    </row>
    <row r="344" spans="1:9" x14ac:dyDescent="0.2">
      <c r="A344" s="1" t="s">
        <v>1039</v>
      </c>
      <c r="G344" s="139">
        <f>(1 + 6%/6)^12 - 1</f>
        <v>0.12682503013196977</v>
      </c>
      <c r="I344" s="1" t="s">
        <v>1040</v>
      </c>
    </row>
    <row r="345" spans="1:9" x14ac:dyDescent="0.2">
      <c r="A345" s="1" t="s">
        <v>1041</v>
      </c>
      <c r="G345" s="139">
        <f>(1 + 3%/0.5)^2 - 1</f>
        <v>0.12360000000000015</v>
      </c>
      <c r="I345" s="1" t="s">
        <v>1042</v>
      </c>
    </row>
    <row r="347" spans="1:9" x14ac:dyDescent="0.2">
      <c r="A347" s="1" t="s">
        <v>1035</v>
      </c>
    </row>
    <row r="349" spans="1:9" x14ac:dyDescent="0.2">
      <c r="E349" s="1" t="s">
        <v>998</v>
      </c>
      <c r="G349" s="1" t="s">
        <v>994</v>
      </c>
    </row>
    <row r="350" spans="1:9" x14ac:dyDescent="0.2">
      <c r="E350" s="1" t="s">
        <v>999</v>
      </c>
      <c r="G350" s="1" t="s">
        <v>995</v>
      </c>
    </row>
    <row r="351" spans="1:9" x14ac:dyDescent="0.2">
      <c r="G351" s="1" t="s">
        <v>996</v>
      </c>
    </row>
    <row r="352" spans="1:9" x14ac:dyDescent="0.2">
      <c r="G352" s="1" t="s">
        <v>997</v>
      </c>
    </row>
    <row r="354" spans="1:8" x14ac:dyDescent="0.2">
      <c r="A354" s="1" t="s">
        <v>1032</v>
      </c>
    </row>
    <row r="355" spans="1:8" x14ac:dyDescent="0.2">
      <c r="A355" s="1" t="s">
        <v>1033</v>
      </c>
    </row>
    <row r="356" spans="1:8" x14ac:dyDescent="0.2">
      <c r="A356" s="1" t="s">
        <v>1034</v>
      </c>
    </row>
    <row r="357" spans="1:8" ht="17" thickBot="1" x14ac:dyDescent="0.25"/>
    <row r="358" spans="1:8" x14ac:dyDescent="0.2">
      <c r="A358" s="30" t="s">
        <v>1044</v>
      </c>
      <c r="B358" s="31"/>
      <c r="C358" s="31"/>
      <c r="D358" s="31"/>
      <c r="E358" s="31"/>
      <c r="F358" s="31"/>
      <c r="G358" s="31"/>
      <c r="H358" s="23"/>
    </row>
    <row r="359" spans="1:8" ht="17" thickBot="1" x14ac:dyDescent="0.25">
      <c r="A359" s="26" t="s">
        <v>1043</v>
      </c>
      <c r="B359" s="27"/>
      <c r="C359" s="27"/>
      <c r="D359" s="27"/>
      <c r="E359" s="27"/>
      <c r="F359" s="27"/>
      <c r="G359" s="27"/>
      <c r="H359" s="28"/>
    </row>
    <row r="360" spans="1:8" ht="17" thickBot="1" x14ac:dyDescent="0.25"/>
    <row r="361" spans="1:8" s="2" customFormat="1" ht="17" thickBot="1" x14ac:dyDescent="0.25">
      <c r="A361" s="3" t="s">
        <v>1045</v>
      </c>
      <c r="B361" s="4"/>
      <c r="C361" s="4"/>
      <c r="D361" s="4"/>
      <c r="E361" s="4"/>
      <c r="F361" s="4"/>
      <c r="G361" s="4"/>
      <c r="H361" s="5"/>
    </row>
    <row r="362" spans="1:8" x14ac:dyDescent="0.2">
      <c r="A362" s="1" t="s">
        <v>1046</v>
      </c>
    </row>
    <row r="363" spans="1:8" x14ac:dyDescent="0.2">
      <c r="A363" s="1" t="s">
        <v>1047</v>
      </c>
    </row>
    <row r="364" spans="1:8" x14ac:dyDescent="0.2">
      <c r="A364" s="1" t="s">
        <v>1048</v>
      </c>
      <c r="F364" s="140">
        <f>(1 + 8%/2)^2 - 1</f>
        <v>8.1600000000000117E-2</v>
      </c>
      <c r="G364" s="139"/>
      <c r="H364" s="1" t="s">
        <v>1053</v>
      </c>
    </row>
    <row r="365" spans="1:8" x14ac:dyDescent="0.2">
      <c r="A365" s="1" t="s">
        <v>1050</v>
      </c>
      <c r="F365" s="140">
        <f>(1 + 21%/36)^12 - 1</f>
        <v>7.2290080856235894E-2</v>
      </c>
      <c r="G365" s="139"/>
      <c r="H365" s="1" t="s">
        <v>1054</v>
      </c>
    </row>
    <row r="366" spans="1:8" x14ac:dyDescent="0.2">
      <c r="A366" s="1" t="s">
        <v>1051</v>
      </c>
      <c r="F366" s="140">
        <f>(1 + 4%/3)^6 - 1</f>
        <v>8.2714550682162491E-2</v>
      </c>
      <c r="G366" s="139"/>
      <c r="H366" s="1" t="s">
        <v>1055</v>
      </c>
    </row>
    <row r="367" spans="1:8" x14ac:dyDescent="0.2">
      <c r="A367" s="1" t="s">
        <v>1052</v>
      </c>
      <c r="F367" s="140">
        <f>(1 + 15%/8)^4 - 1</f>
        <v>7.713586578369136E-2</v>
      </c>
      <c r="H367" s="1" t="s">
        <v>1056</v>
      </c>
    </row>
    <row r="369" spans="1:1" x14ac:dyDescent="0.2">
      <c r="A369" s="1" t="s">
        <v>1049</v>
      </c>
    </row>
    <row r="371" spans="1:1" x14ac:dyDescent="0.2">
      <c r="A371" s="1" t="s">
        <v>1057</v>
      </c>
    </row>
    <row r="372" spans="1:1" x14ac:dyDescent="0.2">
      <c r="A372" s="1" t="s">
        <v>1058</v>
      </c>
    </row>
    <row r="373" spans="1:1" x14ac:dyDescent="0.2">
      <c r="A373" s="1" t="s">
        <v>1059</v>
      </c>
    </row>
    <row r="375" spans="1:1" x14ac:dyDescent="0.2">
      <c r="A375" s="2" t="s">
        <v>1060</v>
      </c>
    </row>
    <row r="378" spans="1:1" x14ac:dyDescent="0.2">
      <c r="A378" s="2" t="s">
        <v>155</v>
      </c>
    </row>
    <row r="379" spans="1:1" x14ac:dyDescent="0.2">
      <c r="A379" s="1" t="s">
        <v>1061</v>
      </c>
    </row>
    <row r="380" spans="1:1" x14ac:dyDescent="0.2">
      <c r="A380" s="1" t="s">
        <v>1062</v>
      </c>
    </row>
    <row r="381" spans="1:1" x14ac:dyDescent="0.2">
      <c r="A381" s="1" t="s">
        <v>1063</v>
      </c>
    </row>
    <row r="382" spans="1:1" x14ac:dyDescent="0.2">
      <c r="A382" s="1" t="s">
        <v>1064</v>
      </c>
    </row>
    <row r="383" spans="1:1" x14ac:dyDescent="0.2">
      <c r="A383" s="1" t="s">
        <v>1065</v>
      </c>
    </row>
    <row r="384" spans="1:1" x14ac:dyDescent="0.2">
      <c r="A384" s="1" t="s">
        <v>1066</v>
      </c>
    </row>
  </sheetData>
  <mergeCells count="4">
    <mergeCell ref="E138:H139"/>
    <mergeCell ref="E282:F282"/>
    <mergeCell ref="E171:E172"/>
    <mergeCell ref="C182:C183"/>
  </mergeCells>
  <phoneticPr fontId="3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I420"/>
  <sheetViews>
    <sheetView rightToLeft="1" topLeftCell="A404" zoomScale="150" zoomScaleNormal="240" workbookViewId="0">
      <selection activeCell="E187" sqref="E187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1782</v>
      </c>
      <c r="B1" s="29"/>
      <c r="C1" s="29"/>
      <c r="D1" s="29"/>
      <c r="E1" s="29"/>
      <c r="F1" s="29"/>
      <c r="G1" s="29"/>
      <c r="H1" s="138">
        <v>45908</v>
      </c>
    </row>
    <row r="3" spans="1:8" x14ac:dyDescent="0.2">
      <c r="A3" s="11" t="s">
        <v>1783</v>
      </c>
      <c r="B3" s="164"/>
      <c r="C3" s="164"/>
      <c r="D3" s="164"/>
      <c r="E3" s="164"/>
      <c r="F3" s="164"/>
      <c r="G3" s="164"/>
      <c r="H3" s="164"/>
    </row>
    <row r="5" spans="1:8" x14ac:dyDescent="0.2">
      <c r="A5" s="1" t="s">
        <v>1784</v>
      </c>
    </row>
    <row r="7" spans="1:8" x14ac:dyDescent="0.2">
      <c r="A7" s="148" t="s">
        <v>1785</v>
      </c>
      <c r="B7" s="58"/>
      <c r="C7" s="58"/>
      <c r="D7" s="58"/>
      <c r="E7" s="58"/>
      <c r="F7" s="58"/>
      <c r="G7" s="58"/>
      <c r="H7" s="58"/>
    </row>
    <row r="8" spans="1:8" x14ac:dyDescent="0.2">
      <c r="A8" s="12" t="s">
        <v>1759</v>
      </c>
      <c r="B8" s="1" t="s">
        <v>1786</v>
      </c>
    </row>
    <row r="9" spans="1:8" x14ac:dyDescent="0.2">
      <c r="A9" s="12" t="s">
        <v>1761</v>
      </c>
      <c r="B9" s="1" t="s">
        <v>1787</v>
      </c>
    </row>
    <row r="10" spans="1:8" x14ac:dyDescent="0.2">
      <c r="A10" s="12" t="s">
        <v>45</v>
      </c>
      <c r="B10" s="1" t="s">
        <v>1788</v>
      </c>
    </row>
    <row r="11" spans="1:8" x14ac:dyDescent="0.2">
      <c r="A11" s="12" t="s">
        <v>1764</v>
      </c>
      <c r="B11" s="1" t="s">
        <v>1789</v>
      </c>
    </row>
    <row r="13" spans="1:8" x14ac:dyDescent="0.2">
      <c r="A13" s="148" t="s">
        <v>1790</v>
      </c>
      <c r="B13" s="58"/>
      <c r="C13" s="58"/>
      <c r="D13" s="58"/>
      <c r="E13" s="58"/>
      <c r="F13" s="58"/>
      <c r="G13" s="58"/>
      <c r="H13" s="58"/>
    </row>
    <row r="16" spans="1:8" x14ac:dyDescent="0.2">
      <c r="A16" s="12" t="s">
        <v>1759</v>
      </c>
      <c r="B16" s="1" t="s">
        <v>1791</v>
      </c>
    </row>
    <row r="17" spans="1:8" x14ac:dyDescent="0.2">
      <c r="A17" s="12" t="s">
        <v>1792</v>
      </c>
      <c r="B17" s="1" t="s">
        <v>1793</v>
      </c>
    </row>
    <row r="19" spans="1:8" x14ac:dyDescent="0.2">
      <c r="A19" s="148" t="s">
        <v>1794</v>
      </c>
      <c r="B19" s="58"/>
      <c r="C19" s="58"/>
      <c r="D19" s="58"/>
      <c r="E19" s="58"/>
      <c r="F19" s="58"/>
      <c r="G19" s="58"/>
      <c r="H19" s="58"/>
    </row>
    <row r="23" spans="1:8" x14ac:dyDescent="0.2">
      <c r="A23" s="12" t="s">
        <v>1759</v>
      </c>
      <c r="B23" s="1" t="s">
        <v>1791</v>
      </c>
    </row>
    <row r="24" spans="1:8" x14ac:dyDescent="0.2">
      <c r="A24" s="12" t="s">
        <v>1703</v>
      </c>
      <c r="B24" s="1" t="s">
        <v>1795</v>
      </c>
    </row>
    <row r="25" spans="1:8" x14ac:dyDescent="0.2">
      <c r="A25" s="12" t="s">
        <v>1708</v>
      </c>
      <c r="B25" s="1" t="s">
        <v>1796</v>
      </c>
    </row>
    <row r="27" spans="1:8" x14ac:dyDescent="0.2">
      <c r="A27" s="148" t="s">
        <v>1797</v>
      </c>
      <c r="B27" s="58"/>
      <c r="C27" s="58"/>
      <c r="D27" s="58"/>
      <c r="E27" s="58"/>
      <c r="F27" s="58"/>
      <c r="G27" s="58"/>
      <c r="H27" s="58"/>
    </row>
    <row r="30" spans="1:8" x14ac:dyDescent="0.2">
      <c r="A30" s="12" t="s">
        <v>1759</v>
      </c>
      <c r="B30" s="1" t="s">
        <v>1799</v>
      </c>
    </row>
    <row r="31" spans="1:8" x14ac:dyDescent="0.2">
      <c r="A31" s="12" t="s">
        <v>1373</v>
      </c>
      <c r="B31" s="1" t="s">
        <v>1800</v>
      </c>
    </row>
    <row r="32" spans="1:8" x14ac:dyDescent="0.2">
      <c r="A32" s="12" t="s">
        <v>1764</v>
      </c>
      <c r="B32" s="1" t="s">
        <v>1798</v>
      </c>
    </row>
    <row r="33" spans="1:8" x14ac:dyDescent="0.2">
      <c r="A33" s="12"/>
    </row>
    <row r="34" spans="1:8" x14ac:dyDescent="0.2">
      <c r="A34" s="148" t="s">
        <v>1893</v>
      </c>
      <c r="B34" s="58"/>
      <c r="C34" s="58"/>
      <c r="D34" s="58"/>
      <c r="E34" s="58"/>
      <c r="F34" s="58"/>
      <c r="G34" s="58"/>
      <c r="H34" s="58"/>
    </row>
    <row r="35" spans="1:8" x14ac:dyDescent="0.2">
      <c r="A35" s="12"/>
    </row>
    <row r="36" spans="1:8" x14ac:dyDescent="0.2">
      <c r="A36" s="12"/>
    </row>
    <row r="37" spans="1:8" x14ac:dyDescent="0.2">
      <c r="A37" s="12"/>
    </row>
    <row r="38" spans="1:8" x14ac:dyDescent="0.2">
      <c r="A38" s="12" t="s">
        <v>1631</v>
      </c>
      <c r="B38" s="1" t="s">
        <v>1894</v>
      </c>
    </row>
    <row r="39" spans="1:8" x14ac:dyDescent="0.2">
      <c r="A39" s="12" t="s">
        <v>1761</v>
      </c>
      <c r="B39" s="1" t="s">
        <v>1895</v>
      </c>
    </row>
    <row r="40" spans="1:8" x14ac:dyDescent="0.2">
      <c r="A40" s="12" t="s">
        <v>45</v>
      </c>
      <c r="B40" s="1" t="s">
        <v>1896</v>
      </c>
    </row>
    <row r="41" spans="1:8" x14ac:dyDescent="0.2">
      <c r="A41" s="12" t="s">
        <v>1764</v>
      </c>
      <c r="B41" s="1" t="s">
        <v>1897</v>
      </c>
    </row>
    <row r="43" spans="1:8" x14ac:dyDescent="0.2">
      <c r="A43" s="248" t="s">
        <v>1801</v>
      </c>
      <c r="B43" s="248"/>
      <c r="C43" s="248"/>
      <c r="D43" s="248"/>
      <c r="E43" s="248"/>
      <c r="F43" s="248"/>
      <c r="G43" s="248"/>
      <c r="H43" s="248"/>
    </row>
    <row r="44" spans="1:8" x14ac:dyDescent="0.2">
      <c r="A44" s="1" t="s">
        <v>1802</v>
      </c>
    </row>
    <row r="45" spans="1:8" x14ac:dyDescent="0.2">
      <c r="A45" s="1" t="s">
        <v>1803</v>
      </c>
    </row>
    <row r="46" spans="1:8" x14ac:dyDescent="0.2">
      <c r="A46" s="1" t="s">
        <v>1806</v>
      </c>
    </row>
    <row r="47" spans="1:8" x14ac:dyDescent="0.2">
      <c r="A47" s="1" t="s">
        <v>1804</v>
      </c>
    </row>
    <row r="48" spans="1:8" x14ac:dyDescent="0.2">
      <c r="A48" s="1" t="s">
        <v>1805</v>
      </c>
    </row>
    <row r="49" spans="1:8" x14ac:dyDescent="0.2">
      <c r="A49" s="1" t="s">
        <v>1807</v>
      </c>
    </row>
    <row r="50" spans="1:8" x14ac:dyDescent="0.2">
      <c r="A50" s="1" t="s">
        <v>1808</v>
      </c>
    </row>
    <row r="52" spans="1:8" x14ac:dyDescent="0.2">
      <c r="A52" s="1" t="s">
        <v>1809</v>
      </c>
    </row>
    <row r="54" spans="1:8" x14ac:dyDescent="0.2">
      <c r="A54" s="1" t="s">
        <v>27</v>
      </c>
    </row>
    <row r="55" spans="1:8" ht="17" thickBot="1" x14ac:dyDescent="0.25"/>
    <row r="56" spans="1:8" ht="17" thickBot="1" x14ac:dyDescent="0.25">
      <c r="A56" s="8" t="s">
        <v>1846</v>
      </c>
      <c r="B56" s="249"/>
      <c r="C56" s="249"/>
      <c r="D56" s="249"/>
      <c r="E56" s="249"/>
      <c r="F56" s="249"/>
      <c r="G56" s="249"/>
      <c r="H56" s="250"/>
    </row>
    <row r="57" spans="1:8" x14ac:dyDescent="0.2">
      <c r="A57" s="1" t="s">
        <v>1810</v>
      </c>
    </row>
    <row r="58" spans="1:8" x14ac:dyDescent="0.2">
      <c r="A58" s="1" t="s">
        <v>1811</v>
      </c>
    </row>
    <row r="59" spans="1:8" x14ac:dyDescent="0.2">
      <c r="A59" s="1" t="s">
        <v>1812</v>
      </c>
    </row>
    <row r="60" spans="1:8" x14ac:dyDescent="0.2">
      <c r="A60" s="1" t="s">
        <v>1813</v>
      </c>
    </row>
    <row r="61" spans="1:8" x14ac:dyDescent="0.2">
      <c r="A61" s="1" t="s">
        <v>1814</v>
      </c>
    </row>
    <row r="62" spans="1:8" x14ac:dyDescent="0.2">
      <c r="A62" s="1" t="s">
        <v>1815</v>
      </c>
    </row>
    <row r="63" spans="1:8" x14ac:dyDescent="0.2">
      <c r="A63" s="1" t="s">
        <v>1818</v>
      </c>
    </row>
    <row r="64" spans="1:8" x14ac:dyDescent="0.2">
      <c r="A64" s="2" t="s">
        <v>1824</v>
      </c>
    </row>
    <row r="66" spans="1:8" x14ac:dyDescent="0.2">
      <c r="A66" s="199" t="s">
        <v>1761</v>
      </c>
      <c r="B66" s="199" t="s">
        <v>1816</v>
      </c>
    </row>
    <row r="67" spans="1:8" x14ac:dyDescent="0.2">
      <c r="A67" s="199" t="s">
        <v>45</v>
      </c>
      <c r="B67" s="199" t="s">
        <v>1817</v>
      </c>
    </row>
    <row r="68" spans="1:8" x14ac:dyDescent="0.2">
      <c r="A68" s="199" t="s">
        <v>1764</v>
      </c>
      <c r="B68" s="199" t="s">
        <v>1823</v>
      </c>
      <c r="E68" s="252">
        <f>(1.01^12-1)</f>
        <v>0.12682503013196977</v>
      </c>
    </row>
    <row r="70" spans="1:8" x14ac:dyDescent="0.2">
      <c r="B70" s="253" t="s">
        <v>1819</v>
      </c>
      <c r="C70" s="253"/>
      <c r="D70" s="253"/>
      <c r="E70" s="253"/>
      <c r="F70" s="253"/>
      <c r="G70" s="253"/>
    </row>
    <row r="71" spans="1:8" x14ac:dyDescent="0.2">
      <c r="B71" s="253" t="s">
        <v>1820</v>
      </c>
      <c r="C71" s="253"/>
      <c r="D71" s="253"/>
      <c r="E71" s="253"/>
      <c r="F71" s="253"/>
      <c r="G71" s="253"/>
    </row>
    <row r="72" spans="1:8" x14ac:dyDescent="0.2">
      <c r="B72" s="253" t="s">
        <v>1821</v>
      </c>
      <c r="C72" s="253"/>
      <c r="D72" s="253"/>
      <c r="E72" s="253"/>
      <c r="F72" s="253"/>
      <c r="G72" s="253"/>
    </row>
    <row r="73" spans="1:8" x14ac:dyDescent="0.2">
      <c r="B73" s="253" t="s">
        <v>1822</v>
      </c>
      <c r="C73" s="253"/>
      <c r="D73" s="253"/>
      <c r="E73" s="253"/>
      <c r="F73" s="253"/>
      <c r="G73" s="253"/>
    </row>
    <row r="74" spans="1:8" x14ac:dyDescent="0.2">
      <c r="B74" s="253"/>
      <c r="C74" s="253"/>
      <c r="D74" s="253"/>
      <c r="E74" s="253"/>
      <c r="F74" s="253"/>
      <c r="G74" s="253"/>
    </row>
    <row r="76" spans="1:8" x14ac:dyDescent="0.2">
      <c r="A76" s="75" t="s">
        <v>1828</v>
      </c>
      <c r="B76" s="29"/>
      <c r="C76" s="29"/>
      <c r="D76" s="29"/>
      <c r="E76" s="29"/>
      <c r="F76" s="29"/>
      <c r="G76" s="29"/>
      <c r="H76" s="29"/>
    </row>
    <row r="77" spans="1:8" x14ac:dyDescent="0.2">
      <c r="A77" s="1" t="s">
        <v>1825</v>
      </c>
    </row>
    <row r="78" spans="1:8" x14ac:dyDescent="0.2">
      <c r="A78" s="1" t="s">
        <v>1826</v>
      </c>
    </row>
    <row r="80" spans="1:8" x14ac:dyDescent="0.2">
      <c r="A80" s="12" t="s">
        <v>1759</v>
      </c>
      <c r="B80" s="1" t="s">
        <v>1827</v>
      </c>
    </row>
    <row r="81" spans="1:7" x14ac:dyDescent="0.2">
      <c r="A81" s="12" t="s">
        <v>1792</v>
      </c>
      <c r="B81" s="1" t="s">
        <v>1829</v>
      </c>
    </row>
    <row r="83" spans="1:7" x14ac:dyDescent="0.2">
      <c r="A83" s="1" t="s">
        <v>1833</v>
      </c>
      <c r="E83" s="371">
        <f>1/0.95-1</f>
        <v>5.2631578947368363E-2</v>
      </c>
    </row>
    <row r="84" spans="1:7" x14ac:dyDescent="0.2">
      <c r="E84" s="371"/>
    </row>
    <row r="86" spans="1:7" x14ac:dyDescent="0.2">
      <c r="A86" s="1" t="s">
        <v>1830</v>
      </c>
    </row>
    <row r="87" spans="1:7" x14ac:dyDescent="0.2">
      <c r="A87" s="1" t="s">
        <v>1831</v>
      </c>
    </row>
    <row r="88" spans="1:7" x14ac:dyDescent="0.2">
      <c r="A88" s="1" t="s">
        <v>1832</v>
      </c>
    </row>
    <row r="90" spans="1:7" x14ac:dyDescent="0.2">
      <c r="A90" s="1" t="s">
        <v>1834</v>
      </c>
    </row>
    <row r="91" spans="1:7" x14ac:dyDescent="0.2">
      <c r="A91" s="1" t="s">
        <v>1835</v>
      </c>
    </row>
    <row r="95" spans="1:7" x14ac:dyDescent="0.2">
      <c r="E95" s="199" t="s">
        <v>1839</v>
      </c>
      <c r="F95" s="199" t="s">
        <v>1142</v>
      </c>
      <c r="G95" s="199" t="s">
        <v>1836</v>
      </c>
    </row>
    <row r="96" spans="1:7" x14ac:dyDescent="0.2">
      <c r="E96" s="199" t="s">
        <v>1840</v>
      </c>
      <c r="F96" s="199" t="s">
        <v>1837</v>
      </c>
      <c r="G96" s="199"/>
    </row>
    <row r="97" spans="1:8" x14ac:dyDescent="0.2">
      <c r="E97" s="199" t="s">
        <v>1841</v>
      </c>
      <c r="F97" s="199" t="s">
        <v>1838</v>
      </c>
      <c r="G97" s="199"/>
    </row>
    <row r="98" spans="1:8" x14ac:dyDescent="0.2">
      <c r="E98" s="199" t="s">
        <v>1844</v>
      </c>
    </row>
    <row r="99" spans="1:8" x14ac:dyDescent="0.2">
      <c r="E99" s="199" t="s">
        <v>1845</v>
      </c>
    </row>
    <row r="100" spans="1:8" x14ac:dyDescent="0.2">
      <c r="E100" s="199" t="s">
        <v>1842</v>
      </c>
    </row>
    <row r="103" spans="1:8" x14ac:dyDescent="0.2">
      <c r="A103" s="1" t="s">
        <v>1843</v>
      </c>
      <c r="D103" s="254">
        <f>1.052632^2-1</f>
        <v>0.10803412742399998</v>
      </c>
    </row>
    <row r="105" spans="1:8" x14ac:dyDescent="0.2">
      <c r="A105" s="29" t="s">
        <v>1805</v>
      </c>
      <c r="B105" s="29"/>
      <c r="C105" s="29"/>
      <c r="D105" s="29"/>
      <c r="E105" s="29"/>
      <c r="F105" s="29"/>
      <c r="G105" s="29"/>
      <c r="H105" s="29"/>
    </row>
    <row r="107" spans="1:8" x14ac:dyDescent="0.2">
      <c r="A107" s="1" t="s">
        <v>1849</v>
      </c>
    </row>
    <row r="108" spans="1:8" x14ac:dyDescent="0.2">
      <c r="A108" s="1" t="s">
        <v>1850</v>
      </c>
    </row>
    <row r="110" spans="1:8" x14ac:dyDescent="0.2">
      <c r="A110" s="1" t="s">
        <v>1847</v>
      </c>
    </row>
    <row r="111" spans="1:8" x14ac:dyDescent="0.2">
      <c r="A111" s="1" t="s">
        <v>1848</v>
      </c>
    </row>
    <row r="113" spans="1:7" x14ac:dyDescent="0.2">
      <c r="A113" s="12" t="s">
        <v>1759</v>
      </c>
      <c r="B113" s="1" t="s">
        <v>1791</v>
      </c>
    </row>
    <row r="114" spans="1:7" x14ac:dyDescent="0.2">
      <c r="A114" s="12" t="s">
        <v>1708</v>
      </c>
      <c r="B114" s="1" t="s">
        <v>1852</v>
      </c>
    </row>
    <row r="115" spans="1:7" x14ac:dyDescent="0.2">
      <c r="A115" s="12" t="s">
        <v>1703</v>
      </c>
      <c r="B115" s="1" t="s">
        <v>1851</v>
      </c>
    </row>
    <row r="117" spans="1:7" x14ac:dyDescent="0.2">
      <c r="A117" s="1" t="s">
        <v>1853</v>
      </c>
      <c r="E117" s="372">
        <v>0.13</v>
      </c>
    </row>
    <row r="118" spans="1:7" x14ac:dyDescent="0.2">
      <c r="A118" s="1" t="s">
        <v>1854</v>
      </c>
      <c r="E118" s="372"/>
    </row>
    <row r="119" spans="1:7" x14ac:dyDescent="0.2">
      <c r="A119" s="1" t="s">
        <v>1855</v>
      </c>
      <c r="E119" s="127" t="s">
        <v>1859</v>
      </c>
    </row>
    <row r="120" spans="1:7" x14ac:dyDescent="0.2">
      <c r="A120" s="1" t="s">
        <v>1856</v>
      </c>
    </row>
    <row r="122" spans="1:7" x14ac:dyDescent="0.2">
      <c r="A122" s="1" t="s">
        <v>1857</v>
      </c>
    </row>
    <row r="123" spans="1:7" x14ac:dyDescent="0.2">
      <c r="A123" s="1" t="s">
        <v>1858</v>
      </c>
    </row>
    <row r="128" spans="1:7" x14ac:dyDescent="0.2">
      <c r="E128" s="199" t="s">
        <v>1839</v>
      </c>
      <c r="F128" s="199" t="s">
        <v>1142</v>
      </c>
      <c r="G128" s="199" t="s">
        <v>1836</v>
      </c>
    </row>
    <row r="129" spans="1:8" x14ac:dyDescent="0.2">
      <c r="E129" s="199" t="s">
        <v>1840</v>
      </c>
      <c r="F129" s="199" t="s">
        <v>1837</v>
      </c>
      <c r="G129" s="199"/>
    </row>
    <row r="130" spans="1:8" x14ac:dyDescent="0.2">
      <c r="E130" s="199" t="s">
        <v>1841</v>
      </c>
      <c r="F130" s="199" t="s">
        <v>1838</v>
      </c>
      <c r="G130" s="199"/>
    </row>
    <row r="131" spans="1:8" x14ac:dyDescent="0.2">
      <c r="E131" s="199" t="s">
        <v>1844</v>
      </c>
    </row>
    <row r="132" spans="1:8" x14ac:dyDescent="0.2">
      <c r="E132" s="199" t="s">
        <v>1845</v>
      </c>
    </row>
    <row r="133" spans="1:8" x14ac:dyDescent="0.2">
      <c r="E133" s="199" t="s">
        <v>1842</v>
      </c>
    </row>
    <row r="136" spans="1:8" x14ac:dyDescent="0.2">
      <c r="A136" s="1" t="s">
        <v>1860</v>
      </c>
      <c r="D136" s="255">
        <f>1.13^2-1</f>
        <v>0.2768999999999997</v>
      </c>
    </row>
    <row r="138" spans="1:8" x14ac:dyDescent="0.2">
      <c r="A138" s="29" t="s">
        <v>1807</v>
      </c>
      <c r="B138" s="29"/>
      <c r="C138" s="29"/>
      <c r="D138" s="29"/>
      <c r="E138" s="29"/>
      <c r="F138" s="29"/>
      <c r="G138" s="29"/>
      <c r="H138" s="29"/>
    </row>
    <row r="139" spans="1:8" x14ac:dyDescent="0.2">
      <c r="A139" s="29" t="s">
        <v>1808</v>
      </c>
      <c r="B139" s="29"/>
      <c r="C139" s="29"/>
      <c r="D139" s="29"/>
      <c r="E139" s="29"/>
      <c r="F139" s="29"/>
      <c r="G139" s="29"/>
      <c r="H139" s="29"/>
    </row>
    <row r="141" spans="1:8" x14ac:dyDescent="0.2">
      <c r="A141" s="1" t="s">
        <v>1861</v>
      </c>
    </row>
    <row r="142" spans="1:8" x14ac:dyDescent="0.2">
      <c r="A142" s="1" t="s">
        <v>1868</v>
      </c>
    </row>
    <row r="144" spans="1:8" x14ac:dyDescent="0.2">
      <c r="A144" s="1" t="s">
        <v>1862</v>
      </c>
    </row>
    <row r="145" spans="1:8" x14ac:dyDescent="0.2">
      <c r="A145" s="1" t="s">
        <v>1863</v>
      </c>
    </row>
    <row r="146" spans="1:8" x14ac:dyDescent="0.2">
      <c r="A146" s="1" t="s">
        <v>1864</v>
      </c>
    </row>
    <row r="148" spans="1:8" x14ac:dyDescent="0.2">
      <c r="C148" s="12">
        <v>0.5</v>
      </c>
      <c r="D148" s="12"/>
      <c r="E148" s="12"/>
      <c r="G148" s="12">
        <v>0</v>
      </c>
    </row>
    <row r="149" spans="1:8" x14ac:dyDescent="0.2">
      <c r="A149" s="1" t="s">
        <v>1093</v>
      </c>
    </row>
    <row r="150" spans="1:8" x14ac:dyDescent="0.2">
      <c r="B150" s="1" t="s">
        <v>1703</v>
      </c>
      <c r="C150" s="18">
        <f>100000*1.005^6</f>
        <v>103037.75093937646</v>
      </c>
      <c r="G150" s="18">
        <v>100000</v>
      </c>
      <c r="H150" s="1" t="s">
        <v>1865</v>
      </c>
    </row>
    <row r="151" spans="1:8" x14ac:dyDescent="0.2">
      <c r="G151" s="18">
        <v>-4000</v>
      </c>
      <c r="H151" s="1" t="s">
        <v>1866</v>
      </c>
    </row>
    <row r="152" spans="1:8" x14ac:dyDescent="0.2">
      <c r="G152" s="256">
        <f>G150+G151</f>
        <v>96000</v>
      </c>
      <c r="H152" s="1" t="s">
        <v>1867</v>
      </c>
    </row>
    <row r="155" spans="1:8" x14ac:dyDescent="0.2">
      <c r="D155" s="1" t="s">
        <v>1869</v>
      </c>
    </row>
    <row r="156" spans="1:8" x14ac:dyDescent="0.2">
      <c r="D156" s="1" t="s">
        <v>1870</v>
      </c>
    </row>
    <row r="157" spans="1:8" x14ac:dyDescent="0.2">
      <c r="A157" s="1" t="s">
        <v>1871</v>
      </c>
    </row>
    <row r="158" spans="1:8" x14ac:dyDescent="0.2">
      <c r="A158" s="1" t="s">
        <v>1872</v>
      </c>
      <c r="H158" s="162" t="s">
        <v>1878</v>
      </c>
    </row>
    <row r="159" spans="1:8" x14ac:dyDescent="0.2">
      <c r="H159" s="162" t="s">
        <v>1879</v>
      </c>
    </row>
    <row r="160" spans="1:8" x14ac:dyDescent="0.2">
      <c r="A160" s="1" t="s">
        <v>1873</v>
      </c>
      <c r="H160" s="162" t="s">
        <v>1880</v>
      </c>
    </row>
    <row r="161" spans="1:8" x14ac:dyDescent="0.2">
      <c r="A161" s="1" t="s">
        <v>1874</v>
      </c>
      <c r="H161" s="162" t="s">
        <v>1881</v>
      </c>
    </row>
    <row r="162" spans="1:8" x14ac:dyDescent="0.2">
      <c r="A162" s="1" t="s">
        <v>1875</v>
      </c>
    </row>
    <row r="164" spans="1:8" x14ac:dyDescent="0.2">
      <c r="A164" s="1" t="s">
        <v>1876</v>
      </c>
    </row>
    <row r="165" spans="1:8" x14ac:dyDescent="0.2">
      <c r="A165" s="1" t="s">
        <v>1877</v>
      </c>
    </row>
    <row r="167" spans="1:8" x14ac:dyDescent="0.2">
      <c r="A167" s="1" t="s">
        <v>1882</v>
      </c>
      <c r="D167" s="251">
        <f>103038/96000-1</f>
        <v>7.3312499999999892E-2</v>
      </c>
    </row>
    <row r="169" spans="1:8" x14ac:dyDescent="0.2">
      <c r="A169" s="1" t="s">
        <v>796</v>
      </c>
      <c r="D169" s="373">
        <f>(1+D167)^2-1</f>
        <v>0.15199972265624973</v>
      </c>
    </row>
    <row r="170" spans="1:8" x14ac:dyDescent="0.2">
      <c r="D170" s="373"/>
    </row>
    <row r="172" spans="1:8" ht="17" thickBot="1" x14ac:dyDescent="0.25">
      <c r="A172" s="1" t="s">
        <v>1883</v>
      </c>
    </row>
    <row r="173" spans="1:8" x14ac:dyDescent="0.2">
      <c r="A173" s="21" t="s">
        <v>290</v>
      </c>
      <c r="B173" s="257">
        <v>0.12682499999999999</v>
      </c>
      <c r="C173" s="22"/>
      <c r="D173" s="22"/>
      <c r="E173" s="122"/>
    </row>
    <row r="174" spans="1:8" x14ac:dyDescent="0.2">
      <c r="A174" s="123" t="s">
        <v>291</v>
      </c>
      <c r="B174" s="258">
        <v>0.10803409999999999</v>
      </c>
      <c r="C174" s="2"/>
      <c r="D174" s="2"/>
      <c r="E174" s="124"/>
    </row>
    <row r="175" spans="1:8" x14ac:dyDescent="0.2">
      <c r="A175" s="123" t="s">
        <v>292</v>
      </c>
      <c r="B175" s="258">
        <v>0.27689999999999998</v>
      </c>
      <c r="C175" s="2"/>
      <c r="D175" s="2"/>
      <c r="E175" s="124"/>
      <c r="G175" s="1" t="s">
        <v>1885</v>
      </c>
    </row>
    <row r="176" spans="1:8" x14ac:dyDescent="0.2">
      <c r="A176" s="123" t="s">
        <v>1070</v>
      </c>
      <c r="B176" s="259">
        <f>D169</f>
        <v>0.15199972265624973</v>
      </c>
      <c r="C176" s="2"/>
      <c r="D176" s="2"/>
      <c r="E176" s="124"/>
      <c r="G176" s="1" t="s">
        <v>1886</v>
      </c>
    </row>
    <row r="177" spans="1:8" x14ac:dyDescent="0.2">
      <c r="A177" s="123"/>
      <c r="B177" s="2"/>
      <c r="C177" s="2"/>
      <c r="D177" s="2"/>
      <c r="E177" s="124"/>
    </row>
    <row r="178" spans="1:8" ht="17" thickBot="1" x14ac:dyDescent="0.25">
      <c r="A178" s="125" t="s">
        <v>1884</v>
      </c>
      <c r="B178" s="260"/>
      <c r="C178" s="260"/>
      <c r="D178" s="260"/>
      <c r="E178" s="126"/>
    </row>
    <row r="181" spans="1:8" x14ac:dyDescent="0.2">
      <c r="A181" s="248" t="s">
        <v>1887</v>
      </c>
      <c r="B181" s="248"/>
      <c r="C181" s="248"/>
      <c r="D181" s="248"/>
      <c r="E181" s="248"/>
      <c r="F181" s="248"/>
      <c r="G181" s="248"/>
      <c r="H181" s="248"/>
    </row>
    <row r="182" spans="1:8" x14ac:dyDescent="0.2">
      <c r="A182" s="1" t="s">
        <v>1888</v>
      </c>
    </row>
    <row r="183" spans="1:8" x14ac:dyDescent="0.2">
      <c r="A183" s="1" t="s">
        <v>1889</v>
      </c>
    </row>
    <row r="184" spans="1:8" x14ac:dyDescent="0.2">
      <c r="A184" s="1" t="s">
        <v>1890</v>
      </c>
    </row>
    <row r="185" spans="1:8" x14ac:dyDescent="0.2">
      <c r="A185" s="1" t="s">
        <v>1891</v>
      </c>
    </row>
    <row r="187" spans="1:8" x14ac:dyDescent="0.2">
      <c r="A187" s="1" t="s">
        <v>711</v>
      </c>
    </row>
    <row r="188" spans="1:8" x14ac:dyDescent="0.2">
      <c r="A188" s="1" t="s">
        <v>1892</v>
      </c>
    </row>
    <row r="189" spans="1:8" x14ac:dyDescent="0.2">
      <c r="A189" s="1" t="s">
        <v>1656</v>
      </c>
    </row>
    <row r="191" spans="1:8" x14ac:dyDescent="0.2">
      <c r="A191" s="2" t="s">
        <v>1898</v>
      </c>
    </row>
    <row r="192" spans="1:8" x14ac:dyDescent="0.2">
      <c r="A192" s="2" t="s">
        <v>1899</v>
      </c>
    </row>
    <row r="194" spans="1:7" x14ac:dyDescent="0.2">
      <c r="A194" s="1" t="s">
        <v>1900</v>
      </c>
    </row>
    <row r="195" spans="1:7" x14ac:dyDescent="0.2">
      <c r="A195" s="1" t="s">
        <v>1901</v>
      </c>
      <c r="G195" s="146" t="s">
        <v>1902</v>
      </c>
    </row>
    <row r="196" spans="1:7" x14ac:dyDescent="0.2">
      <c r="G196" s="146" t="s">
        <v>1903</v>
      </c>
    </row>
    <row r="197" spans="1:7" x14ac:dyDescent="0.2">
      <c r="G197" s="146" t="s">
        <v>1904</v>
      </c>
    </row>
    <row r="198" spans="1:7" x14ac:dyDescent="0.2">
      <c r="G198" s="146" t="s">
        <v>1905</v>
      </c>
    </row>
    <row r="199" spans="1:7" x14ac:dyDescent="0.2">
      <c r="A199" s="1" t="s">
        <v>1907</v>
      </c>
      <c r="G199" s="146" t="s">
        <v>1906</v>
      </c>
    </row>
    <row r="200" spans="1:7" x14ac:dyDescent="0.2">
      <c r="A200" s="1" t="s">
        <v>1908</v>
      </c>
    </row>
    <row r="202" spans="1:7" x14ac:dyDescent="0.2">
      <c r="A202" s="2" t="s">
        <v>1909</v>
      </c>
    </row>
    <row r="203" spans="1:7" x14ac:dyDescent="0.2">
      <c r="A203" s="2" t="s">
        <v>1910</v>
      </c>
    </row>
    <row r="205" spans="1:7" x14ac:dyDescent="0.2">
      <c r="B205" s="261">
        <f>500000*0.96</f>
        <v>480000</v>
      </c>
    </row>
    <row r="207" spans="1:7" x14ac:dyDescent="0.2">
      <c r="B207" s="261">
        <f>500000*1.01^24</f>
        <v>634867.32426595746</v>
      </c>
    </row>
    <row r="209" spans="1:2" x14ac:dyDescent="0.2">
      <c r="B209" s="1" t="s">
        <v>1911</v>
      </c>
    </row>
    <row r="210" spans="1:2" x14ac:dyDescent="0.2">
      <c r="B210" s="1" t="s">
        <v>1912</v>
      </c>
    </row>
    <row r="211" spans="1:2" x14ac:dyDescent="0.2">
      <c r="B211" s="1" t="s">
        <v>1913</v>
      </c>
    </row>
    <row r="212" spans="1:2" x14ac:dyDescent="0.2">
      <c r="B212" s="1" t="s">
        <v>1914</v>
      </c>
    </row>
    <row r="213" spans="1:2" x14ac:dyDescent="0.2">
      <c r="B213" s="1" t="s">
        <v>1915</v>
      </c>
    </row>
    <row r="214" spans="1:2" x14ac:dyDescent="0.2">
      <c r="B214" s="1" t="s">
        <v>1916</v>
      </c>
    </row>
    <row r="216" spans="1:2" x14ac:dyDescent="0.2">
      <c r="B216" s="262">
        <f>B207/B205-1</f>
        <v>0.32264025888741132</v>
      </c>
    </row>
    <row r="217" spans="1:2" x14ac:dyDescent="0.2">
      <c r="B217" s="1" t="s">
        <v>1142</v>
      </c>
    </row>
    <row r="218" spans="1:2" x14ac:dyDescent="0.2">
      <c r="B218" s="1" t="s">
        <v>1917</v>
      </c>
    </row>
    <row r="219" spans="1:2" x14ac:dyDescent="0.2">
      <c r="B219" s="1" t="s">
        <v>1918</v>
      </c>
    </row>
    <row r="221" spans="1:2" x14ac:dyDescent="0.2">
      <c r="A221" s="2" t="s">
        <v>1919</v>
      </c>
    </row>
    <row r="225" spans="1:8" x14ac:dyDescent="0.2">
      <c r="B225" s="20">
        <f>(1+B216)^0.5-1</f>
        <v>0.15006098050816918</v>
      </c>
    </row>
    <row r="226" spans="1:8" x14ac:dyDescent="0.2">
      <c r="B226" s="1" t="s">
        <v>1920</v>
      </c>
    </row>
    <row r="228" spans="1:8" x14ac:dyDescent="0.2">
      <c r="A228" s="1" t="s">
        <v>1922</v>
      </c>
    </row>
    <row r="229" spans="1:8" x14ac:dyDescent="0.2">
      <c r="A229" s="1" t="s">
        <v>1921</v>
      </c>
    </row>
    <row r="231" spans="1:8" x14ac:dyDescent="0.2">
      <c r="A231" s="263" t="s">
        <v>1924</v>
      </c>
      <c r="B231" s="263"/>
      <c r="C231" s="263"/>
      <c r="D231" s="263"/>
      <c r="E231" s="263"/>
      <c r="F231" s="263"/>
      <c r="G231" s="263"/>
      <c r="H231" s="263"/>
    </row>
    <row r="233" spans="1:8" x14ac:dyDescent="0.2">
      <c r="A233" s="2" t="s">
        <v>1923</v>
      </c>
    </row>
    <row r="258" spans="1:5" x14ac:dyDescent="0.2">
      <c r="A258" s="2" t="s">
        <v>1925</v>
      </c>
    </row>
    <row r="268" spans="1:5" x14ac:dyDescent="0.2">
      <c r="A268" s="1" t="s">
        <v>27</v>
      </c>
    </row>
    <row r="270" spans="1:5" x14ac:dyDescent="0.2">
      <c r="A270" s="1" t="s">
        <v>1926</v>
      </c>
      <c r="B270" s="1" t="s">
        <v>1142</v>
      </c>
      <c r="E270" s="1" t="s">
        <v>1928</v>
      </c>
    </row>
    <row r="271" spans="1:5" x14ac:dyDescent="0.2">
      <c r="A271" s="1" t="s">
        <v>290</v>
      </c>
      <c r="B271" s="264">
        <f>(1+10%/4)^4-1</f>
        <v>0.10381289062499977</v>
      </c>
      <c r="C271" s="1" t="s">
        <v>1927</v>
      </c>
    </row>
    <row r="272" spans="1:5" x14ac:dyDescent="0.2">
      <c r="A272" s="1" t="s">
        <v>291</v>
      </c>
      <c r="B272" s="265">
        <f>(1+4%)^2-1</f>
        <v>8.1600000000000117E-2</v>
      </c>
    </row>
    <row r="273" spans="1:7" x14ac:dyDescent="0.2">
      <c r="A273" s="1" t="s">
        <v>292</v>
      </c>
      <c r="B273" s="265">
        <f>(1+3%/6)^12-1</f>
        <v>6.1677811864497611E-2</v>
      </c>
    </row>
    <row r="274" spans="1:7" x14ac:dyDescent="0.2">
      <c r="A274" s="1" t="s">
        <v>1070</v>
      </c>
      <c r="B274" s="265">
        <f>(1+10%)^1-1</f>
        <v>0.10000000000000009</v>
      </c>
    </row>
    <row r="276" spans="1:7" x14ac:dyDescent="0.2">
      <c r="A276" s="2" t="s">
        <v>1957</v>
      </c>
    </row>
    <row r="278" spans="1:7" x14ac:dyDescent="0.2">
      <c r="A278" s="1" t="s">
        <v>1958</v>
      </c>
    </row>
    <row r="279" spans="1:7" x14ac:dyDescent="0.2">
      <c r="A279" s="1" t="s">
        <v>1959</v>
      </c>
    </row>
    <row r="280" spans="1:7" x14ac:dyDescent="0.2">
      <c r="A280" s="1" t="s">
        <v>1960</v>
      </c>
    </row>
    <row r="281" spans="1:7" x14ac:dyDescent="0.2">
      <c r="G281" s="1" t="s">
        <v>1965</v>
      </c>
    </row>
    <row r="282" spans="1:7" x14ac:dyDescent="0.2">
      <c r="C282" s="1" t="s">
        <v>960</v>
      </c>
    </row>
    <row r="283" spans="1:7" x14ac:dyDescent="0.2">
      <c r="C283" s="1" t="s">
        <v>1761</v>
      </c>
      <c r="D283" s="1" t="s">
        <v>1961</v>
      </c>
    </row>
    <row r="284" spans="1:7" x14ac:dyDescent="0.2">
      <c r="C284" s="1" t="s">
        <v>45</v>
      </c>
      <c r="D284" s="1" t="s">
        <v>1962</v>
      </c>
    </row>
    <row r="285" spans="1:7" x14ac:dyDescent="0.2">
      <c r="C285" s="1" t="s">
        <v>1764</v>
      </c>
      <c r="D285" s="1" t="s">
        <v>1963</v>
      </c>
    </row>
    <row r="287" spans="1:7" x14ac:dyDescent="0.2">
      <c r="B287" s="1" t="s">
        <v>1964</v>
      </c>
      <c r="D287" s="139">
        <f>1.025^4-1</f>
        <v>0.10381289062499977</v>
      </c>
      <c r="G287" s="1" t="s">
        <v>1966</v>
      </c>
    </row>
    <row r="289" spans="1:7" x14ac:dyDescent="0.2">
      <c r="B289" s="1" t="s">
        <v>1967</v>
      </c>
    </row>
    <row r="290" spans="1:7" x14ac:dyDescent="0.2">
      <c r="B290" s="1" t="s">
        <v>1968</v>
      </c>
    </row>
    <row r="291" spans="1:7" x14ac:dyDescent="0.2">
      <c r="B291" s="1" t="s">
        <v>1969</v>
      </c>
    </row>
    <row r="292" spans="1:7" x14ac:dyDescent="0.2">
      <c r="B292" s="1" t="s">
        <v>1970</v>
      </c>
    </row>
    <row r="294" spans="1:7" x14ac:dyDescent="0.2">
      <c r="A294" s="1" t="s">
        <v>1971</v>
      </c>
    </row>
    <row r="295" spans="1:7" x14ac:dyDescent="0.2">
      <c r="A295" s="1" t="s">
        <v>1972</v>
      </c>
    </row>
    <row r="296" spans="1:7" x14ac:dyDescent="0.2">
      <c r="G296" s="1" t="s">
        <v>1965</v>
      </c>
    </row>
    <row r="297" spans="1:7" x14ac:dyDescent="0.2">
      <c r="B297" s="1" t="s">
        <v>1973</v>
      </c>
    </row>
    <row r="298" spans="1:7" x14ac:dyDescent="0.2">
      <c r="D298" s="139">
        <f>1.04^2-1</f>
        <v>8.1600000000000117E-2</v>
      </c>
      <c r="E298" s="1" t="s">
        <v>138</v>
      </c>
      <c r="G298" s="1" t="s">
        <v>1974</v>
      </c>
    </row>
    <row r="300" spans="1:7" x14ac:dyDescent="0.2">
      <c r="B300" s="1" t="s">
        <v>1131</v>
      </c>
    </row>
    <row r="301" spans="1:7" x14ac:dyDescent="0.2">
      <c r="B301" s="1" t="s">
        <v>1975</v>
      </c>
    </row>
    <row r="302" spans="1:7" x14ac:dyDescent="0.2">
      <c r="B302" s="1" t="s">
        <v>1976</v>
      </c>
    </row>
    <row r="303" spans="1:7" x14ac:dyDescent="0.2">
      <c r="B303" s="1" t="s">
        <v>1977</v>
      </c>
    </row>
    <row r="304" spans="1:7" x14ac:dyDescent="0.2">
      <c r="B304" s="1" t="s">
        <v>1978</v>
      </c>
    </row>
    <row r="306" spans="1:7" x14ac:dyDescent="0.2">
      <c r="B306" s="1" t="s">
        <v>1979</v>
      </c>
    </row>
    <row r="307" spans="1:7" x14ac:dyDescent="0.2">
      <c r="B307" s="1" t="s">
        <v>1980</v>
      </c>
    </row>
    <row r="308" spans="1:7" x14ac:dyDescent="0.2">
      <c r="B308" s="1" t="s">
        <v>1981</v>
      </c>
    </row>
    <row r="310" spans="1:7" x14ac:dyDescent="0.2">
      <c r="A310" s="1" t="s">
        <v>1982</v>
      </c>
    </row>
    <row r="311" spans="1:7" x14ac:dyDescent="0.2">
      <c r="A311" s="1" t="s">
        <v>1972</v>
      </c>
    </row>
    <row r="312" spans="1:7" x14ac:dyDescent="0.2">
      <c r="G312" s="1" t="s">
        <v>1965</v>
      </c>
    </row>
    <row r="314" spans="1:7" x14ac:dyDescent="0.2">
      <c r="B314" s="1" t="s">
        <v>1973</v>
      </c>
    </row>
    <row r="315" spans="1:7" x14ac:dyDescent="0.2">
      <c r="D315" s="139">
        <f>1.005^12-1</f>
        <v>6.1677811864497611E-2</v>
      </c>
      <c r="E315" s="1" t="s">
        <v>138</v>
      </c>
      <c r="G315" s="1" t="s">
        <v>1983</v>
      </c>
    </row>
    <row r="317" spans="1:7" x14ac:dyDescent="0.2">
      <c r="B317" s="1" t="s">
        <v>1131</v>
      </c>
    </row>
    <row r="318" spans="1:7" x14ac:dyDescent="0.2">
      <c r="B318" s="1" t="s">
        <v>1984</v>
      </c>
    </row>
    <row r="319" spans="1:7" x14ac:dyDescent="0.2">
      <c r="B319" s="1" t="s">
        <v>1985</v>
      </c>
    </row>
    <row r="320" spans="1:7" x14ac:dyDescent="0.2">
      <c r="B320" s="1" t="s">
        <v>1986</v>
      </c>
    </row>
    <row r="321" spans="1:9" x14ac:dyDescent="0.2">
      <c r="B321" s="1" t="s">
        <v>1987</v>
      </c>
    </row>
    <row r="323" spans="1:9" x14ac:dyDescent="0.2">
      <c r="B323" s="1" t="s">
        <v>1988</v>
      </c>
    </row>
    <row r="324" spans="1:9" x14ac:dyDescent="0.2">
      <c r="B324" s="1" t="s">
        <v>1989</v>
      </c>
    </row>
    <row r="325" spans="1:9" x14ac:dyDescent="0.2">
      <c r="B325" s="1" t="s">
        <v>1990</v>
      </c>
    </row>
    <row r="327" spans="1:9" x14ac:dyDescent="0.2">
      <c r="A327" s="1" t="s">
        <v>1991</v>
      </c>
    </row>
    <row r="328" spans="1:9" x14ac:dyDescent="0.2">
      <c r="B328" s="1" t="s">
        <v>1972</v>
      </c>
    </row>
    <row r="329" spans="1:9" x14ac:dyDescent="0.2">
      <c r="I329" s="1" t="s">
        <v>1965</v>
      </c>
    </row>
    <row r="330" spans="1:9" x14ac:dyDescent="0.2">
      <c r="C330" s="1" t="s">
        <v>1973</v>
      </c>
    </row>
    <row r="331" spans="1:9" x14ac:dyDescent="0.2">
      <c r="E331" s="139">
        <v>0.1</v>
      </c>
      <c r="F331" s="1" t="s">
        <v>138</v>
      </c>
      <c r="I331" s="1" t="s">
        <v>1992</v>
      </c>
    </row>
    <row r="333" spans="1:9" x14ac:dyDescent="0.2">
      <c r="B333" s="1" t="s">
        <v>1131</v>
      </c>
    </row>
    <row r="334" spans="1:9" x14ac:dyDescent="0.2">
      <c r="B334" s="1" t="s">
        <v>1993</v>
      </c>
    </row>
    <row r="335" spans="1:9" x14ac:dyDescent="0.2">
      <c r="B335" s="1" t="s">
        <v>1994</v>
      </c>
    </row>
    <row r="336" spans="1:9" x14ac:dyDescent="0.2">
      <c r="B336" s="1" t="s">
        <v>1995</v>
      </c>
    </row>
    <row r="337" spans="1:8" x14ac:dyDescent="0.2">
      <c r="B337" s="1" t="s">
        <v>1996</v>
      </c>
    </row>
    <row r="339" spans="1:8" x14ac:dyDescent="0.2">
      <c r="A339" s="2" t="s">
        <v>1929</v>
      </c>
    </row>
    <row r="340" spans="1:8" x14ac:dyDescent="0.2">
      <c r="A340" s="266" t="s">
        <v>1930</v>
      </c>
      <c r="B340" s="266"/>
      <c r="C340" s="266"/>
      <c r="D340" s="266"/>
      <c r="E340" s="266"/>
      <c r="F340" s="266"/>
      <c r="G340" s="266"/>
      <c r="H340" s="266"/>
    </row>
    <row r="341" spans="1:8" x14ac:dyDescent="0.2">
      <c r="A341" s="266" t="s">
        <v>1931</v>
      </c>
      <c r="B341" s="266"/>
      <c r="C341" s="266"/>
      <c r="D341" s="266"/>
      <c r="E341" s="267"/>
      <c r="F341" s="267"/>
      <c r="G341" s="267"/>
      <c r="H341" s="267"/>
    </row>
    <row r="342" spans="1:8" x14ac:dyDescent="0.2">
      <c r="A342" s="266" t="s">
        <v>1932</v>
      </c>
      <c r="B342" s="266"/>
      <c r="C342" s="266"/>
      <c r="D342" s="266"/>
      <c r="E342" s="267"/>
      <c r="F342" s="267"/>
      <c r="G342" s="267"/>
      <c r="H342" s="267"/>
    </row>
    <row r="343" spans="1:8" x14ac:dyDescent="0.2">
      <c r="A343" s="266" t="s">
        <v>1933</v>
      </c>
      <c r="B343" s="266"/>
      <c r="C343" s="266"/>
      <c r="D343" s="266"/>
      <c r="E343" s="267"/>
      <c r="F343" s="267"/>
      <c r="G343" s="267"/>
      <c r="H343" s="267"/>
    </row>
    <row r="344" spans="1:8" x14ac:dyDescent="0.2">
      <c r="A344" s="266" t="s">
        <v>1934</v>
      </c>
      <c r="B344" s="266"/>
      <c r="C344" s="266"/>
      <c r="D344" s="266"/>
      <c r="E344" s="267"/>
      <c r="F344" s="267"/>
      <c r="G344" s="267"/>
      <c r="H344" s="267"/>
    </row>
    <row r="345" spans="1:8" x14ac:dyDescent="0.2">
      <c r="A345" s="267"/>
      <c r="B345" s="267"/>
      <c r="C345" s="267"/>
      <c r="D345" s="267"/>
      <c r="E345" s="267"/>
      <c r="F345" s="267"/>
      <c r="G345" s="267"/>
      <c r="H345" s="267"/>
    </row>
    <row r="346" spans="1:8" x14ac:dyDescent="0.2">
      <c r="A346" s="266" t="s">
        <v>1935</v>
      </c>
      <c r="B346" s="266"/>
      <c r="C346" s="266"/>
      <c r="D346" s="266"/>
      <c r="E346" s="266"/>
      <c r="F346" s="266"/>
      <c r="G346" s="267"/>
      <c r="H346" s="267"/>
    </row>
    <row r="347" spans="1:8" x14ac:dyDescent="0.2">
      <c r="A347" s="267"/>
      <c r="B347" s="267"/>
      <c r="C347" s="267"/>
      <c r="D347" s="267"/>
      <c r="E347" s="267"/>
      <c r="F347" s="267"/>
      <c r="G347" s="267"/>
      <c r="H347" s="267"/>
    </row>
    <row r="348" spans="1:8" x14ac:dyDescent="0.2">
      <c r="A348" s="267" t="s">
        <v>1939</v>
      </c>
      <c r="B348" s="267"/>
      <c r="C348" s="267"/>
      <c r="D348" s="267"/>
      <c r="E348" s="267"/>
      <c r="F348" s="267"/>
      <c r="G348" s="267"/>
      <c r="H348" s="267"/>
    </row>
    <row r="349" spans="1:8" x14ac:dyDescent="0.2">
      <c r="A349" s="267"/>
      <c r="B349" s="267"/>
      <c r="C349" s="267"/>
      <c r="D349" s="267"/>
      <c r="E349" s="267"/>
      <c r="F349" s="267"/>
      <c r="G349" s="267"/>
      <c r="H349" s="267"/>
    </row>
    <row r="350" spans="1:8" x14ac:dyDescent="0.2">
      <c r="A350" s="266" t="s">
        <v>1936</v>
      </c>
      <c r="B350" s="266" t="s">
        <v>1937</v>
      </c>
      <c r="C350" s="267"/>
      <c r="D350" s="267"/>
      <c r="E350" s="267"/>
      <c r="F350" s="267"/>
      <c r="G350" s="267"/>
      <c r="H350" s="267"/>
    </row>
    <row r="351" spans="1:8" x14ac:dyDescent="0.2">
      <c r="A351" s="266" t="s">
        <v>290</v>
      </c>
      <c r="B351" s="268">
        <v>8.2400000000000001E-2</v>
      </c>
      <c r="C351" s="267"/>
      <c r="D351" s="267"/>
      <c r="E351" s="267"/>
      <c r="F351" s="267"/>
      <c r="G351" s="267"/>
      <c r="H351" s="267"/>
    </row>
    <row r="352" spans="1:8" x14ac:dyDescent="0.2">
      <c r="A352" s="266" t="s">
        <v>291</v>
      </c>
      <c r="B352" s="268">
        <v>0.08</v>
      </c>
      <c r="C352" s="267"/>
      <c r="D352" s="266" t="s">
        <v>1938</v>
      </c>
      <c r="E352" s="266"/>
      <c r="F352" s="266"/>
      <c r="G352" s="267"/>
      <c r="H352" s="267"/>
    </row>
    <row r="353" spans="1:8" x14ac:dyDescent="0.2">
      <c r="A353" s="266" t="s">
        <v>292</v>
      </c>
      <c r="B353" s="268">
        <v>0.1038</v>
      </c>
      <c r="C353" s="267"/>
      <c r="D353" s="267"/>
      <c r="E353" s="267"/>
      <c r="F353" s="267"/>
      <c r="G353" s="267"/>
      <c r="H353" s="267"/>
    </row>
    <row r="354" spans="1:8" x14ac:dyDescent="0.2">
      <c r="A354" s="266" t="s">
        <v>1070</v>
      </c>
      <c r="B354" s="268">
        <v>0.09</v>
      </c>
      <c r="C354" s="267"/>
      <c r="D354" s="267"/>
      <c r="E354" s="267"/>
      <c r="F354" s="267"/>
      <c r="G354" s="267"/>
      <c r="H354" s="267"/>
    </row>
    <row r="355" spans="1:8" x14ac:dyDescent="0.2">
      <c r="A355" s="266"/>
      <c r="B355" s="268"/>
      <c r="C355" s="267"/>
      <c r="D355" s="267"/>
      <c r="E355" s="267"/>
      <c r="F355" s="267"/>
      <c r="G355" s="267"/>
      <c r="H355" s="267"/>
    </row>
    <row r="356" spans="1:8" x14ac:dyDescent="0.2">
      <c r="A356" s="2" t="s">
        <v>1940</v>
      </c>
      <c r="B356" s="1" t="s">
        <v>1947</v>
      </c>
    </row>
    <row r="357" spans="1:8" x14ac:dyDescent="0.2">
      <c r="A357" s="1" t="s">
        <v>1941</v>
      </c>
    </row>
    <row r="358" spans="1:8" x14ac:dyDescent="0.2">
      <c r="A358" s="1" t="s">
        <v>1942</v>
      </c>
    </row>
    <row r="359" spans="1:8" x14ac:dyDescent="0.2">
      <c r="A359" s="1" t="s">
        <v>1943</v>
      </c>
    </row>
    <row r="360" spans="1:8" x14ac:dyDescent="0.2">
      <c r="A360" s="1" t="s">
        <v>1944</v>
      </c>
    </row>
    <row r="361" spans="1:8" x14ac:dyDescent="0.2">
      <c r="A361" s="1" t="s">
        <v>1945</v>
      </c>
    </row>
    <row r="362" spans="1:8" x14ac:dyDescent="0.2">
      <c r="A362" s="1" t="s">
        <v>1955</v>
      </c>
    </row>
    <row r="364" spans="1:8" x14ac:dyDescent="0.2">
      <c r="A364" s="1" t="s">
        <v>711</v>
      </c>
    </row>
    <row r="365" spans="1:8" x14ac:dyDescent="0.2">
      <c r="A365" s="1" t="s">
        <v>1946</v>
      </c>
    </row>
    <row r="367" spans="1:8" x14ac:dyDescent="0.2">
      <c r="A367" s="1" t="s">
        <v>1948</v>
      </c>
      <c r="B367" s="139">
        <f>(1+10%/2)^2-1</f>
        <v>0.10250000000000004</v>
      </c>
    </row>
    <row r="368" spans="1:8" x14ac:dyDescent="0.2">
      <c r="B368" s="139"/>
    </row>
    <row r="369" spans="1:6" x14ac:dyDescent="0.2">
      <c r="A369" s="1" t="s">
        <v>1949</v>
      </c>
      <c r="B369" s="139">
        <f>(1+4%/6)^12-1</f>
        <v>8.2999506807510004E-2</v>
      </c>
    </row>
    <row r="370" spans="1:6" x14ac:dyDescent="0.2">
      <c r="B370" s="139"/>
    </row>
    <row r="371" spans="1:6" x14ac:dyDescent="0.2">
      <c r="A371" s="1" t="s">
        <v>1950</v>
      </c>
      <c r="B371" s="139">
        <f>F372</f>
        <v>0.10756634324829006</v>
      </c>
      <c r="C371" s="1" t="s">
        <v>1951</v>
      </c>
      <c r="F371" s="140">
        <f>1/0.6-1</f>
        <v>0.66666666666666674</v>
      </c>
    </row>
    <row r="372" spans="1:6" x14ac:dyDescent="0.2">
      <c r="B372" s="139"/>
      <c r="C372" s="1" t="s">
        <v>1952</v>
      </c>
      <c r="F372" s="140">
        <f>(1+F371)^0.2-1</f>
        <v>0.10756634324829006</v>
      </c>
    </row>
    <row r="373" spans="1:6" x14ac:dyDescent="0.2">
      <c r="B373" s="139"/>
    </row>
    <row r="374" spans="1:6" x14ac:dyDescent="0.2">
      <c r="A374" s="1" t="s">
        <v>1953</v>
      </c>
      <c r="B374" s="139">
        <f>F375</f>
        <v>9.7162601985732788E-2</v>
      </c>
      <c r="C374" s="1" t="s">
        <v>1951</v>
      </c>
      <c r="F374" s="139">
        <f>D412</f>
        <v>0.58984570830160621</v>
      </c>
    </row>
    <row r="375" spans="1:6" x14ac:dyDescent="0.2">
      <c r="C375" s="1" t="s">
        <v>1954</v>
      </c>
      <c r="F375" s="139">
        <f>(1+F374)^0.2-1</f>
        <v>9.7162601985732788E-2</v>
      </c>
    </row>
    <row r="376" spans="1:6" x14ac:dyDescent="0.2">
      <c r="F376" s="139"/>
    </row>
    <row r="377" spans="1:6" x14ac:dyDescent="0.2">
      <c r="A377" s="2" t="s">
        <v>1956</v>
      </c>
      <c r="F377" s="139"/>
    </row>
    <row r="378" spans="1:6" x14ac:dyDescent="0.2">
      <c r="F378" s="139"/>
    </row>
    <row r="379" spans="1:6" x14ac:dyDescent="0.2">
      <c r="A379" s="2" t="s">
        <v>2201</v>
      </c>
      <c r="F379" s="139"/>
    </row>
    <row r="380" spans="1:6" x14ac:dyDescent="0.2">
      <c r="A380" s="1" t="s">
        <v>2202</v>
      </c>
      <c r="F380" s="139"/>
    </row>
    <row r="381" spans="1:6" x14ac:dyDescent="0.2">
      <c r="A381" s="1" t="s">
        <v>2203</v>
      </c>
      <c r="F381" s="284" t="s">
        <v>2204</v>
      </c>
    </row>
    <row r="382" spans="1:6" x14ac:dyDescent="0.2">
      <c r="F382" s="139"/>
    </row>
    <row r="383" spans="1:6" x14ac:dyDescent="0.2">
      <c r="A383" s="1" t="s">
        <v>2205</v>
      </c>
      <c r="E383" s="139">
        <f>1/0.6-1</f>
        <v>0.66666666666666674</v>
      </c>
      <c r="F383" s="284" t="s">
        <v>2206</v>
      </c>
    </row>
    <row r="384" spans="1:6" x14ac:dyDescent="0.2">
      <c r="F384" s="139"/>
    </row>
    <row r="385" spans="1:6" x14ac:dyDescent="0.2">
      <c r="A385" s="1" t="s">
        <v>2207</v>
      </c>
      <c r="F385" s="139"/>
    </row>
    <row r="386" spans="1:6" x14ac:dyDescent="0.2">
      <c r="F386" s="139"/>
    </row>
    <row r="387" spans="1:6" x14ac:dyDescent="0.2">
      <c r="A387" s="1" t="s">
        <v>796</v>
      </c>
      <c r="C387" s="156">
        <f>F372</f>
        <v>0.10756634324829006</v>
      </c>
      <c r="F387" s="139" t="s">
        <v>2208</v>
      </c>
    </row>
    <row r="388" spans="1:6" x14ac:dyDescent="0.2">
      <c r="F388" s="139"/>
    </row>
    <row r="389" spans="1:6" x14ac:dyDescent="0.2">
      <c r="F389" s="139"/>
    </row>
    <row r="390" spans="1:6" x14ac:dyDescent="0.2">
      <c r="F390" s="139"/>
    </row>
    <row r="391" spans="1:6" x14ac:dyDescent="0.2">
      <c r="F391" s="139"/>
    </row>
    <row r="392" spans="1:6" x14ac:dyDescent="0.2">
      <c r="A392" s="1" t="s">
        <v>2200</v>
      </c>
      <c r="F392" s="139"/>
    </row>
    <row r="393" spans="1:6" x14ac:dyDescent="0.2">
      <c r="A393" s="1" t="s">
        <v>2176</v>
      </c>
      <c r="F393" s="139"/>
    </row>
    <row r="394" spans="1:6" x14ac:dyDescent="0.2">
      <c r="F394" s="139"/>
    </row>
    <row r="395" spans="1:6" x14ac:dyDescent="0.2">
      <c r="A395" s="1" t="s">
        <v>2185</v>
      </c>
      <c r="F395" s="139"/>
    </row>
    <row r="396" spans="1:6" x14ac:dyDescent="0.2">
      <c r="A396" s="1" t="s">
        <v>2186</v>
      </c>
      <c r="F396" s="139"/>
    </row>
    <row r="397" spans="1:6" x14ac:dyDescent="0.2">
      <c r="A397" s="1" t="s">
        <v>2187</v>
      </c>
      <c r="F397" s="1" t="s">
        <v>2184</v>
      </c>
    </row>
    <row r="399" spans="1:6" x14ac:dyDescent="0.2">
      <c r="A399" s="1" t="s">
        <v>2188</v>
      </c>
    </row>
    <row r="400" spans="1:6" x14ac:dyDescent="0.2">
      <c r="F400" s="139"/>
    </row>
    <row r="401" spans="1:8" x14ac:dyDescent="0.2">
      <c r="C401" s="59">
        <v>5</v>
      </c>
      <c r="D401" s="59"/>
      <c r="E401" s="59"/>
      <c r="F401" s="59">
        <v>0</v>
      </c>
      <c r="G401" s="12"/>
    </row>
    <row r="402" spans="1:8" x14ac:dyDescent="0.2">
      <c r="A402" s="1" t="s">
        <v>2177</v>
      </c>
      <c r="C402" s="12">
        <f>0.1*1</f>
        <v>0.1</v>
      </c>
      <c r="D402" s="12"/>
      <c r="E402" s="12"/>
      <c r="F402" s="12">
        <v>1</v>
      </c>
      <c r="G402" s="12" t="s">
        <v>2183</v>
      </c>
    </row>
    <row r="403" spans="1:8" x14ac:dyDescent="0.2">
      <c r="A403" s="1" t="s">
        <v>2178</v>
      </c>
      <c r="C403" s="152">
        <f>1*(1+2%/3)^60</f>
        <v>1.4898457083016061</v>
      </c>
      <c r="D403" s="12"/>
      <c r="E403" s="12"/>
      <c r="F403" s="12"/>
      <c r="G403" s="12"/>
    </row>
    <row r="404" spans="1:8" x14ac:dyDescent="0.2">
      <c r="A404" s="1" t="s">
        <v>2179</v>
      </c>
      <c r="C404" s="152">
        <f>C402+C403</f>
        <v>1.5898457083016062</v>
      </c>
      <c r="D404" s="12" t="s">
        <v>2182</v>
      </c>
      <c r="E404" s="12"/>
      <c r="F404" s="12"/>
      <c r="G404" s="12"/>
    </row>
    <row r="406" spans="1:8" x14ac:dyDescent="0.2">
      <c r="A406" s="1" t="s">
        <v>2189</v>
      </c>
    </row>
    <row r="407" spans="1:8" x14ac:dyDescent="0.2">
      <c r="A407" s="1" t="s">
        <v>2190</v>
      </c>
      <c r="E407" s="283">
        <f>C403</f>
        <v>1.4898457083016061</v>
      </c>
      <c r="G407" s="1" t="s">
        <v>2191</v>
      </c>
    </row>
    <row r="408" spans="1:8" x14ac:dyDescent="0.2">
      <c r="E408" s="283"/>
    </row>
    <row r="409" spans="1:8" x14ac:dyDescent="0.2">
      <c r="A409" s="1" t="s">
        <v>2192</v>
      </c>
      <c r="E409" s="283"/>
    </row>
    <row r="410" spans="1:8" x14ac:dyDescent="0.2">
      <c r="A410" s="1" t="s">
        <v>2193</v>
      </c>
      <c r="E410" s="283"/>
    </row>
    <row r="412" spans="1:8" x14ac:dyDescent="0.2">
      <c r="A412" s="1" t="s">
        <v>2180</v>
      </c>
      <c r="D412" s="282">
        <f>C404/F402-1</f>
        <v>0.58984570830160621</v>
      </c>
      <c r="F412" s="12" t="s">
        <v>2181</v>
      </c>
      <c r="H412" s="1" t="s">
        <v>2184</v>
      </c>
    </row>
    <row r="414" spans="1:8" x14ac:dyDescent="0.2">
      <c r="A414" s="1" t="s">
        <v>2194</v>
      </c>
    </row>
    <row r="415" spans="1:8" x14ac:dyDescent="0.2">
      <c r="A415" s="1" t="s">
        <v>2195</v>
      </c>
    </row>
    <row r="417" spans="1:7" x14ac:dyDescent="0.2">
      <c r="A417" s="1" t="s">
        <v>2196</v>
      </c>
    </row>
    <row r="418" spans="1:7" x14ac:dyDescent="0.2">
      <c r="A418" s="1" t="s">
        <v>2197</v>
      </c>
    </row>
    <row r="420" spans="1:7" x14ac:dyDescent="0.2">
      <c r="A420" s="1" t="s">
        <v>2198</v>
      </c>
      <c r="E420" s="139">
        <f>(1+D412)^0.2-1</f>
        <v>9.7162601985732788E-2</v>
      </c>
      <c r="G420" s="1" t="s">
        <v>2199</v>
      </c>
    </row>
  </sheetData>
  <mergeCells count="3">
    <mergeCell ref="E83:E84"/>
    <mergeCell ref="E117:E118"/>
    <mergeCell ref="D169:D17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L381"/>
  <sheetViews>
    <sheetView rightToLeft="1" zoomScale="160" zoomScaleNormal="160" workbookViewId="0">
      <selection sqref="A1:XFD1"/>
    </sheetView>
  </sheetViews>
  <sheetFormatPr baseColWidth="10" defaultRowHeight="16" x14ac:dyDescent="0.2"/>
  <cols>
    <col min="1" max="2" width="10.83203125" style="1"/>
    <col min="3" max="3" width="11.5" style="1" customWidth="1"/>
    <col min="4" max="5" width="10.83203125" style="1"/>
    <col min="6" max="6" width="11.6640625" style="1" bestFit="1" customWidth="1"/>
    <col min="7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2175</v>
      </c>
      <c r="B1" s="29"/>
      <c r="C1" s="29"/>
      <c r="D1" s="29"/>
      <c r="E1" s="29"/>
      <c r="F1" s="29"/>
      <c r="G1" s="29"/>
      <c r="H1" s="138">
        <v>45915</v>
      </c>
    </row>
    <row r="3" spans="1:8" ht="31" x14ac:dyDescent="0.35">
      <c r="A3" s="144" t="s">
        <v>1997</v>
      </c>
    </row>
    <row r="5" spans="1:8" x14ac:dyDescent="0.2">
      <c r="A5" s="1" t="s">
        <v>1998</v>
      </c>
    </row>
    <row r="6" spans="1:8" x14ac:dyDescent="0.2">
      <c r="A6" s="1" t="s">
        <v>1999</v>
      </c>
    </row>
    <row r="7" spans="1:8" x14ac:dyDescent="0.2">
      <c r="A7" s="1" t="s">
        <v>2000</v>
      </c>
    </row>
    <row r="9" spans="1:8" x14ac:dyDescent="0.2">
      <c r="A9" s="1" t="s">
        <v>2001</v>
      </c>
    </row>
    <row r="10" spans="1:8" x14ac:dyDescent="0.2">
      <c r="A10" s="1" t="s">
        <v>2002</v>
      </c>
    </row>
    <row r="12" spans="1:8" x14ac:dyDescent="0.2">
      <c r="A12" s="1" t="s">
        <v>2003</v>
      </c>
    </row>
    <row r="13" spans="1:8" x14ac:dyDescent="0.2">
      <c r="A13" s="1" t="s">
        <v>2004</v>
      </c>
    </row>
    <row r="14" spans="1:8" x14ac:dyDescent="0.2">
      <c r="A14" s="1" t="s">
        <v>2005</v>
      </c>
    </row>
    <row r="15" spans="1:8" x14ac:dyDescent="0.2">
      <c r="B15" s="12" t="s">
        <v>2006</v>
      </c>
      <c r="C15" s="1" t="s">
        <v>2007</v>
      </c>
    </row>
    <row r="16" spans="1:8" x14ac:dyDescent="0.2">
      <c r="B16" s="12" t="s">
        <v>2008</v>
      </c>
      <c r="C16" s="1" t="s">
        <v>2009</v>
      </c>
    </row>
    <row r="18" spans="1:8" x14ac:dyDescent="0.2">
      <c r="A18" s="88" t="s">
        <v>2010</v>
      </c>
      <c r="B18" s="88"/>
      <c r="C18" s="88"/>
      <c r="D18" s="88"/>
      <c r="E18" s="88"/>
      <c r="F18" s="88"/>
      <c r="G18" s="88"/>
      <c r="H18" s="88"/>
    </row>
    <row r="20" spans="1:8" x14ac:dyDescent="0.2">
      <c r="A20" s="2" t="s">
        <v>2011</v>
      </c>
    </row>
    <row r="21" spans="1:8" x14ac:dyDescent="0.2">
      <c r="B21" s="1" t="s">
        <v>2012</v>
      </c>
    </row>
    <row r="22" spans="1:8" x14ac:dyDescent="0.2">
      <c r="B22" s="1" t="s">
        <v>2013</v>
      </c>
    </row>
    <row r="24" spans="1:8" x14ac:dyDescent="0.2">
      <c r="A24" s="2" t="s">
        <v>2014</v>
      </c>
    </row>
    <row r="26" spans="1:8" x14ac:dyDescent="0.2">
      <c r="B26" s="1" t="s">
        <v>2015</v>
      </c>
    </row>
    <row r="28" spans="1:8" x14ac:dyDescent="0.2">
      <c r="B28" s="59" t="s">
        <v>2017</v>
      </c>
      <c r="C28" s="59">
        <v>0</v>
      </c>
      <c r="D28" s="59">
        <v>1</v>
      </c>
      <c r="E28" s="59">
        <v>2</v>
      </c>
      <c r="F28" s="59">
        <v>3</v>
      </c>
      <c r="G28" s="59">
        <v>4</v>
      </c>
      <c r="H28" s="59">
        <v>5</v>
      </c>
    </row>
    <row r="29" spans="1:8" x14ac:dyDescent="0.2">
      <c r="B29" s="215" t="s">
        <v>2018</v>
      </c>
      <c r="C29" s="12">
        <v>-400</v>
      </c>
      <c r="D29" s="12">
        <v>100</v>
      </c>
      <c r="E29" s="12">
        <v>120</v>
      </c>
      <c r="F29" s="12">
        <v>300</v>
      </c>
      <c r="G29" s="12">
        <v>80</v>
      </c>
      <c r="H29" s="12">
        <v>90</v>
      </c>
    </row>
    <row r="31" spans="1:8" x14ac:dyDescent="0.2">
      <c r="A31" s="88" t="s">
        <v>2019</v>
      </c>
      <c r="B31" s="88"/>
      <c r="C31" s="88"/>
      <c r="D31" s="88"/>
      <c r="E31" s="88"/>
      <c r="F31" s="88"/>
      <c r="G31" s="88"/>
      <c r="H31" s="88"/>
    </row>
    <row r="33" spans="1:8" x14ac:dyDescent="0.2">
      <c r="A33" s="1" t="s">
        <v>2020</v>
      </c>
    </row>
    <row r="35" spans="1:8" x14ac:dyDescent="0.2">
      <c r="A35" s="2" t="s">
        <v>2021</v>
      </c>
      <c r="B35" s="2"/>
      <c r="C35" s="2"/>
      <c r="D35" s="2"/>
      <c r="E35" s="2"/>
      <c r="F35" s="2"/>
      <c r="G35" s="2"/>
      <c r="H35" s="2"/>
    </row>
    <row r="36" spans="1:8" x14ac:dyDescent="0.2">
      <c r="A36" s="2"/>
      <c r="B36" s="2" t="s">
        <v>2037</v>
      </c>
      <c r="C36" s="2"/>
      <c r="D36" s="2"/>
      <c r="E36" s="2"/>
      <c r="F36" s="2"/>
      <c r="G36" s="2"/>
      <c r="H36" s="2"/>
    </row>
    <row r="38" spans="1:8" x14ac:dyDescent="0.2">
      <c r="B38" s="1" t="s">
        <v>2025</v>
      </c>
      <c r="F38" s="1" t="s">
        <v>2022</v>
      </c>
    </row>
    <row r="39" spans="1:8" x14ac:dyDescent="0.2">
      <c r="B39" s="1" t="s">
        <v>2026</v>
      </c>
      <c r="F39" s="1" t="s">
        <v>2023</v>
      </c>
    </row>
    <row r="40" spans="1:8" x14ac:dyDescent="0.2">
      <c r="B40" s="1" t="s">
        <v>2027</v>
      </c>
      <c r="F40" s="1" t="s">
        <v>2024</v>
      </c>
    </row>
    <row r="41" spans="1:8" x14ac:dyDescent="0.2">
      <c r="B41" s="1" t="s">
        <v>2028</v>
      </c>
    </row>
    <row r="43" spans="1:8" x14ac:dyDescent="0.2">
      <c r="A43" s="2" t="s">
        <v>2029</v>
      </c>
      <c r="B43" s="2"/>
      <c r="C43" s="2"/>
      <c r="D43" s="2"/>
      <c r="E43" s="2"/>
      <c r="F43" s="2"/>
      <c r="G43" s="2"/>
      <c r="H43" s="2"/>
    </row>
    <row r="44" spans="1:8" x14ac:dyDescent="0.2">
      <c r="A44" s="2"/>
      <c r="B44" s="2" t="s">
        <v>2030</v>
      </c>
      <c r="C44" s="2"/>
      <c r="D44" s="2"/>
      <c r="E44" s="2"/>
      <c r="F44" s="2"/>
      <c r="G44" s="2"/>
      <c r="H44" s="2"/>
    </row>
    <row r="47" spans="1:8" x14ac:dyDescent="0.2">
      <c r="B47" s="1" t="s">
        <v>2034</v>
      </c>
      <c r="F47" s="1" t="s">
        <v>2031</v>
      </c>
    </row>
    <row r="48" spans="1:8" x14ac:dyDescent="0.2">
      <c r="B48" s="1" t="s">
        <v>2035</v>
      </c>
      <c r="F48" s="1" t="s">
        <v>2032</v>
      </c>
    </row>
    <row r="49" spans="1:8" x14ac:dyDescent="0.2">
      <c r="B49" s="1" t="s">
        <v>2036</v>
      </c>
      <c r="F49" s="1" t="s">
        <v>2033</v>
      </c>
    </row>
    <row r="51" spans="1:8" x14ac:dyDescent="0.2">
      <c r="A51" s="88" t="s">
        <v>2038</v>
      </c>
      <c r="B51" s="88"/>
      <c r="C51" s="88"/>
      <c r="D51" s="88"/>
      <c r="E51" s="88"/>
      <c r="F51" s="88"/>
      <c r="G51" s="88"/>
      <c r="H51" s="88"/>
    </row>
    <row r="53" spans="1:8" x14ac:dyDescent="0.2">
      <c r="A53" s="1" t="s">
        <v>2039</v>
      </c>
    </row>
    <row r="55" spans="1:8" x14ac:dyDescent="0.2">
      <c r="B55" s="58" t="s">
        <v>2017</v>
      </c>
      <c r="C55" s="59">
        <v>0</v>
      </c>
      <c r="D55" s="59">
        <v>1</v>
      </c>
      <c r="E55" s="59">
        <v>2</v>
      </c>
      <c r="F55" s="59">
        <v>3</v>
      </c>
      <c r="G55" s="59">
        <v>4</v>
      </c>
      <c r="H55" s="59">
        <v>5</v>
      </c>
    </row>
    <row r="56" spans="1:8" x14ac:dyDescent="0.2">
      <c r="B56" s="154" t="s">
        <v>2040</v>
      </c>
      <c r="C56" s="12">
        <v>-900</v>
      </c>
      <c r="D56" s="12">
        <v>200</v>
      </c>
      <c r="E56" s="12">
        <v>700</v>
      </c>
      <c r="F56" s="12">
        <v>800</v>
      </c>
      <c r="G56" s="12">
        <v>300</v>
      </c>
      <c r="H56" s="12">
        <v>500</v>
      </c>
    </row>
    <row r="58" spans="1:8" x14ac:dyDescent="0.2">
      <c r="A58" s="1" t="s">
        <v>2041</v>
      </c>
      <c r="H58" s="1" t="s">
        <v>2045</v>
      </c>
    </row>
    <row r="59" spans="1:8" hidden="1" x14ac:dyDescent="0.2"/>
    <row r="60" spans="1:8" hidden="1" x14ac:dyDescent="0.2">
      <c r="A60" s="215" t="s">
        <v>2042</v>
      </c>
      <c r="B60" s="146" t="s">
        <v>2043</v>
      </c>
      <c r="C60" s="146"/>
      <c r="D60" s="146"/>
      <c r="E60" s="146"/>
      <c r="F60" s="146"/>
      <c r="G60" s="146"/>
      <c r="H60" s="146"/>
    </row>
    <row r="61" spans="1:8" hidden="1" x14ac:dyDescent="0.2">
      <c r="A61" s="146"/>
      <c r="B61" s="146" t="s">
        <v>2044</v>
      </c>
      <c r="C61" s="146"/>
      <c r="D61" s="146"/>
      <c r="E61" s="146"/>
      <c r="F61" s="146"/>
      <c r="G61" s="146"/>
      <c r="H61" s="146"/>
    </row>
    <row r="62" spans="1:8" hidden="1" x14ac:dyDescent="0.2">
      <c r="A62" s="146"/>
      <c r="B62" s="146" t="s">
        <v>2046</v>
      </c>
      <c r="C62" s="146"/>
      <c r="D62" s="146"/>
      <c r="E62" s="146"/>
      <c r="F62" s="146"/>
      <c r="G62" s="146"/>
      <c r="H62" s="146"/>
    </row>
    <row r="63" spans="1:8" hidden="1" x14ac:dyDescent="0.2">
      <c r="A63" s="146"/>
      <c r="B63" s="146" t="s">
        <v>2047</v>
      </c>
      <c r="C63" s="146"/>
      <c r="D63" s="146"/>
      <c r="E63" s="146"/>
      <c r="F63" s="146"/>
      <c r="G63" s="146"/>
      <c r="H63" s="146"/>
    </row>
    <row r="64" spans="1:8" hidden="1" x14ac:dyDescent="0.2">
      <c r="A64" s="146"/>
      <c r="B64" s="146"/>
      <c r="C64" s="146"/>
      <c r="D64" s="146"/>
      <c r="E64" s="146"/>
      <c r="F64" s="146"/>
      <c r="G64" s="146"/>
      <c r="H64" s="146"/>
    </row>
    <row r="65" spans="1:8" hidden="1" x14ac:dyDescent="0.2">
      <c r="A65" s="2" t="s">
        <v>2048</v>
      </c>
      <c r="B65" s="146"/>
      <c r="C65" s="146"/>
      <c r="D65" s="146"/>
      <c r="E65" s="146"/>
      <c r="F65" s="146"/>
      <c r="G65" s="146"/>
      <c r="H65" s="146"/>
    </row>
    <row r="66" spans="1:8" hidden="1" x14ac:dyDescent="0.2">
      <c r="A66" s="146"/>
      <c r="B66" s="146"/>
      <c r="C66" s="146"/>
      <c r="D66" s="146"/>
      <c r="E66" s="146"/>
      <c r="F66" s="146"/>
      <c r="G66" s="146"/>
      <c r="H66" s="146"/>
    </row>
    <row r="67" spans="1:8" x14ac:dyDescent="0.2">
      <c r="A67" s="1" t="s">
        <v>27</v>
      </c>
      <c r="H67" s="146"/>
    </row>
    <row r="68" spans="1:8" x14ac:dyDescent="0.2">
      <c r="H68" s="146"/>
    </row>
    <row r="69" spans="1:8" x14ac:dyDescent="0.2">
      <c r="A69" s="1" t="s">
        <v>2049</v>
      </c>
      <c r="H69" s="146"/>
    </row>
    <row r="70" spans="1:8" x14ac:dyDescent="0.2">
      <c r="A70" s="1" t="s">
        <v>2050</v>
      </c>
      <c r="H70" s="146"/>
    </row>
    <row r="71" spans="1:8" x14ac:dyDescent="0.2">
      <c r="H71" s="146"/>
    </row>
    <row r="72" spans="1:8" x14ac:dyDescent="0.2">
      <c r="A72" s="174" t="s">
        <v>2069</v>
      </c>
      <c r="B72" s="174"/>
      <c r="C72" s="174"/>
      <c r="D72" s="174"/>
      <c r="E72" s="174"/>
      <c r="F72" s="174"/>
      <c r="G72" s="174"/>
      <c r="H72" s="273"/>
    </row>
    <row r="73" spans="1:8" x14ac:dyDescent="0.2">
      <c r="H73" s="146"/>
    </row>
    <row r="74" spans="1:8" x14ac:dyDescent="0.2">
      <c r="A74" s="154" t="s">
        <v>2051</v>
      </c>
      <c r="B74" s="146"/>
      <c r="C74" s="146"/>
      <c r="D74" s="146"/>
      <c r="E74" s="146"/>
      <c r="F74" s="146"/>
      <c r="H74" s="32" t="s">
        <v>1089</v>
      </c>
    </row>
    <row r="75" spans="1:8" x14ac:dyDescent="0.2">
      <c r="A75" s="146"/>
      <c r="B75" s="146"/>
      <c r="C75" s="146"/>
      <c r="D75" s="146"/>
      <c r="E75" s="146"/>
      <c r="F75" s="146"/>
      <c r="G75" s="146"/>
      <c r="H75" s="146"/>
    </row>
    <row r="76" spans="1:8" x14ac:dyDescent="0.2">
      <c r="A76" s="154" t="s">
        <v>2052</v>
      </c>
      <c r="B76" s="146"/>
      <c r="C76" s="146"/>
      <c r="D76" s="146"/>
      <c r="E76" s="146"/>
      <c r="F76" s="12">
        <v>0</v>
      </c>
      <c r="G76" s="12" t="s">
        <v>42</v>
      </c>
      <c r="H76" s="1" t="s">
        <v>2053</v>
      </c>
    </row>
    <row r="77" spans="1:8" x14ac:dyDescent="0.2">
      <c r="A77" s="146"/>
      <c r="B77" s="146"/>
      <c r="C77" s="146"/>
      <c r="D77" s="146"/>
      <c r="E77" s="146"/>
      <c r="F77" s="146"/>
      <c r="G77" s="146"/>
      <c r="H77" s="146"/>
    </row>
    <row r="78" spans="1:8" x14ac:dyDescent="0.2">
      <c r="A78" s="146"/>
      <c r="B78" s="146"/>
      <c r="C78" s="146"/>
      <c r="D78" s="59" t="s">
        <v>1095</v>
      </c>
      <c r="E78" s="146"/>
      <c r="F78" s="146"/>
      <c r="G78" s="271" t="s">
        <v>2055</v>
      </c>
      <c r="H78" s="32" t="s">
        <v>2054</v>
      </c>
    </row>
    <row r="79" spans="1:8" x14ac:dyDescent="0.2">
      <c r="A79" s="146"/>
      <c r="B79" s="146" t="s">
        <v>2056</v>
      </c>
      <c r="C79" s="146"/>
      <c r="D79" s="12">
        <v>-900</v>
      </c>
      <c r="E79" s="12">
        <v>1</v>
      </c>
      <c r="F79" s="146"/>
      <c r="G79" s="146"/>
      <c r="H79" s="146"/>
    </row>
    <row r="80" spans="1:8" x14ac:dyDescent="0.2">
      <c r="A80" s="146"/>
      <c r="B80" s="146" t="s">
        <v>2057</v>
      </c>
      <c r="C80" s="146"/>
      <c r="D80" s="12">
        <v>200</v>
      </c>
      <c r="E80" s="12">
        <v>2</v>
      </c>
      <c r="F80" s="1" t="s">
        <v>2061</v>
      </c>
      <c r="G80" s="146"/>
      <c r="H80" s="146"/>
    </row>
    <row r="81" spans="1:8" x14ac:dyDescent="0.2">
      <c r="A81" s="146"/>
      <c r="B81" s="146" t="s">
        <v>2058</v>
      </c>
      <c r="C81" s="146"/>
      <c r="D81" s="12">
        <v>700</v>
      </c>
      <c r="E81" s="12">
        <v>3</v>
      </c>
      <c r="F81" s="146"/>
      <c r="G81" s="146"/>
      <c r="H81" s="146"/>
    </row>
    <row r="82" spans="1:8" x14ac:dyDescent="0.2">
      <c r="A82" s="146"/>
      <c r="B82" s="146" t="s">
        <v>2059</v>
      </c>
      <c r="C82" s="146"/>
      <c r="D82" s="12">
        <v>800</v>
      </c>
      <c r="E82" s="12">
        <v>4</v>
      </c>
      <c r="F82" s="146"/>
      <c r="G82" s="146"/>
      <c r="H82" s="146"/>
    </row>
    <row r="83" spans="1:8" x14ac:dyDescent="0.2">
      <c r="A83" s="146"/>
      <c r="B83" s="146" t="s">
        <v>2060</v>
      </c>
      <c r="C83" s="146"/>
      <c r="D83" s="12">
        <v>300</v>
      </c>
      <c r="E83" s="12">
        <v>5</v>
      </c>
      <c r="F83" s="146"/>
      <c r="G83" s="146"/>
      <c r="H83" s="146"/>
    </row>
    <row r="84" spans="1:8" x14ac:dyDescent="0.2">
      <c r="D84" s="12">
        <v>500</v>
      </c>
      <c r="E84" s="12">
        <v>6</v>
      </c>
      <c r="F84" s="1" t="s">
        <v>2062</v>
      </c>
      <c r="H84" s="32" t="s">
        <v>2063</v>
      </c>
    </row>
    <row r="86" spans="1:8" x14ac:dyDescent="0.2">
      <c r="F86" s="99">
        <f>IRR(D79:D84)</f>
        <v>0.43682687235555706</v>
      </c>
      <c r="G86" s="1" t="s">
        <v>2064</v>
      </c>
      <c r="H86" s="230" t="s">
        <v>51</v>
      </c>
    </row>
    <row r="88" spans="1:8" x14ac:dyDescent="0.2">
      <c r="A88" s="1" t="s">
        <v>2065</v>
      </c>
    </row>
    <row r="89" spans="1:8" x14ac:dyDescent="0.2">
      <c r="A89" s="1" t="s">
        <v>2066</v>
      </c>
    </row>
    <row r="91" spans="1:8" x14ac:dyDescent="0.2">
      <c r="A91" s="2" t="s">
        <v>2067</v>
      </c>
    </row>
    <row r="92" spans="1:8" x14ac:dyDescent="0.2">
      <c r="A92" s="2" t="s">
        <v>2068</v>
      </c>
    </row>
    <row r="94" spans="1:8" x14ac:dyDescent="0.2">
      <c r="A94" s="174" t="s">
        <v>2070</v>
      </c>
      <c r="B94" s="174"/>
      <c r="C94" s="174"/>
      <c r="D94" s="174"/>
      <c r="E94" s="174"/>
      <c r="F94" s="174"/>
      <c r="G94" s="174"/>
      <c r="H94" s="273"/>
    </row>
    <row r="96" spans="1:8" x14ac:dyDescent="0.2">
      <c r="A96" s="1" t="s">
        <v>2071</v>
      </c>
    </row>
    <row r="97" spans="1:9" x14ac:dyDescent="0.2">
      <c r="A97" s="1" t="s">
        <v>2072</v>
      </c>
    </row>
    <row r="98" spans="1:9" x14ac:dyDescent="0.2">
      <c r="A98" s="1" t="s">
        <v>2073</v>
      </c>
    </row>
    <row r="100" spans="1:9" x14ac:dyDescent="0.2">
      <c r="A100" s="154" t="s">
        <v>2051</v>
      </c>
      <c r="B100" s="146"/>
      <c r="C100" s="146"/>
      <c r="D100" s="146"/>
      <c r="E100" s="146"/>
      <c r="F100" s="146"/>
      <c r="H100" s="32" t="s">
        <v>1089</v>
      </c>
    </row>
    <row r="101" spans="1:9" x14ac:dyDescent="0.2">
      <c r="A101" s="146"/>
      <c r="B101" s="146"/>
      <c r="C101" s="146"/>
      <c r="D101" s="146"/>
      <c r="E101" s="146"/>
      <c r="F101" s="146"/>
      <c r="G101" s="146"/>
      <c r="H101" s="146"/>
    </row>
    <row r="102" spans="1:9" x14ac:dyDescent="0.2">
      <c r="A102" s="154" t="s">
        <v>2052</v>
      </c>
      <c r="B102" s="146"/>
      <c r="C102" s="146"/>
      <c r="D102" s="146"/>
      <c r="E102" s="146"/>
      <c r="F102" s="219">
        <v>8</v>
      </c>
      <c r="G102" s="12" t="s">
        <v>42</v>
      </c>
      <c r="H102" s="1" t="s">
        <v>2074</v>
      </c>
    </row>
    <row r="103" spans="1:9" x14ac:dyDescent="0.2">
      <c r="A103" s="146"/>
      <c r="B103" s="146"/>
      <c r="C103" s="146"/>
      <c r="D103" s="146"/>
      <c r="E103" s="146"/>
      <c r="F103" s="146"/>
      <c r="G103" s="146"/>
      <c r="H103" s="146"/>
    </row>
    <row r="104" spans="1:9" x14ac:dyDescent="0.2">
      <c r="A104" s="146"/>
      <c r="B104" s="146"/>
      <c r="C104" s="146"/>
      <c r="D104" s="59" t="s">
        <v>1095</v>
      </c>
      <c r="E104" s="146"/>
      <c r="F104" s="146"/>
      <c r="G104" s="271" t="s">
        <v>2055</v>
      </c>
      <c r="H104" s="32" t="s">
        <v>2054</v>
      </c>
      <c r="I104" s="1" t="s">
        <v>2075</v>
      </c>
    </row>
    <row r="105" spans="1:9" x14ac:dyDescent="0.2">
      <c r="A105" s="146"/>
      <c r="B105" s="146" t="s">
        <v>2056</v>
      </c>
      <c r="C105" s="146"/>
      <c r="D105" s="12">
        <v>-900</v>
      </c>
      <c r="E105" s="12">
        <v>1</v>
      </c>
      <c r="F105" s="146"/>
      <c r="G105" s="146"/>
      <c r="H105" s="146"/>
      <c r="I105" s="1" t="s">
        <v>2076</v>
      </c>
    </row>
    <row r="106" spans="1:9" x14ac:dyDescent="0.2">
      <c r="A106" s="146"/>
      <c r="B106" s="146" t="s">
        <v>2057</v>
      </c>
      <c r="C106" s="146"/>
      <c r="D106" s="12">
        <v>200</v>
      </c>
      <c r="E106" s="12">
        <v>2</v>
      </c>
      <c r="G106" s="146"/>
      <c r="H106" s="146"/>
    </row>
    <row r="107" spans="1:9" x14ac:dyDescent="0.2">
      <c r="A107" s="146"/>
      <c r="B107" s="146" t="s">
        <v>2058</v>
      </c>
      <c r="C107" s="146"/>
      <c r="D107" s="12">
        <v>700</v>
      </c>
      <c r="E107" s="12">
        <v>3</v>
      </c>
      <c r="F107" s="1" t="s">
        <v>2061</v>
      </c>
      <c r="G107" s="146"/>
      <c r="H107" s="146"/>
    </row>
    <row r="108" spans="1:9" x14ac:dyDescent="0.2">
      <c r="A108" s="146"/>
      <c r="B108" s="146" t="s">
        <v>2059</v>
      </c>
      <c r="C108" s="146"/>
      <c r="D108" s="12">
        <v>800</v>
      </c>
      <c r="E108" s="12">
        <v>4</v>
      </c>
      <c r="F108" s="146"/>
      <c r="G108" s="146"/>
      <c r="H108" s="146"/>
    </row>
    <row r="109" spans="1:9" x14ac:dyDescent="0.2">
      <c r="A109" s="146"/>
      <c r="B109" s="146" t="s">
        <v>2060</v>
      </c>
      <c r="C109" s="146"/>
      <c r="D109" s="12">
        <v>300</v>
      </c>
      <c r="E109" s="12">
        <v>5</v>
      </c>
      <c r="F109" s="146"/>
      <c r="G109" s="146"/>
      <c r="H109" s="146"/>
    </row>
    <row r="110" spans="1:9" x14ac:dyDescent="0.2">
      <c r="D110" s="12">
        <v>500</v>
      </c>
      <c r="E110" s="12">
        <v>6</v>
      </c>
      <c r="F110" s="1" t="s">
        <v>2062</v>
      </c>
      <c r="H110" s="32" t="s">
        <v>2063</v>
      </c>
    </row>
    <row r="112" spans="1:9" x14ac:dyDescent="0.2">
      <c r="F112" s="42">
        <f>NPV(F102/100,D106:D110)+D105</f>
        <v>1081.1887065683818</v>
      </c>
      <c r="G112" s="1" t="s">
        <v>2077</v>
      </c>
      <c r="H112" s="230" t="s">
        <v>51</v>
      </c>
    </row>
    <row r="114" spans="1:9" x14ac:dyDescent="0.2">
      <c r="A114" s="1" t="s">
        <v>2078</v>
      </c>
    </row>
    <row r="115" spans="1:9" x14ac:dyDescent="0.2">
      <c r="A115" s="1" t="s">
        <v>2079</v>
      </c>
    </row>
    <row r="116" spans="1:9" x14ac:dyDescent="0.2">
      <c r="A116" s="2" t="s">
        <v>2080</v>
      </c>
    </row>
    <row r="117" spans="1:9" ht="17" thickBot="1" x14ac:dyDescent="0.25"/>
    <row r="118" spans="1:9" x14ac:dyDescent="0.2">
      <c r="A118" s="21" t="s">
        <v>693</v>
      </c>
      <c r="B118" s="31"/>
      <c r="C118" s="31"/>
      <c r="D118" s="31"/>
      <c r="E118" s="31"/>
      <c r="F118" s="31"/>
      <c r="G118" s="31"/>
      <c r="H118" s="31"/>
      <c r="I118" s="23"/>
    </row>
    <row r="119" spans="1:9" x14ac:dyDescent="0.2">
      <c r="A119" s="123" t="s">
        <v>2081</v>
      </c>
      <c r="I119" s="25"/>
    </row>
    <row r="120" spans="1:9" x14ac:dyDescent="0.2">
      <c r="A120" s="123" t="s">
        <v>2082</v>
      </c>
      <c r="I120" s="25"/>
    </row>
    <row r="121" spans="1:9" x14ac:dyDescent="0.2">
      <c r="A121" s="123" t="s">
        <v>2083</v>
      </c>
      <c r="I121" s="25"/>
    </row>
    <row r="122" spans="1:9" ht="17" thickBot="1" x14ac:dyDescent="0.25">
      <c r="A122" s="125" t="s">
        <v>2084</v>
      </c>
      <c r="B122" s="27"/>
      <c r="C122" s="27"/>
      <c r="D122" s="27"/>
      <c r="E122" s="27"/>
      <c r="F122" s="27"/>
      <c r="G122" s="27"/>
      <c r="H122" s="27"/>
      <c r="I122" s="28"/>
    </row>
    <row r="124" spans="1:9" x14ac:dyDescent="0.2">
      <c r="A124" s="88" t="s">
        <v>2085</v>
      </c>
      <c r="B124" s="88"/>
      <c r="C124" s="88"/>
      <c r="D124" s="88"/>
      <c r="E124" s="88"/>
      <c r="F124" s="88"/>
      <c r="G124" s="88"/>
      <c r="H124" s="88"/>
    </row>
    <row r="125" spans="1:9" x14ac:dyDescent="0.2">
      <c r="A125" s="1" t="s">
        <v>2086</v>
      </c>
    </row>
    <row r="126" spans="1:9" x14ac:dyDescent="0.2">
      <c r="A126" s="1" t="s">
        <v>2087</v>
      </c>
    </row>
    <row r="128" spans="1:9" x14ac:dyDescent="0.2">
      <c r="A128" s="1" t="s">
        <v>2088</v>
      </c>
    </row>
    <row r="129" spans="1:7" x14ac:dyDescent="0.2">
      <c r="A129" s="1" t="s">
        <v>2089</v>
      </c>
    </row>
    <row r="131" spans="1:7" x14ac:dyDescent="0.2">
      <c r="A131" s="1" t="s">
        <v>2090</v>
      </c>
    </row>
    <row r="132" spans="1:7" x14ac:dyDescent="0.2">
      <c r="A132" s="1" t="s">
        <v>2091</v>
      </c>
    </row>
    <row r="133" spans="1:7" x14ac:dyDescent="0.2">
      <c r="B133" s="1" t="s">
        <v>2092</v>
      </c>
    </row>
    <row r="134" spans="1:7" x14ac:dyDescent="0.2">
      <c r="B134" s="1" t="s">
        <v>2093</v>
      </c>
    </row>
    <row r="136" spans="1:7" x14ac:dyDescent="0.2">
      <c r="A136" s="1" t="s">
        <v>2094</v>
      </c>
    </row>
    <row r="137" spans="1:7" x14ac:dyDescent="0.2">
      <c r="B137" s="1" t="s">
        <v>2095</v>
      </c>
    </row>
    <row r="138" spans="1:7" x14ac:dyDescent="0.2">
      <c r="B138" s="1" t="s">
        <v>2096</v>
      </c>
    </row>
    <row r="140" spans="1:7" x14ac:dyDescent="0.2">
      <c r="A140" s="151" t="s">
        <v>2097</v>
      </c>
      <c r="B140" s="150"/>
      <c r="C140" s="150"/>
      <c r="D140" s="150"/>
      <c r="E140" s="150"/>
      <c r="F140" s="150"/>
      <c r="G140" s="150"/>
    </row>
    <row r="142" spans="1:7" x14ac:dyDescent="0.2">
      <c r="A142" s="1" t="s">
        <v>2098</v>
      </c>
    </row>
    <row r="144" spans="1:7" x14ac:dyDescent="0.2">
      <c r="B144" s="58" t="s">
        <v>2016</v>
      </c>
      <c r="C144" s="58" t="s">
        <v>2099</v>
      </c>
      <c r="D144" s="58" t="s">
        <v>2100</v>
      </c>
    </row>
    <row r="145" spans="1:10" x14ac:dyDescent="0.2">
      <c r="B145" s="1">
        <v>0</v>
      </c>
      <c r="C145" s="1">
        <v>-200</v>
      </c>
      <c r="D145" s="1">
        <v>-2000</v>
      </c>
    </row>
    <row r="146" spans="1:10" x14ac:dyDescent="0.2">
      <c r="B146" s="1">
        <v>1</v>
      </c>
      <c r="C146" s="1">
        <v>50</v>
      </c>
      <c r="D146" s="1">
        <v>400</v>
      </c>
    </row>
    <row r="147" spans="1:10" x14ac:dyDescent="0.2">
      <c r="B147" s="1">
        <v>2</v>
      </c>
      <c r="C147" s="1">
        <v>50</v>
      </c>
      <c r="D147" s="1">
        <v>400</v>
      </c>
    </row>
    <row r="148" spans="1:10" x14ac:dyDescent="0.2">
      <c r="B148" s="1">
        <v>3</v>
      </c>
      <c r="C148" s="1">
        <v>50</v>
      </c>
      <c r="D148" s="1">
        <v>400</v>
      </c>
    </row>
    <row r="149" spans="1:10" x14ac:dyDescent="0.2">
      <c r="B149" s="1">
        <v>4</v>
      </c>
      <c r="C149" s="1">
        <v>50</v>
      </c>
      <c r="D149" s="1">
        <v>400</v>
      </c>
    </row>
    <row r="150" spans="1:10" x14ac:dyDescent="0.2">
      <c r="B150" s="1">
        <v>5</v>
      </c>
      <c r="C150" s="1">
        <v>50</v>
      </c>
      <c r="D150" s="1">
        <v>400</v>
      </c>
    </row>
    <row r="151" spans="1:10" x14ac:dyDescent="0.2">
      <c r="B151" s="1">
        <v>6</v>
      </c>
      <c r="C151" s="1">
        <v>60</v>
      </c>
      <c r="D151" s="1">
        <v>440</v>
      </c>
    </row>
    <row r="153" spans="1:10" x14ac:dyDescent="0.2">
      <c r="A153" s="1" t="s">
        <v>711</v>
      </c>
    </row>
    <row r="154" spans="1:10" x14ac:dyDescent="0.2">
      <c r="A154" s="1" t="s">
        <v>2101</v>
      </c>
    </row>
    <row r="155" spans="1:10" x14ac:dyDescent="0.2">
      <c r="A155" s="1" t="s">
        <v>2102</v>
      </c>
    </row>
    <row r="156" spans="1:10" x14ac:dyDescent="0.2">
      <c r="A156" s="1" t="s">
        <v>2103</v>
      </c>
    </row>
    <row r="157" spans="1:10" x14ac:dyDescent="0.2">
      <c r="A157" s="1" t="s">
        <v>2104</v>
      </c>
    </row>
    <row r="158" spans="1:10" x14ac:dyDescent="0.2">
      <c r="A158" s="1" t="s">
        <v>2105</v>
      </c>
    </row>
    <row r="159" spans="1:10" ht="17" thickBot="1" x14ac:dyDescent="0.25"/>
    <row r="160" spans="1:10" x14ac:dyDescent="0.2">
      <c r="B160" s="58" t="s">
        <v>2016</v>
      </c>
      <c r="C160" s="58" t="s">
        <v>2099</v>
      </c>
      <c r="D160" s="58" t="s">
        <v>2100</v>
      </c>
      <c r="F160" s="21" t="s">
        <v>2106</v>
      </c>
      <c r="G160" s="22"/>
      <c r="H160" s="22"/>
      <c r="I160" s="22"/>
      <c r="J160" s="122"/>
    </row>
    <row r="161" spans="1:10" x14ac:dyDescent="0.2">
      <c r="B161" s="1">
        <v>0</v>
      </c>
      <c r="C161" s="12">
        <v>-200</v>
      </c>
      <c r="D161" s="12">
        <v>-2000</v>
      </c>
      <c r="F161" s="123" t="s">
        <v>2107</v>
      </c>
      <c r="G161" s="2"/>
      <c r="H161" s="2"/>
      <c r="I161" s="2"/>
      <c r="J161" s="124"/>
    </row>
    <row r="162" spans="1:10" x14ac:dyDescent="0.2">
      <c r="B162" s="1">
        <v>1</v>
      </c>
      <c r="C162" s="12">
        <v>50</v>
      </c>
      <c r="D162" s="12">
        <v>400</v>
      </c>
      <c r="F162" s="123" t="s">
        <v>2108</v>
      </c>
      <c r="G162" s="2"/>
      <c r="H162" s="2"/>
      <c r="I162" s="2"/>
      <c r="J162" s="124"/>
    </row>
    <row r="163" spans="1:10" x14ac:dyDescent="0.2">
      <c r="B163" s="1">
        <v>2</v>
      </c>
      <c r="C163" s="12">
        <v>50</v>
      </c>
      <c r="D163" s="12">
        <v>400</v>
      </c>
      <c r="F163" s="123" t="s">
        <v>2109</v>
      </c>
      <c r="G163" s="2"/>
      <c r="H163" s="2"/>
      <c r="I163" s="2"/>
      <c r="J163" s="124"/>
    </row>
    <row r="164" spans="1:10" x14ac:dyDescent="0.2">
      <c r="B164" s="1">
        <v>3</v>
      </c>
      <c r="C164" s="12">
        <v>50</v>
      </c>
      <c r="D164" s="12">
        <v>400</v>
      </c>
      <c r="F164" s="123" t="s">
        <v>2110</v>
      </c>
      <c r="G164" s="2"/>
      <c r="H164" s="2"/>
      <c r="I164" s="2"/>
      <c r="J164" s="124"/>
    </row>
    <row r="165" spans="1:10" x14ac:dyDescent="0.2">
      <c r="B165" s="1">
        <v>4</v>
      </c>
      <c r="C165" s="12">
        <v>50</v>
      </c>
      <c r="D165" s="12">
        <v>400</v>
      </c>
      <c r="F165" s="123"/>
      <c r="G165" s="2"/>
      <c r="H165" s="2"/>
      <c r="I165" s="2"/>
      <c r="J165" s="124"/>
    </row>
    <row r="166" spans="1:10" x14ac:dyDescent="0.2">
      <c r="B166" s="1">
        <v>5</v>
      </c>
      <c r="C166" s="12">
        <v>50</v>
      </c>
      <c r="D166" s="12">
        <v>400</v>
      </c>
      <c r="F166" s="123" t="s">
        <v>2111</v>
      </c>
      <c r="G166" s="2"/>
      <c r="H166" s="2"/>
      <c r="I166" s="2"/>
      <c r="J166" s="124"/>
    </row>
    <row r="167" spans="1:10" x14ac:dyDescent="0.2">
      <c r="B167" s="1">
        <v>6</v>
      </c>
      <c r="C167" s="12">
        <v>60</v>
      </c>
      <c r="D167" s="12">
        <v>440</v>
      </c>
      <c r="F167" s="123" t="s">
        <v>2109</v>
      </c>
      <c r="G167" s="2"/>
      <c r="H167" s="2"/>
      <c r="I167" s="2"/>
      <c r="J167" s="124"/>
    </row>
    <row r="168" spans="1:10" ht="17" thickBot="1" x14ac:dyDescent="0.25">
      <c r="F168" s="125" t="s">
        <v>2110</v>
      </c>
      <c r="G168" s="260"/>
      <c r="H168" s="260"/>
      <c r="I168" s="260"/>
      <c r="J168" s="126"/>
    </row>
    <row r="169" spans="1:10" x14ac:dyDescent="0.2">
      <c r="A169" s="35" t="s">
        <v>1939</v>
      </c>
      <c r="B169" s="12"/>
      <c r="C169" s="149" t="s">
        <v>290</v>
      </c>
      <c r="D169" s="149" t="s">
        <v>291</v>
      </c>
    </row>
    <row r="170" spans="1:10" x14ac:dyDescent="0.2">
      <c r="A170" s="35" t="s">
        <v>2112</v>
      </c>
      <c r="B170" s="12" t="s">
        <v>2006</v>
      </c>
      <c r="C170" s="264">
        <f>IRR(C161:C167)</f>
        <v>0.1381908331719397</v>
      </c>
      <c r="D170" s="265">
        <f>IRR(D161:D167)</f>
        <v>5.9232966282503519E-2</v>
      </c>
      <c r="F170" s="1" t="s">
        <v>2115</v>
      </c>
    </row>
    <row r="171" spans="1:10" x14ac:dyDescent="0.2">
      <c r="F171" s="1" t="s">
        <v>2113</v>
      </c>
    </row>
    <row r="173" spans="1:10" x14ac:dyDescent="0.2">
      <c r="B173" s="12" t="s">
        <v>2008</v>
      </c>
      <c r="C173" s="36">
        <f>NPV(4%,C162:C167)+C161</f>
        <v>70.009988094618961</v>
      </c>
      <c r="D173" s="42">
        <f>NPV(4%,D162:D167)+D161</f>
        <v>128.46732372774613</v>
      </c>
      <c r="F173" s="1" t="s">
        <v>2116</v>
      </c>
    </row>
    <row r="174" spans="1:10" x14ac:dyDescent="0.2">
      <c r="F174" s="1" t="s">
        <v>2114</v>
      </c>
    </row>
    <row r="176" spans="1:10" x14ac:dyDescent="0.2">
      <c r="A176" s="2" t="s">
        <v>2117</v>
      </c>
    </row>
    <row r="177" spans="1:8" x14ac:dyDescent="0.2">
      <c r="A177" s="1" t="s">
        <v>2118</v>
      </c>
    </row>
    <row r="178" spans="1:8" x14ac:dyDescent="0.2">
      <c r="A178" s="1" t="s">
        <v>2119</v>
      </c>
    </row>
    <row r="179" spans="1:8" x14ac:dyDescent="0.2">
      <c r="A179" s="1" t="s">
        <v>2120</v>
      </c>
    </row>
    <row r="180" spans="1:8" x14ac:dyDescent="0.2">
      <c r="A180" s="1" t="s">
        <v>2121</v>
      </c>
    </row>
    <row r="181" spans="1:8" x14ac:dyDescent="0.2">
      <c r="A181" s="1" t="s">
        <v>2122</v>
      </c>
    </row>
    <row r="182" spans="1:8" x14ac:dyDescent="0.2">
      <c r="A182" s="1" t="s">
        <v>2123</v>
      </c>
    </row>
    <row r="183" spans="1:8" x14ac:dyDescent="0.2">
      <c r="A183" s="1" t="s">
        <v>2124</v>
      </c>
    </row>
    <row r="184" spans="1:8" ht="17" thickBot="1" x14ac:dyDescent="0.25"/>
    <row r="185" spans="1:8" x14ac:dyDescent="0.2">
      <c r="A185" s="21" t="s">
        <v>2125</v>
      </c>
      <c r="B185" s="31"/>
      <c r="C185" s="31"/>
      <c r="D185" s="31"/>
      <c r="E185" s="31"/>
      <c r="F185" s="31"/>
      <c r="G185" s="31"/>
      <c r="H185" s="23"/>
    </row>
    <row r="186" spans="1:8" x14ac:dyDescent="0.2">
      <c r="A186" s="24" t="s">
        <v>2126</v>
      </c>
      <c r="H186" s="25"/>
    </row>
    <row r="187" spans="1:8" x14ac:dyDescent="0.2">
      <c r="A187" s="24" t="s">
        <v>2127</v>
      </c>
      <c r="H187" s="25"/>
    </row>
    <row r="188" spans="1:8" x14ac:dyDescent="0.2">
      <c r="A188" s="24" t="s">
        <v>2128</v>
      </c>
      <c r="H188" s="25"/>
    </row>
    <row r="189" spans="1:8" x14ac:dyDescent="0.2">
      <c r="A189" s="24" t="s">
        <v>2129</v>
      </c>
      <c r="H189" s="25"/>
    </row>
    <row r="190" spans="1:8" x14ac:dyDescent="0.2">
      <c r="A190" s="24" t="s">
        <v>2130</v>
      </c>
      <c r="H190" s="25"/>
    </row>
    <row r="191" spans="1:8" ht="17" thickBot="1" x14ac:dyDescent="0.25">
      <c r="A191" s="26" t="s">
        <v>2131</v>
      </c>
      <c r="B191" s="27"/>
      <c r="C191" s="27"/>
      <c r="D191" s="27"/>
      <c r="E191" s="27"/>
      <c r="F191" s="27"/>
      <c r="G191" s="27"/>
      <c r="H191" s="28"/>
    </row>
    <row r="193" spans="1:8" x14ac:dyDescent="0.2">
      <c r="A193" s="150" t="s">
        <v>2132</v>
      </c>
      <c r="B193" s="150"/>
      <c r="C193" s="150"/>
      <c r="D193" s="150"/>
      <c r="E193" s="150"/>
      <c r="F193" s="150"/>
      <c r="G193" s="150"/>
      <c r="H193" s="150"/>
    </row>
    <row r="195" spans="1:8" x14ac:dyDescent="0.2">
      <c r="A195" s="1" t="s">
        <v>2133</v>
      </c>
    </row>
    <row r="197" spans="1:8" x14ac:dyDescent="0.2">
      <c r="B197" s="1" t="s">
        <v>2016</v>
      </c>
      <c r="C197" s="1" t="s">
        <v>290</v>
      </c>
      <c r="D197" s="1" t="s">
        <v>291</v>
      </c>
      <c r="E197" s="1" t="s">
        <v>292</v>
      </c>
    </row>
    <row r="198" spans="1:8" x14ac:dyDescent="0.2">
      <c r="B198" s="1">
        <v>0</v>
      </c>
      <c r="C198" s="1">
        <v>-100</v>
      </c>
      <c r="D198" s="1">
        <v>-1000</v>
      </c>
      <c r="E198" s="1">
        <v>-10000</v>
      </c>
    </row>
    <row r="199" spans="1:8" x14ac:dyDescent="0.2">
      <c r="B199" s="1">
        <v>1</v>
      </c>
      <c r="C199" s="1">
        <v>80</v>
      </c>
      <c r="D199" s="1">
        <v>700</v>
      </c>
      <c r="E199" s="1">
        <v>6000</v>
      </c>
    </row>
    <row r="200" spans="1:8" x14ac:dyDescent="0.2">
      <c r="B200" s="1">
        <v>2</v>
      </c>
      <c r="C200" s="1">
        <v>80</v>
      </c>
      <c r="D200" s="1">
        <v>700</v>
      </c>
      <c r="E200" s="1">
        <v>6000</v>
      </c>
    </row>
    <row r="201" spans="1:8" x14ac:dyDescent="0.2">
      <c r="B201" s="1">
        <v>3</v>
      </c>
      <c r="C201" s="1">
        <v>80</v>
      </c>
      <c r="D201" s="1">
        <v>700</v>
      </c>
      <c r="E201" s="1">
        <v>6000</v>
      </c>
    </row>
    <row r="203" spans="1:8" x14ac:dyDescent="0.2">
      <c r="A203" s="1" t="s">
        <v>2134</v>
      </c>
    </row>
    <row r="205" spans="1:8" x14ac:dyDescent="0.2">
      <c r="A205" s="1" t="s">
        <v>711</v>
      </c>
    </row>
    <row r="206" spans="1:8" x14ac:dyDescent="0.2">
      <c r="A206" s="1" t="s">
        <v>2135</v>
      </c>
    </row>
    <row r="207" spans="1:8" x14ac:dyDescent="0.2">
      <c r="A207" s="1" t="s">
        <v>2136</v>
      </c>
    </row>
    <row r="208" spans="1:8" x14ac:dyDescent="0.2">
      <c r="A208" s="1" t="s">
        <v>2137</v>
      </c>
    </row>
    <row r="209" spans="1:8" x14ac:dyDescent="0.2">
      <c r="A209" s="1" t="s">
        <v>2138</v>
      </c>
    </row>
    <row r="210" spans="1:8" x14ac:dyDescent="0.2">
      <c r="A210" s="1" t="s">
        <v>2139</v>
      </c>
    </row>
    <row r="211" spans="1:8" x14ac:dyDescent="0.2">
      <c r="A211" s="1" t="s">
        <v>2140</v>
      </c>
    </row>
    <row r="213" spans="1:8" x14ac:dyDescent="0.2">
      <c r="A213" s="29" t="s">
        <v>2141</v>
      </c>
      <c r="B213" s="29"/>
      <c r="C213" s="29"/>
      <c r="D213" s="29"/>
      <c r="E213" s="29"/>
      <c r="F213" s="29"/>
      <c r="G213" s="29"/>
      <c r="H213" s="29"/>
    </row>
    <row r="214" spans="1:8" x14ac:dyDescent="0.2">
      <c r="B214" s="59" t="s">
        <v>2016</v>
      </c>
      <c r="C214" s="59" t="s">
        <v>290</v>
      </c>
      <c r="D214" s="59" t="s">
        <v>291</v>
      </c>
      <c r="E214" s="59" t="s">
        <v>292</v>
      </c>
    </row>
    <row r="215" spans="1:8" x14ac:dyDescent="0.2">
      <c r="B215" s="12">
        <v>0</v>
      </c>
      <c r="C215" s="12">
        <v>-100</v>
      </c>
      <c r="D215" s="12">
        <v>-1000</v>
      </c>
      <c r="E215" s="12">
        <v>-10000</v>
      </c>
      <c r="G215" s="1" t="s">
        <v>2142</v>
      </c>
    </row>
    <row r="216" spans="1:8" x14ac:dyDescent="0.2">
      <c r="B216" s="12">
        <v>1</v>
      </c>
      <c r="C216" s="12">
        <v>80</v>
      </c>
      <c r="D216" s="12">
        <v>700</v>
      </c>
      <c r="E216" s="12">
        <v>6000</v>
      </c>
      <c r="G216" s="1" t="s">
        <v>2143</v>
      </c>
    </row>
    <row r="217" spans="1:8" x14ac:dyDescent="0.2">
      <c r="B217" s="12">
        <v>2</v>
      </c>
      <c r="C217" s="12">
        <v>80</v>
      </c>
      <c r="D217" s="12">
        <v>700</v>
      </c>
      <c r="E217" s="12">
        <v>6000</v>
      </c>
      <c r="G217" s="1" t="s">
        <v>2144</v>
      </c>
    </row>
    <row r="218" spans="1:8" x14ac:dyDescent="0.2">
      <c r="B218" s="12">
        <v>3</v>
      </c>
      <c r="C218" s="12">
        <v>80</v>
      </c>
      <c r="D218" s="12">
        <v>700</v>
      </c>
      <c r="E218" s="12">
        <v>6000</v>
      </c>
      <c r="G218" s="1" t="s">
        <v>2145</v>
      </c>
    </row>
    <row r="219" spans="1:8" x14ac:dyDescent="0.2">
      <c r="G219" s="1" t="s">
        <v>2146</v>
      </c>
    </row>
    <row r="220" spans="1:8" x14ac:dyDescent="0.2">
      <c r="B220" s="12" t="s">
        <v>2006</v>
      </c>
      <c r="C220" s="274">
        <f>IRR(C215:C218)</f>
        <v>0.60735719639169461</v>
      </c>
      <c r="D220" s="265">
        <f>IRR(D215:D218)</f>
        <v>0.48718429990804024</v>
      </c>
      <c r="E220" s="265">
        <f>IRR(E215:E218)</f>
        <v>0.36309653946985665</v>
      </c>
      <c r="G220" s="1" t="s">
        <v>2147</v>
      </c>
    </row>
    <row r="221" spans="1:8" x14ac:dyDescent="0.2">
      <c r="B221" s="12" t="s">
        <v>2008</v>
      </c>
      <c r="C221" s="36">
        <f>NPV(4%,C216:C218)+C215</f>
        <v>122.0072826581702</v>
      </c>
      <c r="D221" s="36">
        <f t="shared" ref="D221:E221" si="0">NPV(4%,D216:D218)+D215</f>
        <v>942.56372325898928</v>
      </c>
      <c r="E221" s="275">
        <f t="shared" si="0"/>
        <v>6650.546199362765</v>
      </c>
      <c r="G221" s="1" t="s">
        <v>2148</v>
      </c>
    </row>
    <row r="222" spans="1:8" ht="17" thickBot="1" x14ac:dyDescent="0.25"/>
    <row r="223" spans="1:8" ht="17" thickBot="1" x14ac:dyDescent="0.25">
      <c r="A223" s="101" t="s">
        <v>2136</v>
      </c>
      <c r="B223" s="6"/>
      <c r="C223" s="6"/>
      <c r="D223" s="6"/>
      <c r="E223" s="6"/>
      <c r="F223" s="6"/>
      <c r="G223" s="6"/>
      <c r="H223" s="7"/>
    </row>
    <row r="224" spans="1:8" x14ac:dyDescent="0.2">
      <c r="A224" s="1" t="s">
        <v>2149</v>
      </c>
    </row>
    <row r="225" spans="1:8" x14ac:dyDescent="0.2">
      <c r="A225" s="1" t="s">
        <v>2150</v>
      </c>
    </row>
    <row r="226" spans="1:8" ht="17" thickBot="1" x14ac:dyDescent="0.25"/>
    <row r="227" spans="1:8" ht="17" thickBot="1" x14ac:dyDescent="0.25">
      <c r="A227" s="101" t="s">
        <v>2137</v>
      </c>
      <c r="B227" s="6"/>
      <c r="C227" s="6"/>
      <c r="D227" s="6"/>
      <c r="E227" s="6"/>
      <c r="F227" s="6"/>
      <c r="G227" s="6"/>
      <c r="H227" s="7"/>
    </row>
    <row r="228" spans="1:8" x14ac:dyDescent="0.2">
      <c r="A228" s="1" t="s">
        <v>2151</v>
      </c>
    </row>
    <row r="229" spans="1:8" x14ac:dyDescent="0.2">
      <c r="A229" s="1" t="s">
        <v>2152</v>
      </c>
    </row>
    <row r="230" spans="1:8" x14ac:dyDescent="0.2">
      <c r="A230" s="1" t="s">
        <v>2153</v>
      </c>
    </row>
    <row r="231" spans="1:8" ht="17" thickBot="1" x14ac:dyDescent="0.25"/>
    <row r="232" spans="1:8" ht="17" thickBot="1" x14ac:dyDescent="0.25">
      <c r="A232" s="101" t="s">
        <v>2154</v>
      </c>
      <c r="B232" s="6"/>
      <c r="C232" s="6"/>
      <c r="D232" s="6"/>
      <c r="E232" s="6"/>
      <c r="F232" s="6"/>
      <c r="G232" s="6"/>
      <c r="H232" s="7"/>
    </row>
    <row r="233" spans="1:8" x14ac:dyDescent="0.2">
      <c r="A233" s="1" t="s">
        <v>2155</v>
      </c>
    </row>
    <row r="234" spans="1:8" x14ac:dyDescent="0.2">
      <c r="A234" s="1" t="s">
        <v>2156</v>
      </c>
    </row>
    <row r="235" spans="1:8" ht="17" thickBot="1" x14ac:dyDescent="0.25"/>
    <row r="236" spans="1:8" x14ac:dyDescent="0.2">
      <c r="A236" s="30" t="s">
        <v>2139</v>
      </c>
      <c r="B236" s="31"/>
      <c r="C236" s="31"/>
      <c r="D236" s="31"/>
      <c r="E236" s="31"/>
      <c r="F236" s="31"/>
      <c r="G236" s="31"/>
      <c r="H236" s="23"/>
    </row>
    <row r="237" spans="1:8" ht="17" thickBot="1" x14ac:dyDescent="0.25">
      <c r="A237" s="26" t="s">
        <v>2140</v>
      </c>
      <c r="B237" s="27"/>
      <c r="C237" s="27"/>
      <c r="D237" s="27"/>
      <c r="E237" s="27"/>
      <c r="F237" s="27"/>
      <c r="G237" s="27"/>
      <c r="H237" s="28"/>
    </row>
    <row r="239" spans="1:8" x14ac:dyDescent="0.2">
      <c r="B239" s="59" t="s">
        <v>2016</v>
      </c>
      <c r="C239" s="276" t="s">
        <v>290</v>
      </c>
      <c r="D239" s="59" t="s">
        <v>291</v>
      </c>
      <c r="E239" s="59" t="s">
        <v>292</v>
      </c>
      <c r="F239" s="59" t="s">
        <v>2157</v>
      </c>
      <c r="H239" s="1" t="s">
        <v>2158</v>
      </c>
    </row>
    <row r="240" spans="1:8" x14ac:dyDescent="0.2">
      <c r="B240" s="12">
        <v>0</v>
      </c>
      <c r="C240" s="277">
        <v>-100</v>
      </c>
      <c r="D240" s="12">
        <v>-1000</v>
      </c>
      <c r="E240" s="12">
        <v>-10000</v>
      </c>
      <c r="F240" s="12">
        <f>C240*10</f>
        <v>-1000</v>
      </c>
      <c r="H240" s="1" t="s">
        <v>2159</v>
      </c>
    </row>
    <row r="241" spans="2:12" x14ac:dyDescent="0.2">
      <c r="B241" s="12">
        <v>1</v>
      </c>
      <c r="C241" s="277">
        <v>80</v>
      </c>
      <c r="D241" s="12">
        <v>700</v>
      </c>
      <c r="E241" s="12">
        <v>6000</v>
      </c>
      <c r="F241" s="12">
        <f>C241*10</f>
        <v>800</v>
      </c>
      <c r="H241" s="1" t="s">
        <v>2160</v>
      </c>
    </row>
    <row r="242" spans="2:12" x14ac:dyDescent="0.2">
      <c r="B242" s="12">
        <v>2</v>
      </c>
      <c r="C242" s="277">
        <v>80</v>
      </c>
      <c r="D242" s="12">
        <v>700</v>
      </c>
      <c r="E242" s="12">
        <v>6000</v>
      </c>
      <c r="F242" s="12">
        <f t="shared" ref="F242:F243" si="1">C242*10</f>
        <v>800</v>
      </c>
    </row>
    <row r="243" spans="2:12" x14ac:dyDescent="0.2">
      <c r="B243" s="12">
        <v>3</v>
      </c>
      <c r="C243" s="277">
        <v>80</v>
      </c>
      <c r="D243" s="12">
        <v>700</v>
      </c>
      <c r="E243" s="12">
        <v>6000</v>
      </c>
      <c r="F243" s="12">
        <f t="shared" si="1"/>
        <v>800</v>
      </c>
    </row>
    <row r="244" spans="2:12" x14ac:dyDescent="0.2">
      <c r="C244" s="278"/>
    </row>
    <row r="245" spans="2:12" x14ac:dyDescent="0.2">
      <c r="B245" s="12" t="s">
        <v>2006</v>
      </c>
      <c r="C245" s="279">
        <f>IRR(C240:C243)</f>
        <v>0.60735719639169461</v>
      </c>
      <c r="D245" s="265">
        <f>IRR(D240:D243)</f>
        <v>0.48718429990804024</v>
      </c>
      <c r="E245" s="265">
        <f>IRR(E240:E243)</f>
        <v>0.36309653946985665</v>
      </c>
      <c r="F245" s="265">
        <f>IRR(F240:F243)</f>
        <v>0.60735719639169461</v>
      </c>
    </row>
    <row r="246" spans="2:12" x14ac:dyDescent="0.2">
      <c r="B246" s="12" t="s">
        <v>2008</v>
      </c>
      <c r="C246" s="281">
        <f>NPV(4%,C241:C243)+C240</f>
        <v>122.0072826581702</v>
      </c>
      <c r="D246" s="36">
        <f t="shared" ref="D246:F246" si="2">NPV(4%,D241:D243)+D240</f>
        <v>942.56372325898928</v>
      </c>
      <c r="E246" s="275">
        <f t="shared" si="2"/>
        <v>6650.546199362765</v>
      </c>
      <c r="F246" s="280">
        <f t="shared" si="2"/>
        <v>1220.072826581702</v>
      </c>
    </row>
    <row r="249" spans="2:12" x14ac:dyDescent="0.2">
      <c r="F249" s="1" t="s">
        <v>2161</v>
      </c>
    </row>
    <row r="250" spans="2:12" x14ac:dyDescent="0.2">
      <c r="F250" s="1" t="s">
        <v>2162</v>
      </c>
    </row>
    <row r="251" spans="2:12" ht="17" thickBot="1" x14ac:dyDescent="0.25"/>
    <row r="252" spans="2:12" x14ac:dyDescent="0.2">
      <c r="B252" s="30" t="s">
        <v>2167</v>
      </c>
      <c r="C252" s="31"/>
      <c r="D252" s="23"/>
      <c r="F252" s="1" t="s">
        <v>2169</v>
      </c>
    </row>
    <row r="253" spans="2:12" x14ac:dyDescent="0.2">
      <c r="B253" s="24" t="s">
        <v>2168</v>
      </c>
      <c r="D253" s="25"/>
      <c r="F253" s="1" t="s">
        <v>2163</v>
      </c>
      <c r="J253" s="272">
        <f>C245</f>
        <v>0.60735719639169461</v>
      </c>
    </row>
    <row r="254" spans="2:12" ht="17" thickBot="1" x14ac:dyDescent="0.25">
      <c r="B254" s="26" t="s">
        <v>2170</v>
      </c>
      <c r="C254" s="27"/>
      <c r="D254" s="28"/>
      <c r="F254" s="1" t="s">
        <v>2164</v>
      </c>
      <c r="J254" s="133">
        <f>F246</f>
        <v>1220.072826581702</v>
      </c>
      <c r="K254" s="1" t="s">
        <v>2165</v>
      </c>
      <c r="L254" s="1" t="s">
        <v>2166</v>
      </c>
    </row>
    <row r="256" spans="2:12" ht="17" thickBot="1" x14ac:dyDescent="0.25"/>
    <row r="257" spans="6:10" x14ac:dyDescent="0.2">
      <c r="F257" s="21" t="s">
        <v>2171</v>
      </c>
      <c r="G257" s="22"/>
      <c r="H257" s="22"/>
      <c r="I257" s="22"/>
      <c r="J257" s="122"/>
    </row>
    <row r="258" spans="6:10" x14ac:dyDescent="0.2">
      <c r="F258" s="123" t="s">
        <v>2172</v>
      </c>
      <c r="G258" s="2"/>
      <c r="H258" s="2"/>
      <c r="I258" s="2"/>
      <c r="J258" s="124"/>
    </row>
    <row r="259" spans="6:10" x14ac:dyDescent="0.2">
      <c r="F259" s="123" t="s">
        <v>2173</v>
      </c>
      <c r="G259" s="2"/>
      <c r="H259" s="2"/>
      <c r="I259" s="2"/>
      <c r="J259" s="124"/>
    </row>
    <row r="260" spans="6:10" ht="17" thickBot="1" x14ac:dyDescent="0.25">
      <c r="F260" s="125" t="s">
        <v>2174</v>
      </c>
      <c r="G260" s="260"/>
      <c r="H260" s="260"/>
      <c r="I260" s="260"/>
      <c r="J260" s="126"/>
    </row>
    <row r="272" spans="6:10" ht="17" thickBot="1" x14ac:dyDescent="0.25"/>
    <row r="273" spans="1:8" ht="17" thickBot="1" x14ac:dyDescent="0.25">
      <c r="A273" s="3" t="s">
        <v>2209</v>
      </c>
      <c r="B273" s="4"/>
      <c r="C273" s="4"/>
      <c r="D273" s="4"/>
      <c r="E273" s="4"/>
      <c r="F273" s="4"/>
      <c r="G273" s="4"/>
      <c r="H273" s="5"/>
    </row>
    <row r="274" spans="1:8" x14ac:dyDescent="0.2">
      <c r="A274" s="1" t="s">
        <v>1071</v>
      </c>
    </row>
    <row r="275" spans="1:8" x14ac:dyDescent="0.2">
      <c r="A275" s="1" t="s">
        <v>1072</v>
      </c>
    </row>
    <row r="276" spans="1:8" x14ac:dyDescent="0.2">
      <c r="A276" s="1" t="s">
        <v>1073</v>
      </c>
    </row>
    <row r="277" spans="1:8" x14ac:dyDescent="0.2">
      <c r="A277" s="1" t="s">
        <v>1074</v>
      </c>
    </row>
    <row r="279" spans="1:8" x14ac:dyDescent="0.2">
      <c r="A279" s="1" t="s">
        <v>1075</v>
      </c>
    </row>
    <row r="280" spans="1:8" ht="17" thickBot="1" x14ac:dyDescent="0.25">
      <c r="C280" s="12"/>
      <c r="D280" s="142">
        <v>0</v>
      </c>
      <c r="E280" s="142">
        <v>1</v>
      </c>
      <c r="F280" s="142">
        <v>2</v>
      </c>
      <c r="G280" s="142">
        <v>3</v>
      </c>
    </row>
    <row r="281" spans="1:8" x14ac:dyDescent="0.2">
      <c r="C281" s="12" t="s">
        <v>1076</v>
      </c>
      <c r="D281" s="12">
        <v>-100</v>
      </c>
      <c r="E281" s="12">
        <v>40</v>
      </c>
      <c r="F281" s="12">
        <v>50</v>
      </c>
      <c r="G281" s="12">
        <v>30</v>
      </c>
    </row>
    <row r="283" spans="1:8" x14ac:dyDescent="0.2">
      <c r="A283" s="1" t="s">
        <v>1077</v>
      </c>
    </row>
    <row r="284" spans="1:8" ht="17" thickBot="1" x14ac:dyDescent="0.25"/>
    <row r="285" spans="1:8" ht="17" thickBot="1" x14ac:dyDescent="0.25">
      <c r="A285" s="3" t="s">
        <v>1078</v>
      </c>
      <c r="B285" s="4"/>
      <c r="C285" s="4"/>
      <c r="D285" s="4"/>
      <c r="E285" s="4"/>
      <c r="F285" s="4"/>
      <c r="G285" s="4"/>
      <c r="H285" s="5"/>
    </row>
    <row r="286" spans="1:8" x14ac:dyDescent="0.2">
      <c r="A286" s="1" t="s">
        <v>1079</v>
      </c>
    </row>
    <row r="287" spans="1:8" x14ac:dyDescent="0.2">
      <c r="A287" s="1" t="s">
        <v>1080</v>
      </c>
    </row>
    <row r="288" spans="1:8" ht="17" thickBot="1" x14ac:dyDescent="0.25"/>
    <row r="289" spans="1:8" ht="17" thickBot="1" x14ac:dyDescent="0.25">
      <c r="A289" s="3" t="s">
        <v>1081</v>
      </c>
      <c r="B289" s="4"/>
      <c r="C289" s="4"/>
      <c r="D289" s="4"/>
      <c r="E289" s="4"/>
      <c r="F289" s="4"/>
      <c r="G289" s="4"/>
      <c r="H289" s="5"/>
    </row>
    <row r="290" spans="1:8" x14ac:dyDescent="0.2">
      <c r="A290" s="1" t="s">
        <v>1082</v>
      </c>
    </row>
    <row r="291" spans="1:8" x14ac:dyDescent="0.2">
      <c r="A291" s="1" t="s">
        <v>1083</v>
      </c>
    </row>
    <row r="292" spans="1:8" x14ac:dyDescent="0.2">
      <c r="A292" s="1" t="s">
        <v>1087</v>
      </c>
    </row>
    <row r="294" spans="1:8" x14ac:dyDescent="0.2">
      <c r="C294" s="1" t="s">
        <v>1093</v>
      </c>
      <c r="D294" s="1" t="s">
        <v>1086</v>
      </c>
    </row>
    <row r="295" spans="1:8" x14ac:dyDescent="0.2">
      <c r="C295" s="1">
        <v>0</v>
      </c>
      <c r="D295" s="1">
        <v>-50</v>
      </c>
    </row>
    <row r="296" spans="1:8" x14ac:dyDescent="0.2">
      <c r="C296" s="1">
        <v>1</v>
      </c>
      <c r="D296" s="1">
        <v>0</v>
      </c>
    </row>
    <row r="297" spans="1:8" x14ac:dyDescent="0.2">
      <c r="C297" s="1">
        <v>2</v>
      </c>
      <c r="D297" s="1">
        <v>30</v>
      </c>
    </row>
    <row r="298" spans="1:8" x14ac:dyDescent="0.2">
      <c r="C298" s="1">
        <v>3</v>
      </c>
      <c r="D298" s="1">
        <v>25</v>
      </c>
    </row>
    <row r="299" spans="1:8" x14ac:dyDescent="0.2">
      <c r="C299" s="1">
        <v>4</v>
      </c>
      <c r="D299" s="1">
        <v>40</v>
      </c>
    </row>
    <row r="301" spans="1:8" x14ac:dyDescent="0.2">
      <c r="A301" s="1" t="s">
        <v>1084</v>
      </c>
    </row>
    <row r="303" spans="1:8" x14ac:dyDescent="0.2">
      <c r="A303" s="1" t="s">
        <v>1067</v>
      </c>
    </row>
    <row r="304" spans="1:8" x14ac:dyDescent="0.2">
      <c r="A304" s="1" t="s">
        <v>1085</v>
      </c>
    </row>
    <row r="306" spans="1:10" x14ac:dyDescent="0.2">
      <c r="A306" s="2" t="s">
        <v>27</v>
      </c>
    </row>
    <row r="307" spans="1:10" x14ac:dyDescent="0.2">
      <c r="I307" s="12" t="s">
        <v>1090</v>
      </c>
    </row>
    <row r="308" spans="1:10" x14ac:dyDescent="0.2">
      <c r="A308" s="1" t="s">
        <v>1088</v>
      </c>
      <c r="I308" s="12" t="s">
        <v>1091</v>
      </c>
    </row>
    <row r="309" spans="1:10" x14ac:dyDescent="0.2">
      <c r="I309" s="12" t="s">
        <v>1092</v>
      </c>
    </row>
    <row r="310" spans="1:10" x14ac:dyDescent="0.2">
      <c r="C310" s="1" t="s">
        <v>1093</v>
      </c>
      <c r="D310" s="1" t="s">
        <v>1086</v>
      </c>
      <c r="I310" s="32" t="s">
        <v>1089</v>
      </c>
    </row>
    <row r="311" spans="1:10" x14ac:dyDescent="0.2">
      <c r="C311" s="12">
        <v>0</v>
      </c>
      <c r="D311" s="12">
        <v>-50</v>
      </c>
      <c r="H311" s="12">
        <v>8</v>
      </c>
      <c r="I311" s="12" t="s">
        <v>42</v>
      </c>
      <c r="J311" s="1" t="s">
        <v>1125</v>
      </c>
    </row>
    <row r="312" spans="1:10" x14ac:dyDescent="0.2">
      <c r="C312" s="12">
        <v>1</v>
      </c>
      <c r="D312" s="12">
        <v>0</v>
      </c>
      <c r="F312" s="12" t="s">
        <v>1095</v>
      </c>
      <c r="I312" s="1" t="s">
        <v>1094</v>
      </c>
    </row>
    <row r="313" spans="1:10" x14ac:dyDescent="0.2">
      <c r="C313" s="12">
        <v>2</v>
      </c>
      <c r="D313" s="12">
        <v>30</v>
      </c>
      <c r="F313" s="145">
        <v>-50</v>
      </c>
      <c r="G313" s="12">
        <v>1</v>
      </c>
      <c r="H313" s="127" t="s">
        <v>1096</v>
      </c>
    </row>
    <row r="314" spans="1:10" x14ac:dyDescent="0.2">
      <c r="C314" s="12">
        <v>3</v>
      </c>
      <c r="D314" s="12">
        <v>25</v>
      </c>
      <c r="F314" s="145">
        <v>0</v>
      </c>
      <c r="G314" s="12">
        <v>2</v>
      </c>
      <c r="H314" s="127" t="s">
        <v>1097</v>
      </c>
    </row>
    <row r="315" spans="1:10" x14ac:dyDescent="0.2">
      <c r="C315" s="12">
        <v>4</v>
      </c>
      <c r="D315" s="12">
        <v>40</v>
      </c>
      <c r="F315" s="145">
        <v>30</v>
      </c>
      <c r="G315" s="12">
        <v>3</v>
      </c>
      <c r="H315" s="127" t="s">
        <v>1098</v>
      </c>
    </row>
    <row r="316" spans="1:10" x14ac:dyDescent="0.2">
      <c r="F316" s="145">
        <v>25</v>
      </c>
      <c r="G316" s="12">
        <v>4</v>
      </c>
      <c r="H316" s="127" t="s">
        <v>1099</v>
      </c>
    </row>
    <row r="317" spans="1:10" x14ac:dyDescent="0.2">
      <c r="F317" s="145">
        <v>40</v>
      </c>
      <c r="G317" s="12">
        <v>5</v>
      </c>
      <c r="H317" s="127" t="s">
        <v>1100</v>
      </c>
    </row>
    <row r="319" spans="1:10" x14ac:dyDescent="0.2">
      <c r="F319" s="1" t="s">
        <v>1101</v>
      </c>
      <c r="H319" s="16">
        <f>NPV(8%,F314:F317)+F313</f>
        <v>24.967164746415861</v>
      </c>
      <c r="I319" s="146" t="s">
        <v>1102</v>
      </c>
      <c r="J319" s="1" t="s">
        <v>1109</v>
      </c>
    </row>
    <row r="320" spans="1:10" x14ac:dyDescent="0.2">
      <c r="H320" s="36">
        <f>IRR(F313:F317)*100</f>
        <v>23.61368775864241</v>
      </c>
      <c r="I320" s="146" t="s">
        <v>1103</v>
      </c>
      <c r="J320" s="1" t="s">
        <v>1116</v>
      </c>
    </row>
    <row r="321" spans="1:10" x14ac:dyDescent="0.2">
      <c r="J321" s="1" t="s">
        <v>1117</v>
      </c>
    </row>
    <row r="322" spans="1:10" x14ac:dyDescent="0.2">
      <c r="C322" s="2" t="s">
        <v>1104</v>
      </c>
    </row>
    <row r="323" spans="1:10" x14ac:dyDescent="0.2">
      <c r="C323" s="1" t="s">
        <v>1105</v>
      </c>
    </row>
    <row r="324" spans="1:10" x14ac:dyDescent="0.2">
      <c r="C324" s="1" t="s">
        <v>1106</v>
      </c>
    </row>
    <row r="325" spans="1:10" x14ac:dyDescent="0.2">
      <c r="C325" s="1" t="s">
        <v>1107</v>
      </c>
    </row>
    <row r="326" spans="1:10" x14ac:dyDescent="0.2">
      <c r="C326" s="2" t="s">
        <v>1108</v>
      </c>
    </row>
    <row r="328" spans="1:10" x14ac:dyDescent="0.2">
      <c r="C328" s="1" t="s">
        <v>1110</v>
      </c>
    </row>
    <row r="329" spans="1:10" x14ac:dyDescent="0.2">
      <c r="C329" s="1" t="s">
        <v>1111</v>
      </c>
    </row>
    <row r="330" spans="1:10" x14ac:dyDescent="0.2">
      <c r="C330" s="1" t="s">
        <v>1112</v>
      </c>
    </row>
    <row r="331" spans="1:10" x14ac:dyDescent="0.2">
      <c r="C331" s="1" t="s">
        <v>1113</v>
      </c>
    </row>
    <row r="332" spans="1:10" x14ac:dyDescent="0.2">
      <c r="C332" s="1" t="s">
        <v>1114</v>
      </c>
    </row>
    <row r="333" spans="1:10" x14ac:dyDescent="0.2">
      <c r="C333" s="2" t="s">
        <v>1115</v>
      </c>
    </row>
    <row r="334" spans="1:10" ht="17" thickBot="1" x14ac:dyDescent="0.25"/>
    <row r="335" spans="1:10" ht="17" thickBot="1" x14ac:dyDescent="0.25">
      <c r="A335" s="3" t="s">
        <v>1118</v>
      </c>
      <c r="B335" s="4"/>
      <c r="C335" s="4"/>
      <c r="D335" s="4"/>
      <c r="E335" s="4"/>
      <c r="F335" s="4"/>
      <c r="G335" s="4"/>
      <c r="H335" s="5"/>
    </row>
    <row r="336" spans="1:10" x14ac:dyDescent="0.2">
      <c r="A336" s="1" t="s">
        <v>1119</v>
      </c>
    </row>
    <row r="337" spans="1:10" x14ac:dyDescent="0.2">
      <c r="A337" s="1" t="s">
        <v>1120</v>
      </c>
    </row>
    <row r="338" spans="1:10" x14ac:dyDescent="0.2">
      <c r="A338" s="1" t="s">
        <v>1121</v>
      </c>
    </row>
    <row r="339" spans="1:10" x14ac:dyDescent="0.2">
      <c r="A339" s="1" t="s">
        <v>1122</v>
      </c>
    </row>
    <row r="341" spans="1:10" x14ac:dyDescent="0.2">
      <c r="A341" s="1" t="s">
        <v>1124</v>
      </c>
    </row>
    <row r="343" spans="1:10" x14ac:dyDescent="0.2">
      <c r="A343" s="1" t="s">
        <v>1123</v>
      </c>
    </row>
    <row r="345" spans="1:10" x14ac:dyDescent="0.2">
      <c r="I345" s="12" t="s">
        <v>1090</v>
      </c>
    </row>
    <row r="346" spans="1:10" x14ac:dyDescent="0.2">
      <c r="A346" s="1" t="s">
        <v>1088</v>
      </c>
      <c r="I346" s="12" t="s">
        <v>1091</v>
      </c>
    </row>
    <row r="347" spans="1:10" x14ac:dyDescent="0.2">
      <c r="I347" s="12" t="s">
        <v>1092</v>
      </c>
    </row>
    <row r="348" spans="1:10" x14ac:dyDescent="0.2">
      <c r="C348" s="1" t="s">
        <v>1093</v>
      </c>
      <c r="D348" s="1" t="s">
        <v>1086</v>
      </c>
      <c r="I348" s="32" t="s">
        <v>1089</v>
      </c>
    </row>
    <row r="349" spans="1:10" x14ac:dyDescent="0.2">
      <c r="C349" s="12">
        <v>0</v>
      </c>
      <c r="D349" s="12">
        <v>-2</v>
      </c>
      <c r="H349" s="12">
        <v>7</v>
      </c>
      <c r="I349" s="12" t="s">
        <v>42</v>
      </c>
      <c r="J349" s="1" t="s">
        <v>1125</v>
      </c>
    </row>
    <row r="350" spans="1:10" x14ac:dyDescent="0.2">
      <c r="C350" s="12">
        <v>1</v>
      </c>
      <c r="D350" s="12">
        <v>0.5</v>
      </c>
      <c r="F350" s="12" t="s">
        <v>1095</v>
      </c>
      <c r="I350" s="1" t="s">
        <v>1094</v>
      </c>
    </row>
    <row r="351" spans="1:10" x14ac:dyDescent="0.2">
      <c r="C351" s="12">
        <v>2</v>
      </c>
      <c r="D351" s="12">
        <v>0.5</v>
      </c>
      <c r="F351" s="145">
        <v>-2</v>
      </c>
      <c r="G351" s="12">
        <v>1</v>
      </c>
      <c r="H351" s="127" t="s">
        <v>1096</v>
      </c>
    </row>
    <row r="352" spans="1:10" x14ac:dyDescent="0.2">
      <c r="C352" s="12">
        <v>3</v>
      </c>
      <c r="D352" s="12">
        <v>0.5</v>
      </c>
      <c r="F352" s="145">
        <v>0.5</v>
      </c>
      <c r="G352" s="12">
        <v>2</v>
      </c>
      <c r="H352" s="127" t="s">
        <v>1097</v>
      </c>
    </row>
    <row r="353" spans="1:9" x14ac:dyDescent="0.2">
      <c r="C353" s="12">
        <v>4</v>
      </c>
      <c r="D353" s="12">
        <v>0.8</v>
      </c>
      <c r="F353" s="145">
        <v>0.5</v>
      </c>
      <c r="G353" s="12">
        <v>3</v>
      </c>
      <c r="H353" s="127" t="s">
        <v>1098</v>
      </c>
    </row>
    <row r="354" spans="1:9" x14ac:dyDescent="0.2">
      <c r="C354" s="12">
        <v>5</v>
      </c>
      <c r="D354" s="12">
        <v>0.8</v>
      </c>
      <c r="F354" s="145">
        <v>0.5</v>
      </c>
      <c r="G354" s="12">
        <v>4</v>
      </c>
      <c r="H354" s="127" t="s">
        <v>1099</v>
      </c>
    </row>
    <row r="355" spans="1:9" x14ac:dyDescent="0.2">
      <c r="F355" s="145">
        <v>0.8</v>
      </c>
      <c r="G355" s="12">
        <v>5</v>
      </c>
      <c r="H355" s="127" t="s">
        <v>1100</v>
      </c>
    </row>
    <row r="356" spans="1:9" x14ac:dyDescent="0.2">
      <c r="F356" s="145">
        <v>0.8</v>
      </c>
      <c r="G356" s="12">
        <v>6</v>
      </c>
      <c r="H356" s="127"/>
    </row>
    <row r="358" spans="1:9" x14ac:dyDescent="0.2">
      <c r="F358" s="1" t="s">
        <v>1101</v>
      </c>
      <c r="H358" s="147">
        <f>NPV(7%,F352:F356)+F351</f>
        <v>0.49286313543315519</v>
      </c>
      <c r="I358" s="146" t="s">
        <v>1102</v>
      </c>
    </row>
    <row r="359" spans="1:9" x14ac:dyDescent="0.2">
      <c r="H359" s="42">
        <f>IRR(F351:F356)*100</f>
        <v>14.937866205536409</v>
      </c>
      <c r="I359" s="146" t="s">
        <v>1103</v>
      </c>
    </row>
    <row r="361" spans="1:9" x14ac:dyDescent="0.2">
      <c r="A361" s="1" t="s">
        <v>1126</v>
      </c>
    </row>
    <row r="362" spans="1:9" x14ac:dyDescent="0.2">
      <c r="A362" s="1" t="s">
        <v>1127</v>
      </c>
    </row>
    <row r="363" spans="1:9" x14ac:dyDescent="0.2">
      <c r="A363" s="1" t="s">
        <v>1128</v>
      </c>
    </row>
    <row r="364" spans="1:9" x14ac:dyDescent="0.2">
      <c r="A364" s="1" t="s">
        <v>1129</v>
      </c>
    </row>
    <row r="365" spans="1:9" x14ac:dyDescent="0.2">
      <c r="A365" s="1" t="s">
        <v>1130</v>
      </c>
    </row>
    <row r="368" spans="1:9" x14ac:dyDescent="0.2">
      <c r="A368" s="1" t="s">
        <v>1131</v>
      </c>
    </row>
    <row r="369" spans="1:9" x14ac:dyDescent="0.2">
      <c r="A369" s="2" t="s">
        <v>1133</v>
      </c>
    </row>
    <row r="370" spans="1:9" x14ac:dyDescent="0.2">
      <c r="A370" s="1" t="s">
        <v>1134</v>
      </c>
    </row>
    <row r="371" spans="1:9" x14ac:dyDescent="0.2">
      <c r="A371" s="1" t="s">
        <v>1132</v>
      </c>
    </row>
    <row r="373" spans="1:9" x14ac:dyDescent="0.2">
      <c r="A373" s="2" t="s">
        <v>1135</v>
      </c>
    </row>
    <row r="374" spans="1:9" x14ac:dyDescent="0.2">
      <c r="A374" s="1" t="s">
        <v>1136</v>
      </c>
    </row>
    <row r="376" spans="1:9" x14ac:dyDescent="0.2">
      <c r="A376" s="75" t="s">
        <v>1137</v>
      </c>
      <c r="B376" s="29"/>
    </row>
    <row r="377" spans="1:9" x14ac:dyDescent="0.2">
      <c r="A377" s="1" t="s">
        <v>1138</v>
      </c>
      <c r="I377" s="143">
        <v>7.0000000000000007E-2</v>
      </c>
    </row>
    <row r="379" spans="1:9" x14ac:dyDescent="0.2">
      <c r="A379" s="2" t="s">
        <v>1139</v>
      </c>
    </row>
    <row r="380" spans="1:9" x14ac:dyDescent="0.2">
      <c r="A380" s="1" t="s">
        <v>1140</v>
      </c>
    </row>
    <row r="381" spans="1:9" x14ac:dyDescent="0.2">
      <c r="A381" s="1" t="s">
        <v>1141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175D-F559-8144-99C2-805A900A4CBF}">
  <dimension ref="A1:L207"/>
  <sheetViews>
    <sheetView rightToLeft="1" topLeftCell="A105" zoomScale="313" zoomScaleNormal="250" workbookViewId="0">
      <selection activeCell="A123" sqref="A123:C123"/>
    </sheetView>
  </sheetViews>
  <sheetFormatPr baseColWidth="10" defaultRowHeight="16" x14ac:dyDescent="0.2"/>
  <cols>
    <col min="1" max="10" width="10.83203125" style="1"/>
    <col min="11" max="11" width="12.33203125" style="1" customWidth="1"/>
    <col min="12" max="16384" width="10.83203125" style="1"/>
  </cols>
  <sheetData>
    <row r="1" spans="1:8" x14ac:dyDescent="0.2">
      <c r="A1" s="75" t="s">
        <v>2210</v>
      </c>
      <c r="B1" s="75"/>
      <c r="C1" s="75"/>
      <c r="D1" s="75"/>
      <c r="E1" s="75"/>
      <c r="F1" s="75"/>
      <c r="G1" s="75"/>
      <c r="H1" s="76">
        <v>45929</v>
      </c>
    </row>
    <row r="3" spans="1:8" s="2" customFormat="1" x14ac:dyDescent="0.2">
      <c r="A3" s="285" t="s">
        <v>1603</v>
      </c>
      <c r="B3" s="285"/>
      <c r="C3" s="285"/>
      <c r="D3" s="285"/>
      <c r="E3" s="285"/>
      <c r="F3" s="285"/>
      <c r="G3" s="285"/>
      <c r="H3" s="285"/>
    </row>
    <row r="4" spans="1:8" x14ac:dyDescent="0.2">
      <c r="A4" s="1" t="s">
        <v>2216</v>
      </c>
    </row>
    <row r="5" spans="1:8" x14ac:dyDescent="0.2">
      <c r="A5" s="1" t="s">
        <v>2211</v>
      </c>
    </row>
    <row r="6" spans="1:8" x14ac:dyDescent="0.2">
      <c r="C6" s="59" t="s">
        <v>2016</v>
      </c>
      <c r="D6" s="59" t="s">
        <v>290</v>
      </c>
    </row>
    <row r="7" spans="1:8" x14ac:dyDescent="0.2">
      <c r="C7" s="12">
        <v>0</v>
      </c>
      <c r="D7" s="12">
        <v>-80</v>
      </c>
    </row>
    <row r="8" spans="1:8" x14ac:dyDescent="0.2">
      <c r="C8" s="12">
        <v>1</v>
      </c>
      <c r="D8" s="12">
        <v>20</v>
      </c>
      <c r="F8" s="1" t="s">
        <v>2212</v>
      </c>
    </row>
    <row r="9" spans="1:8" x14ac:dyDescent="0.2">
      <c r="C9" s="12">
        <v>2</v>
      </c>
      <c r="D9" s="12">
        <v>30</v>
      </c>
      <c r="F9" s="1" t="s">
        <v>2213</v>
      </c>
    </row>
    <row r="10" spans="1:8" x14ac:dyDescent="0.2">
      <c r="C10" s="12">
        <v>3</v>
      </c>
      <c r="D10" s="12">
        <v>20</v>
      </c>
      <c r="F10" s="1" t="s">
        <v>2214</v>
      </c>
    </row>
    <row r="11" spans="1:8" x14ac:dyDescent="0.2">
      <c r="C11" s="12">
        <v>4</v>
      </c>
      <c r="D11" s="12">
        <v>50</v>
      </c>
      <c r="F11" s="1" t="s">
        <v>2215</v>
      </c>
    </row>
    <row r="14" spans="1:8" x14ac:dyDescent="0.2">
      <c r="A14" s="1" t="s">
        <v>2217</v>
      </c>
    </row>
    <row r="15" spans="1:8" x14ac:dyDescent="0.2">
      <c r="A15" s="1" t="s">
        <v>2218</v>
      </c>
    </row>
    <row r="16" spans="1:8" x14ac:dyDescent="0.2">
      <c r="A16" s="1" t="s">
        <v>2220</v>
      </c>
    </row>
    <row r="17" spans="1:9" x14ac:dyDescent="0.2">
      <c r="A17" s="1" t="s">
        <v>2219</v>
      </c>
    </row>
    <row r="19" spans="1:9" x14ac:dyDescent="0.2">
      <c r="A19" s="2" t="s">
        <v>2221</v>
      </c>
    </row>
    <row r="21" spans="1:9" x14ac:dyDescent="0.2">
      <c r="A21" s="285" t="s">
        <v>2222</v>
      </c>
      <c r="B21" s="285"/>
      <c r="C21" s="285"/>
      <c r="D21" s="285"/>
      <c r="E21" s="285"/>
      <c r="F21" s="285"/>
      <c r="G21" s="285"/>
      <c r="H21" s="285"/>
    </row>
    <row r="22" spans="1:9" x14ac:dyDescent="0.2">
      <c r="A22" s="1" t="s">
        <v>2223</v>
      </c>
    </row>
    <row r="23" spans="1:9" x14ac:dyDescent="0.2">
      <c r="A23" s="1" t="s">
        <v>2224</v>
      </c>
      <c r="I23" s="12"/>
    </row>
    <row r="24" spans="1:9" x14ac:dyDescent="0.2">
      <c r="A24" s="1" t="s">
        <v>2225</v>
      </c>
      <c r="I24" s="12"/>
    </row>
    <row r="25" spans="1:9" x14ac:dyDescent="0.2">
      <c r="A25" s="1" t="s">
        <v>2235</v>
      </c>
      <c r="I25" s="12"/>
    </row>
    <row r="26" spans="1:9" x14ac:dyDescent="0.2">
      <c r="A26" s="1" t="s">
        <v>2226</v>
      </c>
    </row>
    <row r="27" spans="1:9" x14ac:dyDescent="0.2">
      <c r="A27" s="1" t="s">
        <v>2227</v>
      </c>
    </row>
    <row r="28" spans="1:9" x14ac:dyDescent="0.2">
      <c r="A28" s="1" t="s">
        <v>2228</v>
      </c>
    </row>
    <row r="29" spans="1:9" x14ac:dyDescent="0.2">
      <c r="A29" s="1" t="s">
        <v>2229</v>
      </c>
    </row>
    <row r="30" spans="1:9" x14ac:dyDescent="0.2">
      <c r="A30" s="1" t="s">
        <v>2230</v>
      </c>
    </row>
    <row r="31" spans="1:9" x14ac:dyDescent="0.2">
      <c r="A31" s="1" t="s">
        <v>2231</v>
      </c>
    </row>
    <row r="32" spans="1:9" x14ac:dyDescent="0.2">
      <c r="A32" s="1" t="s">
        <v>2232</v>
      </c>
    </row>
    <row r="34" spans="1:12" x14ac:dyDescent="0.2">
      <c r="A34" s="1" t="s">
        <v>2233</v>
      </c>
    </row>
    <row r="36" spans="1:12" x14ac:dyDescent="0.2">
      <c r="C36" s="357" t="s">
        <v>2236</v>
      </c>
      <c r="D36" s="357"/>
      <c r="E36" s="357"/>
      <c r="F36" s="357"/>
      <c r="G36" s="357"/>
      <c r="H36" s="357"/>
    </row>
    <row r="38" spans="1:12" x14ac:dyDescent="0.2">
      <c r="A38" s="58" t="s">
        <v>2234</v>
      </c>
      <c r="B38" s="58"/>
      <c r="C38" s="231">
        <v>0</v>
      </c>
      <c r="D38" s="231">
        <v>1</v>
      </c>
      <c r="E38" s="231">
        <v>2</v>
      </c>
      <c r="F38" s="231">
        <v>3</v>
      </c>
      <c r="G38" s="231">
        <v>4</v>
      </c>
      <c r="H38" s="231">
        <v>5</v>
      </c>
      <c r="L38" s="32" t="s">
        <v>1089</v>
      </c>
    </row>
    <row r="39" spans="1:12" x14ac:dyDescent="0.2">
      <c r="A39" s="1" t="s">
        <v>2237</v>
      </c>
      <c r="C39" s="377" t="s">
        <v>2238</v>
      </c>
      <c r="D39" s="377"/>
      <c r="E39" s="377"/>
      <c r="F39" s="377"/>
      <c r="G39" s="377"/>
      <c r="H39" s="377"/>
      <c r="J39" s="1" t="s">
        <v>2297</v>
      </c>
      <c r="K39" s="244">
        <v>0.1</v>
      </c>
      <c r="L39" s="12" t="s">
        <v>42</v>
      </c>
    </row>
    <row r="40" spans="1:12" x14ac:dyDescent="0.2">
      <c r="A40" s="1" t="s">
        <v>2242</v>
      </c>
      <c r="C40" s="18">
        <v>-500000</v>
      </c>
      <c r="D40" s="18"/>
      <c r="E40" s="18"/>
      <c r="F40" s="18"/>
      <c r="G40" s="18"/>
      <c r="H40" s="18"/>
    </row>
    <row r="41" spans="1:12" x14ac:dyDescent="0.2">
      <c r="A41" s="1" t="s">
        <v>2246</v>
      </c>
      <c r="C41" s="18"/>
      <c r="D41" s="18">
        <f>500000/4*25%</f>
        <v>31250</v>
      </c>
      <c r="E41" s="18">
        <f>D41</f>
        <v>31250</v>
      </c>
      <c r="F41" s="18">
        <f>E41</f>
        <v>31250</v>
      </c>
      <c r="G41" s="18">
        <f>F41</f>
        <v>31250</v>
      </c>
      <c r="H41" s="18"/>
      <c r="J41" s="12" t="s">
        <v>1095</v>
      </c>
      <c r="L41" s="1" t="s">
        <v>2298</v>
      </c>
    </row>
    <row r="42" spans="1:12" x14ac:dyDescent="0.2">
      <c r="A42" s="1" t="s">
        <v>2264</v>
      </c>
      <c r="C42" s="18"/>
      <c r="D42" s="18">
        <f>(-2*20000-35000)*(1-25%)</f>
        <v>-56250</v>
      </c>
      <c r="E42" s="18">
        <f>(200000-2*20000-35000)*(1-25%)</f>
        <v>93750</v>
      </c>
      <c r="F42" s="18">
        <f>E42</f>
        <v>93750</v>
      </c>
      <c r="G42" s="18">
        <f>F42</f>
        <v>93750</v>
      </c>
      <c r="H42" s="18">
        <f>G42</f>
        <v>93750</v>
      </c>
      <c r="J42" s="12">
        <v>-500000</v>
      </c>
      <c r="K42" s="12">
        <v>1</v>
      </c>
    </row>
    <row r="43" spans="1:12" x14ac:dyDescent="0.2">
      <c r="A43" s="1" t="s">
        <v>2296</v>
      </c>
      <c r="C43" s="287">
        <f>SUM(C40:C42)</f>
        <v>-500000</v>
      </c>
      <c r="D43" s="287">
        <f t="shared" ref="D43:H43" si="0">SUM(D40:D42)</f>
        <v>-25000</v>
      </c>
      <c r="E43" s="287">
        <f t="shared" si="0"/>
        <v>125000</v>
      </c>
      <c r="F43" s="287">
        <f t="shared" si="0"/>
        <v>125000</v>
      </c>
      <c r="G43" s="287">
        <f t="shared" si="0"/>
        <v>125000</v>
      </c>
      <c r="H43" s="287">
        <f t="shared" si="0"/>
        <v>93750</v>
      </c>
      <c r="J43" s="12">
        <v>-25000</v>
      </c>
      <c r="K43" s="12">
        <v>2</v>
      </c>
    </row>
    <row r="44" spans="1:12" x14ac:dyDescent="0.2">
      <c r="C44" s="96"/>
      <c r="D44" s="96"/>
      <c r="E44" s="96"/>
      <c r="F44" s="96"/>
      <c r="G44" s="96"/>
      <c r="H44" s="96"/>
      <c r="J44" s="12">
        <v>125000</v>
      </c>
      <c r="K44" s="12">
        <v>3</v>
      </c>
    </row>
    <row r="45" spans="1:12" x14ac:dyDescent="0.2">
      <c r="C45" s="96"/>
      <c r="D45" s="96"/>
      <c r="E45" s="96"/>
      <c r="F45" s="96"/>
      <c r="G45" s="96"/>
      <c r="H45" s="96"/>
      <c r="J45" s="12">
        <v>125000</v>
      </c>
      <c r="K45" s="12">
        <v>4</v>
      </c>
    </row>
    <row r="46" spans="1:12" x14ac:dyDescent="0.2">
      <c r="J46" s="12">
        <v>125000</v>
      </c>
      <c r="K46" s="12">
        <v>5</v>
      </c>
    </row>
    <row r="47" spans="1:12" x14ac:dyDescent="0.2">
      <c r="J47" s="12">
        <v>93750</v>
      </c>
      <c r="K47" s="12">
        <v>6</v>
      </c>
    </row>
    <row r="48" spans="1:12" x14ac:dyDescent="0.2">
      <c r="A48" s="58" t="s">
        <v>2241</v>
      </c>
      <c r="B48" s="58"/>
      <c r="C48" s="58"/>
      <c r="D48" s="58"/>
      <c r="J48" s="1" t="s">
        <v>2299</v>
      </c>
    </row>
    <row r="49" spans="1:12" x14ac:dyDescent="0.2">
      <c r="A49" s="1" t="s">
        <v>2239</v>
      </c>
    </row>
    <row r="50" spans="1:12" x14ac:dyDescent="0.2">
      <c r="A50" s="1" t="s">
        <v>2240</v>
      </c>
      <c r="K50" s="42">
        <f>NPV(K39,J43:J47)+J42</f>
        <v>-181919.08153317904</v>
      </c>
      <c r="L50" s="1" t="s">
        <v>2300</v>
      </c>
    </row>
    <row r="51" spans="1:12" ht="17" thickBot="1" x14ac:dyDescent="0.25"/>
    <row r="52" spans="1:12" x14ac:dyDescent="0.2">
      <c r="A52" s="58" t="s">
        <v>2243</v>
      </c>
      <c r="B52" s="58"/>
      <c r="K52" s="21" t="s">
        <v>2301</v>
      </c>
      <c r="L52" s="23"/>
    </row>
    <row r="53" spans="1:12" ht="17" thickBot="1" x14ac:dyDescent="0.25">
      <c r="A53" s="1" t="s">
        <v>2244</v>
      </c>
      <c r="K53" s="125" t="s">
        <v>2302</v>
      </c>
      <c r="L53" s="28"/>
    </row>
    <row r="54" spans="1:12" x14ac:dyDescent="0.2">
      <c r="A54" s="1" t="s">
        <v>2245</v>
      </c>
    </row>
    <row r="56" spans="1:12" x14ac:dyDescent="0.2">
      <c r="A56" s="58" t="s">
        <v>2247</v>
      </c>
      <c r="B56" s="58"/>
    </row>
    <row r="57" spans="1:12" x14ac:dyDescent="0.2">
      <c r="A57" s="1" t="s">
        <v>2248</v>
      </c>
    </row>
    <row r="58" spans="1:12" x14ac:dyDescent="0.2">
      <c r="A58" s="1" t="s">
        <v>2249</v>
      </c>
    </row>
    <row r="59" spans="1:12" x14ac:dyDescent="0.2">
      <c r="A59" s="1" t="s">
        <v>2250</v>
      </c>
    </row>
    <row r="60" spans="1:12" x14ac:dyDescent="0.2">
      <c r="A60" s="1" t="s">
        <v>2251</v>
      </c>
    </row>
    <row r="61" spans="1:12" x14ac:dyDescent="0.2">
      <c r="A61" s="1" t="s">
        <v>2252</v>
      </c>
    </row>
    <row r="62" spans="1:12" x14ac:dyDescent="0.2">
      <c r="A62" s="1" t="s">
        <v>2253</v>
      </c>
    </row>
    <row r="64" spans="1:12" x14ac:dyDescent="0.2">
      <c r="B64" s="1" t="s">
        <v>2254</v>
      </c>
      <c r="D64" s="18">
        <v>125000</v>
      </c>
      <c r="G64" s="1" t="s">
        <v>2255</v>
      </c>
    </row>
    <row r="65" spans="1:7" x14ac:dyDescent="0.2">
      <c r="A65" s="1" t="s">
        <v>2260</v>
      </c>
      <c r="B65" s="1" t="s">
        <v>2259</v>
      </c>
      <c r="D65" s="286">
        <v>0.25</v>
      </c>
    </row>
    <row r="66" spans="1:7" x14ac:dyDescent="0.2">
      <c r="B66" s="1" t="s">
        <v>2246</v>
      </c>
      <c r="D66" s="256">
        <f>D64*D65</f>
        <v>31250</v>
      </c>
      <c r="E66" s="146" t="s">
        <v>2261</v>
      </c>
      <c r="G66" s="1" t="s">
        <v>2256</v>
      </c>
    </row>
    <row r="67" spans="1:7" x14ac:dyDescent="0.2">
      <c r="F67" s="1" t="s">
        <v>2257</v>
      </c>
    </row>
    <row r="68" spans="1:7" x14ac:dyDescent="0.2">
      <c r="F68" s="1" t="s">
        <v>2258</v>
      </c>
    </row>
    <row r="70" spans="1:7" x14ac:dyDescent="0.2">
      <c r="A70" s="1" t="s">
        <v>2262</v>
      </c>
    </row>
    <row r="71" spans="1:7" x14ac:dyDescent="0.2">
      <c r="A71" s="1" t="s">
        <v>2263</v>
      </c>
    </row>
    <row r="73" spans="1:7" x14ac:dyDescent="0.2">
      <c r="A73" s="58" t="s">
        <v>2265</v>
      </c>
      <c r="B73" s="58"/>
    </row>
    <row r="74" spans="1:7" x14ac:dyDescent="0.2">
      <c r="A74" s="1" t="s">
        <v>2266</v>
      </c>
    </row>
    <row r="75" spans="1:7" x14ac:dyDescent="0.2">
      <c r="A75" s="1" t="s">
        <v>2267</v>
      </c>
    </row>
    <row r="77" spans="1:7" x14ac:dyDescent="0.2">
      <c r="B77" s="1" t="s">
        <v>2268</v>
      </c>
    </row>
    <row r="78" spans="1:7" x14ac:dyDescent="0.2">
      <c r="B78" s="1" t="s">
        <v>2269</v>
      </c>
    </row>
    <row r="79" spans="1:7" x14ac:dyDescent="0.2">
      <c r="B79" s="1" t="s">
        <v>2270</v>
      </c>
    </row>
    <row r="80" spans="1:7" x14ac:dyDescent="0.2">
      <c r="B80" s="1" t="s">
        <v>2271</v>
      </c>
    </row>
    <row r="81" spans="2:7" x14ac:dyDescent="0.2">
      <c r="B81" s="1" t="s">
        <v>2272</v>
      </c>
    </row>
    <row r="83" spans="2:7" x14ac:dyDescent="0.2">
      <c r="B83" s="1" t="s">
        <v>2273</v>
      </c>
      <c r="D83" s="18">
        <f>(-40000-35000)*(1-25%)</f>
        <v>-56250</v>
      </c>
      <c r="G83" s="1" t="s">
        <v>2274</v>
      </c>
    </row>
    <row r="85" spans="2:7" x14ac:dyDescent="0.2">
      <c r="D85" s="1" t="s">
        <v>2279</v>
      </c>
      <c r="F85" s="1" t="s">
        <v>2277</v>
      </c>
      <c r="G85" s="1" t="s">
        <v>2275</v>
      </c>
    </row>
    <row r="86" spans="2:7" x14ac:dyDescent="0.2">
      <c r="D86" s="1" t="s">
        <v>2280</v>
      </c>
      <c r="F86" s="1" t="s">
        <v>2278</v>
      </c>
      <c r="G86" s="1" t="s">
        <v>2276</v>
      </c>
    </row>
    <row r="87" spans="2:7" x14ac:dyDescent="0.2">
      <c r="D87" s="1" t="s">
        <v>2281</v>
      </c>
    </row>
    <row r="89" spans="2:7" x14ac:dyDescent="0.2">
      <c r="B89" s="1" t="s">
        <v>2282</v>
      </c>
    </row>
    <row r="90" spans="2:7" x14ac:dyDescent="0.2">
      <c r="B90" s="1" t="s">
        <v>2283</v>
      </c>
    </row>
    <row r="92" spans="2:7" x14ac:dyDescent="0.2">
      <c r="B92" s="1" t="s">
        <v>2284</v>
      </c>
    </row>
    <row r="93" spans="2:7" x14ac:dyDescent="0.2">
      <c r="D93" s="18">
        <f>(200000-40000-35000)*(1-25%)</f>
        <v>93750</v>
      </c>
      <c r="G93" s="1" t="s">
        <v>2290</v>
      </c>
    </row>
    <row r="95" spans="2:7" x14ac:dyDescent="0.2">
      <c r="G95" s="1" t="s">
        <v>2286</v>
      </c>
    </row>
    <row r="96" spans="2:7" x14ac:dyDescent="0.2">
      <c r="D96" s="1" t="s">
        <v>2291</v>
      </c>
      <c r="G96" s="1" t="s">
        <v>2285</v>
      </c>
    </row>
    <row r="97" spans="1:8" x14ac:dyDescent="0.2">
      <c r="D97" s="1" t="s">
        <v>2292</v>
      </c>
    </row>
    <row r="98" spans="1:8" x14ac:dyDescent="0.2">
      <c r="D98" s="1" t="s">
        <v>2293</v>
      </c>
      <c r="E98" s="1" t="s">
        <v>2277</v>
      </c>
      <c r="F98" s="1" t="s">
        <v>2287</v>
      </c>
    </row>
    <row r="99" spans="1:8" x14ac:dyDescent="0.2">
      <c r="D99" s="1" t="s">
        <v>2294</v>
      </c>
      <c r="E99" s="1" t="s">
        <v>2289</v>
      </c>
      <c r="F99" s="1" t="s">
        <v>2288</v>
      </c>
    </row>
    <row r="100" spans="1:8" x14ac:dyDescent="0.2">
      <c r="D100" s="1" t="s">
        <v>2295</v>
      </c>
    </row>
    <row r="102" spans="1:8" x14ac:dyDescent="0.2">
      <c r="A102" s="285" t="s">
        <v>2303</v>
      </c>
      <c r="B102" s="285"/>
      <c r="C102" s="285"/>
      <c r="D102" s="285"/>
      <c r="E102" s="285"/>
      <c r="F102" s="285"/>
      <c r="G102" s="285"/>
      <c r="H102" s="285"/>
    </row>
    <row r="103" spans="1:8" x14ac:dyDescent="0.2">
      <c r="A103" s="1" t="s">
        <v>2304</v>
      </c>
    </row>
    <row r="104" spans="1:8" x14ac:dyDescent="0.2">
      <c r="A104" s="1" t="s">
        <v>2321</v>
      </c>
    </row>
    <row r="105" spans="1:8" x14ac:dyDescent="0.2">
      <c r="A105" s="1" t="s">
        <v>2305</v>
      </c>
    </row>
    <row r="106" spans="1:8" x14ac:dyDescent="0.2">
      <c r="A106" s="1" t="s">
        <v>2306</v>
      </c>
    </row>
    <row r="107" spans="1:8" x14ac:dyDescent="0.2">
      <c r="A107" s="1" t="s">
        <v>2322</v>
      </c>
    </row>
    <row r="108" spans="1:8" x14ac:dyDescent="0.2">
      <c r="A108" s="1" t="s">
        <v>2323</v>
      </c>
    </row>
    <row r="109" spans="1:8" x14ac:dyDescent="0.2">
      <c r="A109" s="1" t="s">
        <v>2324</v>
      </c>
    </row>
    <row r="110" spans="1:8" x14ac:dyDescent="0.2">
      <c r="A110" s="1" t="s">
        <v>2307</v>
      </c>
    </row>
    <row r="111" spans="1:8" x14ac:dyDescent="0.2">
      <c r="A111" s="1" t="s">
        <v>2325</v>
      </c>
    </row>
    <row r="112" spans="1:8" x14ac:dyDescent="0.2">
      <c r="A112" s="1" t="s">
        <v>2312</v>
      </c>
    </row>
    <row r="113" spans="1:12" x14ac:dyDescent="0.2">
      <c r="A113" s="1" t="s">
        <v>2326</v>
      </c>
    </row>
    <row r="114" spans="1:12" x14ac:dyDescent="0.2">
      <c r="A114" s="1" t="s">
        <v>2327</v>
      </c>
    </row>
    <row r="115" spans="1:12" x14ac:dyDescent="0.2">
      <c r="A115" s="29" t="s">
        <v>2308</v>
      </c>
      <c r="B115" s="29"/>
      <c r="C115" s="29"/>
      <c r="D115" s="29"/>
      <c r="E115" s="29"/>
      <c r="F115" s="29"/>
      <c r="G115" s="29"/>
      <c r="H115" s="29"/>
    </row>
    <row r="116" spans="1:12" x14ac:dyDescent="0.2">
      <c r="A116" s="29" t="s">
        <v>2309</v>
      </c>
      <c r="B116" s="29"/>
      <c r="C116" s="29"/>
      <c r="D116" s="29"/>
      <c r="E116" s="29"/>
      <c r="F116" s="29"/>
      <c r="G116" s="29"/>
      <c r="H116" s="29"/>
    </row>
    <row r="117" spans="1:12" x14ac:dyDescent="0.2">
      <c r="A117" s="1" t="s">
        <v>2310</v>
      </c>
    </row>
    <row r="119" spans="1:12" x14ac:dyDescent="0.2">
      <c r="A119" s="1" t="s">
        <v>2311</v>
      </c>
      <c r="L119" s="32" t="s">
        <v>1089</v>
      </c>
    </row>
    <row r="120" spans="1:12" x14ac:dyDescent="0.2">
      <c r="K120" s="12" t="s">
        <v>2297</v>
      </c>
    </row>
    <row r="121" spans="1:12" x14ac:dyDescent="0.2">
      <c r="A121" s="1" t="s">
        <v>2328</v>
      </c>
      <c r="C121" s="59">
        <v>0</v>
      </c>
      <c r="D121" s="59">
        <v>1</v>
      </c>
      <c r="E121" s="59">
        <v>2</v>
      </c>
      <c r="F121" s="59">
        <v>3</v>
      </c>
      <c r="G121" s="59">
        <v>4</v>
      </c>
      <c r="H121" s="59">
        <v>5</v>
      </c>
      <c r="I121" s="59">
        <v>6</v>
      </c>
      <c r="K121" s="294">
        <v>0.08</v>
      </c>
      <c r="L121" s="1" t="s">
        <v>2330</v>
      </c>
    </row>
    <row r="122" spans="1:12" x14ac:dyDescent="0.2">
      <c r="A122" s="1" t="s">
        <v>2313</v>
      </c>
      <c r="C122" s="12" t="s">
        <v>2314</v>
      </c>
      <c r="K122" s="12" t="s">
        <v>1199</v>
      </c>
    </row>
    <row r="123" spans="1:12" x14ac:dyDescent="0.2">
      <c r="A123" s="1" t="s">
        <v>2316</v>
      </c>
      <c r="D123" s="378" t="s">
        <v>2315</v>
      </c>
      <c r="E123" s="378"/>
      <c r="F123" s="378"/>
      <c r="G123" s="378"/>
      <c r="H123" s="378"/>
      <c r="I123" s="378"/>
      <c r="L123" s="1" t="s">
        <v>2331</v>
      </c>
    </row>
    <row r="124" spans="1:12" x14ac:dyDescent="0.2">
      <c r="A124" s="1" t="s">
        <v>2317</v>
      </c>
      <c r="C124" s="58"/>
      <c r="D124" s="379" t="s">
        <v>2318</v>
      </c>
      <c r="E124" s="379"/>
      <c r="F124" s="379"/>
      <c r="G124" s="379"/>
      <c r="H124" s="379"/>
      <c r="I124" s="379"/>
      <c r="K124" s="59" t="s">
        <v>1095</v>
      </c>
      <c r="L124" s="12"/>
    </row>
    <row r="125" spans="1:12" x14ac:dyDescent="0.2">
      <c r="A125" s="1" t="s">
        <v>2319</v>
      </c>
      <c r="C125" s="288" t="s">
        <v>2314</v>
      </c>
      <c r="D125" s="380" t="s">
        <v>2320</v>
      </c>
      <c r="E125" s="380"/>
      <c r="F125" s="380"/>
      <c r="G125" s="380"/>
      <c r="H125" s="380"/>
      <c r="I125" s="380"/>
      <c r="K125" s="18">
        <f>C132</f>
        <v>-300000</v>
      </c>
      <c r="L125" s="12">
        <v>1</v>
      </c>
    </row>
    <row r="126" spans="1:12" x14ac:dyDescent="0.2">
      <c r="K126" s="18">
        <f>D132</f>
        <v>86250</v>
      </c>
      <c r="L126" s="12">
        <v>2</v>
      </c>
    </row>
    <row r="127" spans="1:12" x14ac:dyDescent="0.2">
      <c r="A127" s="1" t="s">
        <v>2329</v>
      </c>
      <c r="K127" s="18">
        <f>E132</f>
        <v>22500</v>
      </c>
      <c r="L127" s="12">
        <v>3</v>
      </c>
    </row>
    <row r="128" spans="1:12" x14ac:dyDescent="0.2">
      <c r="C128" s="292">
        <v>0</v>
      </c>
      <c r="D128" s="292">
        <v>1</v>
      </c>
      <c r="E128" s="292">
        <v>2</v>
      </c>
      <c r="F128" s="292">
        <v>3</v>
      </c>
      <c r="G128" s="292">
        <v>4</v>
      </c>
      <c r="H128" s="292">
        <v>5</v>
      </c>
      <c r="I128" s="292">
        <v>6</v>
      </c>
      <c r="K128" s="18">
        <f>F132</f>
        <v>22500</v>
      </c>
      <c r="L128" s="12">
        <v>4</v>
      </c>
    </row>
    <row r="129" spans="1:12" x14ac:dyDescent="0.2">
      <c r="A129" s="1" t="s">
        <v>2313</v>
      </c>
      <c r="C129" s="18">
        <v>-300000</v>
      </c>
      <c r="D129" s="18"/>
      <c r="E129" s="18"/>
      <c r="F129" s="18"/>
      <c r="G129" s="18"/>
      <c r="H129" s="18"/>
      <c r="I129" s="18"/>
      <c r="K129" s="18">
        <f>G132</f>
        <v>22500</v>
      </c>
      <c r="L129" s="12">
        <v>5</v>
      </c>
    </row>
    <row r="130" spans="1:12" x14ac:dyDescent="0.2">
      <c r="A130" s="1" t="s">
        <v>2316</v>
      </c>
      <c r="C130" s="18"/>
      <c r="D130" s="18">
        <f>300000/4*25%</f>
        <v>18750</v>
      </c>
      <c r="E130" s="18">
        <f>300000/4*25%</f>
        <v>18750</v>
      </c>
      <c r="F130" s="18">
        <f>300000/4*25%</f>
        <v>18750</v>
      </c>
      <c r="G130" s="18">
        <f>300000/4*25%</f>
        <v>18750</v>
      </c>
      <c r="H130" s="18"/>
      <c r="I130" s="18"/>
      <c r="K130" s="18">
        <f>H132</f>
        <v>3750</v>
      </c>
      <c r="L130" s="12">
        <v>6</v>
      </c>
    </row>
    <row r="131" spans="1:12" x14ac:dyDescent="0.2">
      <c r="A131" s="1" t="s">
        <v>2317</v>
      </c>
      <c r="C131" s="291"/>
      <c r="D131" s="291">
        <v>67500</v>
      </c>
      <c r="E131" s="291">
        <v>3750</v>
      </c>
      <c r="F131" s="291">
        <f>E131</f>
        <v>3750</v>
      </c>
      <c r="G131" s="291">
        <f>F131</f>
        <v>3750</v>
      </c>
      <c r="H131" s="291">
        <f>G131</f>
        <v>3750</v>
      </c>
      <c r="I131" s="291">
        <f>H131</f>
        <v>3750</v>
      </c>
      <c r="K131" s="18">
        <f>I132</f>
        <v>3750</v>
      </c>
      <c r="L131" s="12">
        <v>7</v>
      </c>
    </row>
    <row r="132" spans="1:12" ht="17" thickBot="1" x14ac:dyDescent="0.25">
      <c r="A132" s="1" t="s">
        <v>2319</v>
      </c>
      <c r="C132" s="293">
        <f>C129</f>
        <v>-300000</v>
      </c>
      <c r="D132" s="293">
        <f t="shared" ref="D132:I132" si="1">D130+D131</f>
        <v>86250</v>
      </c>
      <c r="E132" s="293">
        <f t="shared" si="1"/>
        <v>22500</v>
      </c>
      <c r="F132" s="293">
        <f t="shared" si="1"/>
        <v>22500</v>
      </c>
      <c r="G132" s="293">
        <f t="shared" si="1"/>
        <v>22500</v>
      </c>
      <c r="H132" s="293">
        <f t="shared" si="1"/>
        <v>3750</v>
      </c>
      <c r="I132" s="293">
        <f t="shared" si="1"/>
        <v>3750</v>
      </c>
    </row>
    <row r="133" spans="1:12" x14ac:dyDescent="0.2">
      <c r="K133" s="295">
        <f>NPV(K121,K126:K131)+K125</f>
        <v>-161534.04523153653</v>
      </c>
      <c r="L133" s="269" t="s">
        <v>2300</v>
      </c>
    </row>
    <row r="134" spans="1:12" x14ac:dyDescent="0.2">
      <c r="K134" s="297" t="s">
        <v>2374</v>
      </c>
      <c r="L134" s="296"/>
    </row>
    <row r="135" spans="1:12" ht="17" thickBot="1" x14ac:dyDescent="0.25">
      <c r="K135" s="298" t="s">
        <v>2375</v>
      </c>
      <c r="L135" s="270"/>
    </row>
    <row r="137" spans="1:12" ht="17" thickBot="1" x14ac:dyDescent="0.25">
      <c r="A137" s="1" t="s">
        <v>2332</v>
      </c>
    </row>
    <row r="138" spans="1:12" x14ac:dyDescent="0.2">
      <c r="A138" s="30" t="s">
        <v>2260</v>
      </c>
      <c r="B138" s="31"/>
      <c r="C138" s="31"/>
      <c r="D138" s="31"/>
      <c r="E138" s="31"/>
      <c r="F138" s="31"/>
      <c r="G138" s="31"/>
      <c r="H138" s="31"/>
      <c r="I138" s="23"/>
    </row>
    <row r="139" spans="1:12" x14ac:dyDescent="0.2">
      <c r="A139" s="24" t="s">
        <v>2321</v>
      </c>
      <c r="I139" s="25"/>
    </row>
    <row r="140" spans="1:12" x14ac:dyDescent="0.2">
      <c r="A140" s="24" t="s">
        <v>2305</v>
      </c>
      <c r="I140" s="25"/>
    </row>
    <row r="141" spans="1:12" x14ac:dyDescent="0.2">
      <c r="A141" s="24"/>
      <c r="I141" s="25"/>
    </row>
    <row r="142" spans="1:12" x14ac:dyDescent="0.2">
      <c r="A142" s="24" t="s">
        <v>2336</v>
      </c>
      <c r="I142" s="25"/>
    </row>
    <row r="143" spans="1:12" x14ac:dyDescent="0.2">
      <c r="A143" s="24" t="s">
        <v>2335</v>
      </c>
      <c r="I143" s="25"/>
    </row>
    <row r="144" spans="1:12" x14ac:dyDescent="0.2">
      <c r="A144" s="24" t="s">
        <v>2333</v>
      </c>
      <c r="I144" s="25"/>
    </row>
    <row r="145" spans="1:9" ht="17" thickBot="1" x14ac:dyDescent="0.25">
      <c r="A145" s="125" t="s">
        <v>2334</v>
      </c>
      <c r="B145" s="27"/>
      <c r="C145" s="27"/>
      <c r="D145" s="27"/>
      <c r="E145" s="27"/>
      <c r="F145" s="27"/>
      <c r="G145" s="27"/>
      <c r="H145" s="27"/>
      <c r="I145" s="28"/>
    </row>
    <row r="146" spans="1:9" ht="17" thickBot="1" x14ac:dyDescent="0.25"/>
    <row r="147" spans="1:9" x14ac:dyDescent="0.2">
      <c r="A147" s="30" t="s">
        <v>2260</v>
      </c>
      <c r="B147" s="31"/>
      <c r="C147" s="31"/>
      <c r="D147" s="31"/>
      <c r="E147" s="31"/>
      <c r="F147" s="31"/>
      <c r="G147" s="31"/>
      <c r="H147" s="31"/>
      <c r="I147" s="23"/>
    </row>
    <row r="148" spans="1:9" x14ac:dyDescent="0.2">
      <c r="A148" s="24" t="s">
        <v>2322</v>
      </c>
      <c r="I148" s="25"/>
    </row>
    <row r="149" spans="1:9" x14ac:dyDescent="0.2">
      <c r="A149" s="24" t="s">
        <v>2323</v>
      </c>
      <c r="D149" s="1" t="s">
        <v>2337</v>
      </c>
      <c r="I149" s="25"/>
    </row>
    <row r="150" spans="1:9" x14ac:dyDescent="0.2">
      <c r="A150" s="24"/>
      <c r="I150" s="25"/>
    </row>
    <row r="151" spans="1:9" x14ac:dyDescent="0.2">
      <c r="A151" s="24" t="s">
        <v>2336</v>
      </c>
      <c r="I151" s="25"/>
    </row>
    <row r="152" spans="1:9" x14ac:dyDescent="0.2">
      <c r="A152" s="24" t="s">
        <v>2338</v>
      </c>
      <c r="I152" s="25"/>
    </row>
    <row r="153" spans="1:9" x14ac:dyDescent="0.2">
      <c r="A153" s="24" t="s">
        <v>2339</v>
      </c>
      <c r="I153" s="25"/>
    </row>
    <row r="154" spans="1:9" x14ac:dyDescent="0.2">
      <c r="A154" s="24"/>
      <c r="E154" s="289">
        <f>300000/4*25%</f>
        <v>18750</v>
      </c>
      <c r="G154" s="1" t="s">
        <v>2340</v>
      </c>
      <c r="I154" s="25"/>
    </row>
    <row r="155" spans="1:9" x14ac:dyDescent="0.2">
      <c r="A155" s="24"/>
      <c r="I155" s="25"/>
    </row>
    <row r="156" spans="1:9" x14ac:dyDescent="0.2">
      <c r="A156" s="24"/>
      <c r="F156" s="1" t="s">
        <v>960</v>
      </c>
      <c r="I156" s="25"/>
    </row>
    <row r="157" spans="1:9" x14ac:dyDescent="0.2">
      <c r="A157" s="24"/>
      <c r="F157" s="86">
        <v>300000</v>
      </c>
      <c r="G157" s="1" t="s">
        <v>2341</v>
      </c>
      <c r="I157" s="25"/>
    </row>
    <row r="158" spans="1:9" x14ac:dyDescent="0.2">
      <c r="A158" s="24"/>
      <c r="F158" s="1">
        <v>4</v>
      </c>
      <c r="G158" s="1" t="s">
        <v>2342</v>
      </c>
      <c r="I158" s="25"/>
    </row>
    <row r="159" spans="1:9" x14ac:dyDescent="0.2">
      <c r="A159" s="24"/>
      <c r="F159" s="143">
        <v>0.25</v>
      </c>
      <c r="G159" s="1" t="s">
        <v>2343</v>
      </c>
      <c r="I159" s="25"/>
    </row>
    <row r="160" spans="1:9" x14ac:dyDescent="0.2">
      <c r="A160" s="24"/>
      <c r="I160" s="25"/>
    </row>
    <row r="161" spans="1:9" x14ac:dyDescent="0.2">
      <c r="A161" s="24" t="s">
        <v>2345</v>
      </c>
      <c r="I161" s="25"/>
    </row>
    <row r="162" spans="1:9" ht="17" thickBot="1" x14ac:dyDescent="0.25">
      <c r="A162" s="26" t="s">
        <v>2344</v>
      </c>
      <c r="B162" s="27"/>
      <c r="C162" s="27"/>
      <c r="D162" s="27"/>
      <c r="E162" s="27"/>
      <c r="F162" s="27"/>
      <c r="G162" s="27"/>
      <c r="H162" s="27"/>
      <c r="I162" s="28"/>
    </row>
    <row r="163" spans="1:9" ht="17" thickBot="1" x14ac:dyDescent="0.25"/>
    <row r="164" spans="1:9" x14ac:dyDescent="0.2">
      <c r="A164" s="30" t="s">
        <v>2260</v>
      </c>
      <c r="B164" s="31"/>
      <c r="C164" s="31"/>
      <c r="D164" s="31"/>
      <c r="E164" s="31"/>
      <c r="F164" s="31"/>
      <c r="G164" s="31"/>
      <c r="H164" s="31"/>
      <c r="I164" s="23"/>
    </row>
    <row r="165" spans="1:9" x14ac:dyDescent="0.2">
      <c r="A165" s="24" t="s">
        <v>2324</v>
      </c>
      <c r="I165" s="25"/>
    </row>
    <row r="166" spans="1:9" x14ac:dyDescent="0.2">
      <c r="A166" s="24" t="s">
        <v>2307</v>
      </c>
      <c r="I166" s="25"/>
    </row>
    <row r="167" spans="1:9" x14ac:dyDescent="0.2">
      <c r="A167" s="24"/>
      <c r="I167" s="25"/>
    </row>
    <row r="168" spans="1:9" x14ac:dyDescent="0.2">
      <c r="A168" s="24" t="s">
        <v>2336</v>
      </c>
      <c r="I168" s="25"/>
    </row>
    <row r="169" spans="1:9" x14ac:dyDescent="0.2">
      <c r="A169" s="24" t="s">
        <v>2365</v>
      </c>
      <c r="I169" s="25"/>
    </row>
    <row r="170" spans="1:9" x14ac:dyDescent="0.2">
      <c r="A170" s="24" t="s">
        <v>2346</v>
      </c>
      <c r="I170" s="25"/>
    </row>
    <row r="171" spans="1:9" x14ac:dyDescent="0.2">
      <c r="A171" s="24" t="s">
        <v>2347</v>
      </c>
      <c r="I171" s="25"/>
    </row>
    <row r="172" spans="1:9" x14ac:dyDescent="0.2">
      <c r="A172" s="24"/>
      <c r="I172" s="25"/>
    </row>
    <row r="173" spans="1:9" x14ac:dyDescent="0.2">
      <c r="A173" s="24" t="s">
        <v>2348</v>
      </c>
      <c r="I173" s="25"/>
    </row>
    <row r="174" spans="1:9" ht="17" thickBot="1" x14ac:dyDescent="0.25">
      <c r="A174" s="26" t="s">
        <v>2349</v>
      </c>
      <c r="B174" s="27"/>
      <c r="C174" s="27"/>
      <c r="D174" s="27"/>
      <c r="E174" s="27"/>
      <c r="F174" s="27"/>
      <c r="G174" s="27"/>
      <c r="H174" s="27"/>
      <c r="I174" s="28"/>
    </row>
    <row r="176" spans="1:9" x14ac:dyDescent="0.2">
      <c r="A176" s="1" t="s">
        <v>2350</v>
      </c>
    </row>
    <row r="177" spans="1:11" x14ac:dyDescent="0.2">
      <c r="A177" s="1" t="s">
        <v>2325</v>
      </c>
    </row>
    <row r="178" spans="1:11" x14ac:dyDescent="0.2">
      <c r="A178" s="1" t="s">
        <v>2312</v>
      </c>
    </row>
    <row r="179" spans="1:11" x14ac:dyDescent="0.2">
      <c r="A179" s="1" t="s">
        <v>2326</v>
      </c>
    </row>
    <row r="180" spans="1:11" x14ac:dyDescent="0.2">
      <c r="A180" s="1" t="s">
        <v>2327</v>
      </c>
    </row>
    <row r="181" spans="1:11" x14ac:dyDescent="0.2">
      <c r="A181" s="29" t="s">
        <v>2308</v>
      </c>
      <c r="B181" s="29"/>
      <c r="C181" s="29"/>
      <c r="D181" s="29"/>
      <c r="E181" s="29"/>
      <c r="F181" s="29"/>
      <c r="G181" s="29"/>
      <c r="H181" s="29"/>
    </row>
    <row r="182" spans="1:11" x14ac:dyDescent="0.2">
      <c r="A182" s="29" t="s">
        <v>2309</v>
      </c>
      <c r="B182" s="29"/>
      <c r="C182" s="29"/>
      <c r="D182" s="29"/>
      <c r="E182" s="75" t="s">
        <v>2351</v>
      </c>
      <c r="F182" s="75"/>
      <c r="G182" s="29"/>
      <c r="H182" s="29"/>
    </row>
    <row r="184" spans="1:11" x14ac:dyDescent="0.2">
      <c r="A184" s="1" t="s">
        <v>2336</v>
      </c>
    </row>
    <row r="185" spans="1:11" x14ac:dyDescent="0.2">
      <c r="A185" s="1" t="s">
        <v>2352</v>
      </c>
    </row>
    <row r="186" spans="1:11" x14ac:dyDescent="0.2">
      <c r="A186" s="1" t="s">
        <v>2353</v>
      </c>
    </row>
    <row r="187" spans="1:11" ht="17" thickBot="1" x14ac:dyDescent="0.25"/>
    <row r="188" spans="1:11" ht="16" customHeight="1" x14ac:dyDescent="0.2">
      <c r="C188" s="1" t="s">
        <v>2360</v>
      </c>
      <c r="D188" s="12" t="s">
        <v>2356</v>
      </c>
      <c r="E188" s="12" t="s">
        <v>2355</v>
      </c>
      <c r="F188" s="12" t="s">
        <v>2354</v>
      </c>
      <c r="K188" s="374" t="s">
        <v>2373</v>
      </c>
    </row>
    <row r="189" spans="1:11" x14ac:dyDescent="0.2">
      <c r="D189" s="12" t="s">
        <v>2357</v>
      </c>
      <c r="E189" s="12"/>
      <c r="F189" s="12"/>
      <c r="K189" s="375"/>
    </row>
    <row r="190" spans="1:11" x14ac:dyDescent="0.2">
      <c r="D190" s="12" t="s">
        <v>2358</v>
      </c>
      <c r="K190" s="375"/>
    </row>
    <row r="191" spans="1:11" x14ac:dyDescent="0.2">
      <c r="D191" s="12" t="s">
        <v>2359</v>
      </c>
      <c r="K191" s="375"/>
    </row>
    <row r="192" spans="1:11" x14ac:dyDescent="0.2">
      <c r="K192" s="375"/>
    </row>
    <row r="193" spans="1:11" x14ac:dyDescent="0.2">
      <c r="A193" s="150" t="s">
        <v>2361</v>
      </c>
      <c r="B193" s="150"/>
      <c r="C193" s="150"/>
      <c r="D193" s="150"/>
      <c r="E193" s="290">
        <f>(200000-70000-40000)*(1-25%)</f>
        <v>67500</v>
      </c>
      <c r="H193" s="1" t="s">
        <v>2362</v>
      </c>
      <c r="K193" s="375"/>
    </row>
    <row r="194" spans="1:11" ht="17" thickBot="1" x14ac:dyDescent="0.25">
      <c r="K194" s="376"/>
    </row>
    <row r="195" spans="1:11" x14ac:dyDescent="0.2">
      <c r="F195" s="1" t="s">
        <v>960</v>
      </c>
    </row>
    <row r="196" spans="1:11" x14ac:dyDescent="0.2">
      <c r="F196" s="86">
        <v>200000</v>
      </c>
      <c r="G196" s="1" t="s">
        <v>2363</v>
      </c>
    </row>
    <row r="197" spans="1:11" x14ac:dyDescent="0.2">
      <c r="F197" s="86">
        <v>-70000</v>
      </c>
      <c r="G197" s="1" t="s">
        <v>2364</v>
      </c>
    </row>
    <row r="198" spans="1:11" x14ac:dyDescent="0.2">
      <c r="F198" s="86">
        <v>-40000</v>
      </c>
      <c r="G198" s="1" t="s">
        <v>2366</v>
      </c>
    </row>
    <row r="200" spans="1:11" x14ac:dyDescent="0.2">
      <c r="A200" s="150" t="s">
        <v>2367</v>
      </c>
      <c r="B200" s="150"/>
      <c r="C200" s="150"/>
      <c r="D200" s="150"/>
      <c r="E200" s="290">
        <f>(70000-25000-40000)*(1-25%)</f>
        <v>3750</v>
      </c>
      <c r="H200" s="1" t="s">
        <v>2368</v>
      </c>
    </row>
    <row r="202" spans="1:11" x14ac:dyDescent="0.2">
      <c r="F202" s="1" t="s">
        <v>960</v>
      </c>
    </row>
    <row r="203" spans="1:11" x14ac:dyDescent="0.2">
      <c r="F203" s="86">
        <v>70000</v>
      </c>
      <c r="G203" s="1" t="s">
        <v>2369</v>
      </c>
    </row>
    <row r="204" spans="1:11" x14ac:dyDescent="0.2">
      <c r="F204" s="86">
        <v>-25000</v>
      </c>
      <c r="G204" s="1" t="s">
        <v>2370</v>
      </c>
    </row>
    <row r="205" spans="1:11" x14ac:dyDescent="0.2">
      <c r="F205" s="86">
        <v>-40000</v>
      </c>
      <c r="G205" s="1" t="s">
        <v>2371</v>
      </c>
    </row>
    <row r="207" spans="1:11" x14ac:dyDescent="0.2">
      <c r="A207" s="1" t="s">
        <v>2372</v>
      </c>
    </row>
  </sheetData>
  <mergeCells count="6">
    <mergeCell ref="K188:K194"/>
    <mergeCell ref="C36:H36"/>
    <mergeCell ref="C39:H39"/>
    <mergeCell ref="D123:I123"/>
    <mergeCell ref="D124:I124"/>
    <mergeCell ref="D125:I125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6F6C3-1845-AF47-B39F-29FCECA0574B}">
  <dimension ref="A1:K224"/>
  <sheetViews>
    <sheetView rightToLeft="1" zoomScale="297" workbookViewId="0">
      <selection activeCell="B213" sqref="B213"/>
    </sheetView>
  </sheetViews>
  <sheetFormatPr baseColWidth="10" defaultRowHeight="16" x14ac:dyDescent="0.2"/>
  <cols>
    <col min="1" max="1" width="10.83203125" style="1"/>
    <col min="2" max="2" width="43.6640625" style="1" bestFit="1" customWidth="1"/>
    <col min="3" max="3" width="10.83203125" style="1"/>
    <col min="4" max="4" width="11.83203125" style="1" customWidth="1"/>
    <col min="5" max="6" width="10.83203125" style="1"/>
    <col min="7" max="7" width="10.33203125" style="1" customWidth="1"/>
    <col min="8" max="16384" width="10.83203125" style="1"/>
  </cols>
  <sheetData>
    <row r="1" spans="1:11" x14ac:dyDescent="0.2">
      <c r="A1" s="75" t="s">
        <v>2376</v>
      </c>
      <c r="B1" s="75"/>
      <c r="C1" s="75"/>
      <c r="D1" s="75"/>
      <c r="E1" s="75"/>
      <c r="F1" s="75"/>
      <c r="G1" s="75"/>
      <c r="H1" s="76">
        <v>45949</v>
      </c>
    </row>
    <row r="3" spans="1:11" x14ac:dyDescent="0.2">
      <c r="A3" s="1" t="s">
        <v>2421</v>
      </c>
    </row>
    <row r="4" spans="1:11" x14ac:dyDescent="0.2">
      <c r="I4" s="14"/>
      <c r="J4" s="14"/>
      <c r="K4" s="14"/>
    </row>
    <row r="5" spans="1:11" x14ac:dyDescent="0.2">
      <c r="I5" s="14"/>
      <c r="J5" s="14"/>
      <c r="K5" s="14"/>
    </row>
    <row r="6" spans="1:11" x14ac:dyDescent="0.2">
      <c r="I6" s="14" t="s">
        <v>2789</v>
      </c>
      <c r="J6" s="14"/>
      <c r="K6" s="14"/>
    </row>
    <row r="7" spans="1:11" x14ac:dyDescent="0.2">
      <c r="I7" s="14" t="s">
        <v>2790</v>
      </c>
      <c r="J7" s="14"/>
      <c r="K7" s="14"/>
    </row>
    <row r="8" spans="1:11" x14ac:dyDescent="0.2">
      <c r="I8" s="14"/>
      <c r="J8" s="14"/>
      <c r="K8" s="14"/>
    </row>
    <row r="18" spans="1:9" x14ac:dyDescent="0.2">
      <c r="A18" s="2" t="s">
        <v>2422</v>
      </c>
      <c r="B18" s="2"/>
      <c r="C18" s="2"/>
      <c r="D18" s="2"/>
      <c r="E18" s="2"/>
      <c r="F18" s="2"/>
      <c r="G18" s="2"/>
      <c r="H18" s="2"/>
    </row>
    <row r="20" spans="1:9" x14ac:dyDescent="0.2">
      <c r="A20" s="58" t="s">
        <v>2377</v>
      </c>
      <c r="B20" s="58" t="s">
        <v>2378</v>
      </c>
      <c r="C20" s="58" t="s">
        <v>2379</v>
      </c>
      <c r="D20" s="58"/>
      <c r="E20" s="58"/>
      <c r="F20" s="58"/>
      <c r="G20" s="58"/>
      <c r="H20" s="58"/>
    </row>
    <row r="21" spans="1:9" x14ac:dyDescent="0.2">
      <c r="A21" s="299">
        <v>1</v>
      </c>
      <c r="B21" s="299" t="s">
        <v>2423</v>
      </c>
      <c r="C21" s="299" t="s">
        <v>2387</v>
      </c>
      <c r="D21" s="299"/>
      <c r="E21" s="299"/>
      <c r="F21" s="299"/>
      <c r="G21" s="299"/>
      <c r="H21" s="299"/>
      <c r="I21" s="1" t="s">
        <v>2427</v>
      </c>
    </row>
    <row r="22" spans="1:9" x14ac:dyDescent="0.2">
      <c r="A22" s="299">
        <v>2</v>
      </c>
      <c r="B22" s="299" t="s">
        <v>2424</v>
      </c>
      <c r="C22" s="299" t="s">
        <v>2386</v>
      </c>
      <c r="D22" s="299"/>
      <c r="E22" s="299"/>
      <c r="F22" s="299"/>
      <c r="G22" s="299"/>
      <c r="H22" s="299"/>
      <c r="I22" s="1" t="s">
        <v>2428</v>
      </c>
    </row>
    <row r="23" spans="1:9" x14ac:dyDescent="0.2">
      <c r="A23" s="300">
        <v>3</v>
      </c>
      <c r="B23" s="300" t="s">
        <v>2425</v>
      </c>
      <c r="C23" s="300" t="s">
        <v>2388</v>
      </c>
      <c r="D23" s="300"/>
      <c r="E23" s="300"/>
      <c r="F23" s="300"/>
      <c r="G23" s="300"/>
      <c r="H23" s="300"/>
      <c r="I23" s="1" t="s">
        <v>2429</v>
      </c>
    </row>
    <row r="24" spans="1:9" x14ac:dyDescent="0.2">
      <c r="A24" s="300">
        <v>4</v>
      </c>
      <c r="B24" s="300" t="s">
        <v>2426</v>
      </c>
      <c r="C24" s="300" t="s">
        <v>2386</v>
      </c>
      <c r="D24" s="300"/>
      <c r="E24" s="300"/>
      <c r="F24" s="300"/>
      <c r="G24" s="300"/>
      <c r="H24" s="300"/>
      <c r="I24" s="1" t="s">
        <v>2430</v>
      </c>
    </row>
    <row r="25" spans="1:9" x14ac:dyDescent="0.2">
      <c r="A25" s="150">
        <v>5</v>
      </c>
      <c r="B25" s="150" t="s">
        <v>2380</v>
      </c>
      <c r="C25" s="150" t="s">
        <v>2389</v>
      </c>
      <c r="D25" s="150"/>
      <c r="E25" s="150"/>
      <c r="F25" s="150"/>
      <c r="G25" s="150"/>
      <c r="H25" s="150"/>
      <c r="I25" s="1" t="s">
        <v>2431</v>
      </c>
    </row>
    <row r="26" spans="1:9" x14ac:dyDescent="0.2">
      <c r="A26" s="82">
        <v>6</v>
      </c>
      <c r="B26" s="82" t="s">
        <v>2381</v>
      </c>
      <c r="C26" s="82" t="s">
        <v>2390</v>
      </c>
      <c r="D26" s="82"/>
      <c r="E26" s="82"/>
      <c r="F26" s="82"/>
      <c r="G26" s="82"/>
      <c r="H26" s="82"/>
      <c r="I26" s="1" t="s">
        <v>2432</v>
      </c>
    </row>
    <row r="27" spans="1:9" x14ac:dyDescent="0.2">
      <c r="A27" s="179">
        <v>7</v>
      </c>
      <c r="B27" s="179" t="s">
        <v>2433</v>
      </c>
      <c r="C27" s="179" t="s">
        <v>2391</v>
      </c>
      <c r="D27" s="179"/>
      <c r="E27" s="179"/>
      <c r="F27" s="179"/>
      <c r="G27" s="179"/>
      <c r="H27" s="179"/>
    </row>
    <row r="28" spans="1:9" x14ac:dyDescent="0.2">
      <c r="A28" s="87">
        <v>8</v>
      </c>
      <c r="B28" s="87" t="s">
        <v>2382</v>
      </c>
      <c r="C28" s="87" t="s">
        <v>2392</v>
      </c>
      <c r="D28" s="87"/>
      <c r="E28" s="87"/>
      <c r="F28" s="87"/>
      <c r="G28" s="87"/>
      <c r="H28" s="87"/>
    </row>
    <row r="29" spans="1:9" x14ac:dyDescent="0.2">
      <c r="A29" s="95">
        <v>9</v>
      </c>
      <c r="B29" s="95" t="s">
        <v>2383</v>
      </c>
      <c r="C29" s="95" t="s">
        <v>2393</v>
      </c>
      <c r="D29" s="95"/>
      <c r="E29" s="95"/>
      <c r="F29" s="95"/>
      <c r="G29" s="95"/>
      <c r="H29" s="95"/>
    </row>
    <row r="30" spans="1:9" x14ac:dyDescent="0.2">
      <c r="A30" s="150">
        <v>10</v>
      </c>
      <c r="B30" s="150" t="s">
        <v>2384</v>
      </c>
      <c r="C30" s="150" t="s">
        <v>2394</v>
      </c>
      <c r="D30" s="150"/>
      <c r="E30" s="150"/>
      <c r="F30" s="150"/>
      <c r="G30" s="150"/>
      <c r="H30" s="150"/>
    </row>
    <row r="31" spans="1:9" x14ac:dyDescent="0.2">
      <c r="A31" s="301">
        <v>11</v>
      </c>
      <c r="B31" s="301" t="s">
        <v>2385</v>
      </c>
      <c r="C31" s="301" t="s">
        <v>2395</v>
      </c>
      <c r="D31" s="301"/>
      <c r="E31" s="301"/>
      <c r="F31" s="301"/>
      <c r="G31" s="301"/>
      <c r="H31" s="301"/>
    </row>
    <row r="32" spans="1:9" x14ac:dyDescent="0.2">
      <c r="A32" s="301"/>
      <c r="B32" s="301"/>
      <c r="C32" s="301" t="s">
        <v>2396</v>
      </c>
      <c r="D32" s="301"/>
      <c r="E32" s="301"/>
      <c r="F32" s="301"/>
      <c r="G32" s="301"/>
      <c r="H32" s="301"/>
    </row>
    <row r="34" spans="1:8" x14ac:dyDescent="0.2">
      <c r="A34" s="75" t="s">
        <v>2397</v>
      </c>
      <c r="B34" s="29"/>
      <c r="C34" s="29"/>
      <c r="D34" s="29"/>
      <c r="E34" s="29"/>
      <c r="F34" s="29"/>
      <c r="G34" s="29"/>
      <c r="H34" s="29"/>
    </row>
    <row r="35" spans="1:8" x14ac:dyDescent="0.2">
      <c r="A35" s="1" t="s">
        <v>2398</v>
      </c>
    </row>
    <row r="36" spans="1:8" x14ac:dyDescent="0.2">
      <c r="A36" s="1" t="s">
        <v>2399</v>
      </c>
    </row>
    <row r="37" spans="1:8" x14ac:dyDescent="0.2">
      <c r="A37" s="1" t="s">
        <v>2400</v>
      </c>
    </row>
    <row r="38" spans="1:8" x14ac:dyDescent="0.2">
      <c r="A38" s="1" t="s">
        <v>2401</v>
      </c>
    </row>
    <row r="40" spans="1:8" x14ac:dyDescent="0.2">
      <c r="A40" s="75" t="s">
        <v>2420</v>
      </c>
      <c r="B40" s="75"/>
      <c r="C40" s="75"/>
      <c r="D40" s="75"/>
      <c r="E40" s="75"/>
      <c r="F40" s="75"/>
      <c r="G40" s="75"/>
      <c r="H40" s="75"/>
    </row>
    <row r="51" spans="1:9" x14ac:dyDescent="0.2">
      <c r="A51" s="75" t="s">
        <v>2402</v>
      </c>
      <c r="B51" s="29"/>
      <c r="C51" s="29"/>
      <c r="D51" s="29"/>
      <c r="E51" s="75" t="s">
        <v>2505</v>
      </c>
      <c r="F51" s="29"/>
      <c r="G51" s="29"/>
      <c r="H51" s="29"/>
    </row>
    <row r="53" spans="1:9" x14ac:dyDescent="0.2">
      <c r="A53" s="1" t="s">
        <v>2403</v>
      </c>
    </row>
    <row r="54" spans="1:9" x14ac:dyDescent="0.2">
      <c r="A54" s="1" t="s">
        <v>2404</v>
      </c>
    </row>
    <row r="55" spans="1:9" x14ac:dyDescent="0.2">
      <c r="A55" s="1" t="s">
        <v>2405</v>
      </c>
    </row>
    <row r="56" spans="1:9" x14ac:dyDescent="0.2">
      <c r="A56" s="1" t="s">
        <v>2406</v>
      </c>
    </row>
    <row r="57" spans="1:9" x14ac:dyDescent="0.2">
      <c r="A57" s="1" t="s">
        <v>2407</v>
      </c>
    </row>
    <row r="58" spans="1:9" x14ac:dyDescent="0.2">
      <c r="A58" s="162" t="s">
        <v>2487</v>
      </c>
      <c r="I58" s="1" t="s">
        <v>2488</v>
      </c>
    </row>
    <row r="59" spans="1:9" x14ac:dyDescent="0.2">
      <c r="A59" s="1" t="s">
        <v>2408</v>
      </c>
      <c r="I59" s="1" t="s">
        <v>2489</v>
      </c>
    </row>
    <row r="60" spans="1:9" x14ac:dyDescent="0.2">
      <c r="A60" s="1" t="s">
        <v>2409</v>
      </c>
    </row>
    <row r="61" spans="1:9" x14ac:dyDescent="0.2">
      <c r="A61" s="1" t="s">
        <v>2410</v>
      </c>
    </row>
    <row r="62" spans="1:9" x14ac:dyDescent="0.2">
      <c r="A62" s="1" t="s">
        <v>2411</v>
      </c>
    </row>
    <row r="63" spans="1:9" x14ac:dyDescent="0.2">
      <c r="A63" s="1" t="s">
        <v>2486</v>
      </c>
      <c r="I63" s="1" t="s">
        <v>2490</v>
      </c>
    </row>
    <row r="64" spans="1:9" x14ac:dyDescent="0.2">
      <c r="A64" s="1" t="s">
        <v>2412</v>
      </c>
      <c r="I64" s="1" t="s">
        <v>2491</v>
      </c>
    </row>
    <row r="65" spans="1:10" x14ac:dyDescent="0.2">
      <c r="A65" s="162" t="s">
        <v>2434</v>
      </c>
      <c r="I65" s="1" t="s">
        <v>2492</v>
      </c>
    </row>
    <row r="66" spans="1:10" x14ac:dyDescent="0.2">
      <c r="I66" s="1" t="s">
        <v>2493</v>
      </c>
    </row>
    <row r="67" spans="1:10" x14ac:dyDescent="0.2">
      <c r="A67" s="1" t="s">
        <v>2413</v>
      </c>
    </row>
    <row r="68" spans="1:10" x14ac:dyDescent="0.2">
      <c r="D68" s="59">
        <v>0</v>
      </c>
      <c r="E68" s="59">
        <v>1</v>
      </c>
      <c r="F68" s="59">
        <v>2</v>
      </c>
      <c r="G68" s="59">
        <v>3</v>
      </c>
      <c r="H68" s="59">
        <v>4</v>
      </c>
      <c r="I68" s="59">
        <v>5</v>
      </c>
      <c r="J68" s="59">
        <v>6</v>
      </c>
    </row>
    <row r="69" spans="1:10" x14ac:dyDescent="0.2">
      <c r="A69" s="1" t="s">
        <v>2435</v>
      </c>
      <c r="C69" s="1" t="s">
        <v>2313</v>
      </c>
      <c r="D69" s="18">
        <v>-300000</v>
      </c>
      <c r="E69" s="18"/>
      <c r="F69" s="18"/>
      <c r="G69" s="18"/>
      <c r="H69" s="18"/>
      <c r="I69" s="18"/>
      <c r="J69" s="12"/>
    </row>
    <row r="70" spans="1:10" x14ac:dyDescent="0.2">
      <c r="A70" s="1" t="s">
        <v>2436</v>
      </c>
      <c r="C70" s="1" t="s">
        <v>2441</v>
      </c>
      <c r="D70" s="18"/>
      <c r="E70" s="18">
        <f>300000/8*30%</f>
        <v>11250</v>
      </c>
      <c r="F70" s="18">
        <f>E70</f>
        <v>11250</v>
      </c>
      <c r="G70" s="18">
        <f>F70</f>
        <v>11250</v>
      </c>
      <c r="H70" s="18">
        <f>G70</f>
        <v>11250</v>
      </c>
      <c r="I70" s="18">
        <f>H70</f>
        <v>11250</v>
      </c>
      <c r="J70" s="18">
        <f>I70</f>
        <v>11250</v>
      </c>
    </row>
    <row r="71" spans="1:10" x14ac:dyDescent="0.2">
      <c r="A71" s="1" t="s">
        <v>2437</v>
      </c>
      <c r="C71" s="1" t="s">
        <v>2473</v>
      </c>
      <c r="D71" s="18"/>
      <c r="E71" s="18"/>
      <c r="F71" s="18"/>
      <c r="G71" s="18"/>
      <c r="H71" s="18"/>
      <c r="J71" s="18">
        <f>60000-(60000-(300000-300000/8*6))*20%</f>
        <v>63000</v>
      </c>
    </row>
    <row r="72" spans="1:10" x14ac:dyDescent="0.2">
      <c r="A72" s="1" t="s">
        <v>2438</v>
      </c>
      <c r="C72" s="1" t="s">
        <v>2317</v>
      </c>
      <c r="D72" s="18"/>
      <c r="E72" s="18">
        <f>(100000-80000-20000-25000-10000)*(1-30%)</f>
        <v>-24500</v>
      </c>
      <c r="F72" s="18">
        <f>(100000-80000-20000-25000-10000)*(1-30%)</f>
        <v>-24500</v>
      </c>
      <c r="G72" s="18">
        <f>(250000-80000-20000-25000-10000)*(1-30%)</f>
        <v>80500</v>
      </c>
      <c r="H72" s="18">
        <f>(250000-80000-20000-25000-10000)*(1-30%)</f>
        <v>80500</v>
      </c>
      <c r="I72" s="18">
        <f>(250000-80000-20000-25000-10000)*(1-30%)</f>
        <v>80500</v>
      </c>
      <c r="J72" s="18">
        <f>(250000-80000-20000-25000-10000)*(1-30%)</f>
        <v>80500</v>
      </c>
    </row>
    <row r="73" spans="1:10" x14ac:dyDescent="0.2">
      <c r="C73" s="1" t="s">
        <v>2471</v>
      </c>
      <c r="D73" s="18">
        <v>-50000</v>
      </c>
      <c r="E73" s="18"/>
      <c r="F73" s="18"/>
      <c r="G73" s="18"/>
      <c r="H73" s="18"/>
      <c r="J73" s="18">
        <f>-D73</f>
        <v>50000</v>
      </c>
    </row>
    <row r="74" spans="1:10" x14ac:dyDescent="0.2">
      <c r="A74" s="1" t="s">
        <v>2439</v>
      </c>
      <c r="C74" s="1" t="s">
        <v>2472</v>
      </c>
      <c r="D74" s="304">
        <f>SUM(D69:D73)</f>
        <v>-350000</v>
      </c>
      <c r="E74" s="304">
        <f t="shared" ref="E74:G74" si="0">SUM(E69:E73)</f>
        <v>-13250</v>
      </c>
      <c r="F74" s="304">
        <f t="shared" si="0"/>
        <v>-13250</v>
      </c>
      <c r="G74" s="304">
        <f t="shared" si="0"/>
        <v>91750</v>
      </c>
      <c r="H74" s="304">
        <f>SUM(H69:H73)</f>
        <v>91750</v>
      </c>
      <c r="I74" s="304">
        <f>SUM(I69:I73)</f>
        <v>91750</v>
      </c>
      <c r="J74" s="304">
        <f>SUM(J69:J73)</f>
        <v>204750</v>
      </c>
    </row>
    <row r="75" spans="1:10" x14ac:dyDescent="0.2">
      <c r="A75" s="1" t="s">
        <v>2440</v>
      </c>
    </row>
    <row r="77" spans="1:10" x14ac:dyDescent="0.2">
      <c r="A77" s="1" t="s">
        <v>2442</v>
      </c>
      <c r="D77" s="1" t="s">
        <v>2481</v>
      </c>
    </row>
    <row r="78" spans="1:10" x14ac:dyDescent="0.2">
      <c r="A78" s="1" t="s">
        <v>2443</v>
      </c>
    </row>
    <row r="79" spans="1:10" x14ac:dyDescent="0.2">
      <c r="A79" s="1" t="s">
        <v>2444</v>
      </c>
      <c r="H79" s="1" t="s">
        <v>1089</v>
      </c>
    </row>
    <row r="80" spans="1:10" x14ac:dyDescent="0.2">
      <c r="B80" s="1" t="s">
        <v>2445</v>
      </c>
      <c r="D80" s="1" t="s">
        <v>2482</v>
      </c>
      <c r="G80" s="1">
        <v>8</v>
      </c>
      <c r="H80" s="1" t="s">
        <v>2330</v>
      </c>
    </row>
    <row r="81" spans="1:9" x14ac:dyDescent="0.2">
      <c r="H81" s="1" t="s">
        <v>2483</v>
      </c>
    </row>
    <row r="82" spans="1:9" x14ac:dyDescent="0.2">
      <c r="E82" s="12" t="s">
        <v>1095</v>
      </c>
      <c r="F82" s="12"/>
    </row>
    <row r="83" spans="1:9" x14ac:dyDescent="0.2">
      <c r="E83" s="18">
        <f>D74</f>
        <v>-350000</v>
      </c>
      <c r="F83" s="12">
        <v>1</v>
      </c>
    </row>
    <row r="84" spans="1:9" x14ac:dyDescent="0.2">
      <c r="E84" s="18">
        <f>E74</f>
        <v>-13250</v>
      </c>
      <c r="F84" s="12">
        <v>2</v>
      </c>
    </row>
    <row r="85" spans="1:9" x14ac:dyDescent="0.2">
      <c r="E85" s="18">
        <f>F74</f>
        <v>-13250</v>
      </c>
      <c r="F85" s="12">
        <v>3</v>
      </c>
    </row>
    <row r="86" spans="1:9" x14ac:dyDescent="0.2">
      <c r="A86" s="1" t="s">
        <v>2446</v>
      </c>
      <c r="E86" s="18">
        <f>G74</f>
        <v>91750</v>
      </c>
      <c r="F86" s="12">
        <v>4</v>
      </c>
    </row>
    <row r="87" spans="1:9" x14ac:dyDescent="0.2">
      <c r="A87" s="1" t="s">
        <v>2447</v>
      </c>
      <c r="E87" s="18">
        <f>H74</f>
        <v>91750</v>
      </c>
      <c r="F87" s="12">
        <v>5</v>
      </c>
    </row>
    <row r="88" spans="1:9" x14ac:dyDescent="0.2">
      <c r="A88" s="1" t="s">
        <v>2448</v>
      </c>
      <c r="E88" s="18">
        <f>I74</f>
        <v>91750</v>
      </c>
      <c r="F88" s="12">
        <v>6</v>
      </c>
    </row>
    <row r="89" spans="1:9" x14ac:dyDescent="0.2">
      <c r="A89" s="1" t="s">
        <v>2449</v>
      </c>
      <c r="E89" s="18">
        <f>J74</f>
        <v>204750</v>
      </c>
      <c r="F89" s="12">
        <v>7</v>
      </c>
      <c r="G89" s="1" t="s">
        <v>2484</v>
      </c>
      <c r="H89" s="12" t="s">
        <v>2063</v>
      </c>
    </row>
    <row r="90" spans="1:9" ht="17" thickBot="1" x14ac:dyDescent="0.25"/>
    <row r="91" spans="1:9" x14ac:dyDescent="0.2">
      <c r="G91" s="312">
        <f>NPV(8%,E84:E89)+E83</f>
        <v>-41884.421347679512</v>
      </c>
      <c r="H91" s="307" t="s">
        <v>2300</v>
      </c>
      <c r="I91" s="308"/>
    </row>
    <row r="92" spans="1:9" ht="17" thickBot="1" x14ac:dyDescent="0.25">
      <c r="G92" s="309" t="s">
        <v>2485</v>
      </c>
      <c r="H92" s="310"/>
      <c r="I92" s="311"/>
    </row>
    <row r="93" spans="1:9" x14ac:dyDescent="0.2">
      <c r="A93" s="1" t="s">
        <v>2450</v>
      </c>
      <c r="C93" s="86">
        <v>60000</v>
      </c>
    </row>
    <row r="94" spans="1:9" x14ac:dyDescent="0.2">
      <c r="A94" s="1" t="s">
        <v>2451</v>
      </c>
      <c r="C94" s="1">
        <f>-(300000-300000/8*6)</f>
        <v>-75000</v>
      </c>
      <c r="E94" s="1" t="s">
        <v>2452</v>
      </c>
    </row>
    <row r="95" spans="1:9" x14ac:dyDescent="0.2">
      <c r="A95" s="1" t="s">
        <v>2453</v>
      </c>
      <c r="C95" s="86">
        <f>C93+C94</f>
        <v>-15000</v>
      </c>
    </row>
    <row r="97" spans="1:9" x14ac:dyDescent="0.2">
      <c r="A97" s="1" t="s">
        <v>2454</v>
      </c>
      <c r="C97" s="1">
        <f>20%*15000</f>
        <v>3000</v>
      </c>
      <c r="E97" s="1" t="s">
        <v>2455</v>
      </c>
    </row>
    <row r="99" spans="1:9" x14ac:dyDescent="0.2">
      <c r="A99" s="1" t="s">
        <v>2456</v>
      </c>
    </row>
    <row r="100" spans="1:9" ht="17" thickBot="1" x14ac:dyDescent="0.25">
      <c r="B100" s="1" t="s">
        <v>2457</v>
      </c>
      <c r="C100" s="86">
        <v>60000</v>
      </c>
      <c r="D100" s="1" t="s">
        <v>1199</v>
      </c>
    </row>
    <row r="101" spans="1:9" x14ac:dyDescent="0.2">
      <c r="B101" s="1" t="s">
        <v>2458</v>
      </c>
      <c r="C101" s="86">
        <v>3000</v>
      </c>
      <c r="E101" s="305" t="s">
        <v>2474</v>
      </c>
      <c r="F101" s="306"/>
      <c r="G101" s="306"/>
      <c r="H101" s="306"/>
      <c r="I101" s="23"/>
    </row>
    <row r="102" spans="1:9" x14ac:dyDescent="0.2">
      <c r="B102" s="1" t="s">
        <v>2459</v>
      </c>
      <c r="C102" s="302">
        <f>C100+C101</f>
        <v>63000</v>
      </c>
      <c r="E102" s="24" t="s">
        <v>2475</v>
      </c>
      <c r="I102" s="25"/>
    </row>
    <row r="103" spans="1:9" x14ac:dyDescent="0.2">
      <c r="B103" s="12" t="s">
        <v>2461</v>
      </c>
      <c r="E103" s="24" t="s">
        <v>2476</v>
      </c>
      <c r="I103" s="25"/>
    </row>
    <row r="104" spans="1:9" x14ac:dyDescent="0.2">
      <c r="A104" s="1" t="s">
        <v>2460</v>
      </c>
      <c r="E104" s="24" t="s">
        <v>2477</v>
      </c>
      <c r="I104" s="25"/>
    </row>
    <row r="105" spans="1:9" x14ac:dyDescent="0.2">
      <c r="C105" s="1" t="s">
        <v>2470</v>
      </c>
      <c r="E105" s="24" t="s">
        <v>2478</v>
      </c>
      <c r="I105" s="25"/>
    </row>
    <row r="106" spans="1:9" x14ac:dyDescent="0.2">
      <c r="E106" s="24" t="s">
        <v>2479</v>
      </c>
      <c r="I106" s="25"/>
    </row>
    <row r="107" spans="1:9" ht="17" thickBot="1" x14ac:dyDescent="0.25">
      <c r="A107" s="1" t="s">
        <v>2466</v>
      </c>
      <c r="B107" s="1" t="s">
        <v>2464</v>
      </c>
      <c r="E107" s="26" t="s">
        <v>2480</v>
      </c>
      <c r="F107" s="27"/>
      <c r="G107" s="27"/>
      <c r="H107" s="27"/>
      <c r="I107" s="28"/>
    </row>
    <row r="108" spans="1:9" x14ac:dyDescent="0.2">
      <c r="A108" s="1" t="s">
        <v>2467</v>
      </c>
      <c r="B108" s="1" t="s">
        <v>2465</v>
      </c>
      <c r="C108" s="1" t="s">
        <v>2462</v>
      </c>
    </row>
    <row r="109" spans="1:9" x14ac:dyDescent="0.2">
      <c r="A109" s="1" t="s">
        <v>2468</v>
      </c>
      <c r="B109" s="303" t="s">
        <v>2463</v>
      </c>
    </row>
    <row r="110" spans="1:9" x14ac:dyDescent="0.2">
      <c r="A110" s="1" t="s">
        <v>2469</v>
      </c>
    </row>
    <row r="112" spans="1:9" x14ac:dyDescent="0.2">
      <c r="A112" s="75" t="s">
        <v>2494</v>
      </c>
      <c r="B112" s="75"/>
      <c r="C112" s="75"/>
      <c r="D112" s="75"/>
      <c r="E112" s="75"/>
      <c r="F112" s="75"/>
      <c r="G112" s="75"/>
      <c r="H112" s="75"/>
    </row>
    <row r="113" spans="1:8" x14ac:dyDescent="0.2">
      <c r="A113" s="1" t="s">
        <v>2495</v>
      </c>
    </row>
    <row r="114" spans="1:8" x14ac:dyDescent="0.2">
      <c r="A114" s="1" t="s">
        <v>2496</v>
      </c>
    </row>
    <row r="115" spans="1:8" x14ac:dyDescent="0.2">
      <c r="A115" s="1" t="s">
        <v>2501</v>
      </c>
    </row>
    <row r="117" spans="1:8" x14ac:dyDescent="0.2">
      <c r="A117" s="1" t="s">
        <v>2497</v>
      </c>
    </row>
    <row r="118" spans="1:8" x14ac:dyDescent="0.2">
      <c r="A118" s="1" t="s">
        <v>2498</v>
      </c>
    </row>
    <row r="119" spans="1:8" x14ac:dyDescent="0.2">
      <c r="A119" s="1" t="s">
        <v>2499</v>
      </c>
    </row>
    <row r="120" spans="1:8" x14ac:dyDescent="0.2">
      <c r="A120" s="1" t="s">
        <v>2503</v>
      </c>
    </row>
    <row r="121" spans="1:8" ht="17" thickBot="1" x14ac:dyDescent="0.25"/>
    <row r="122" spans="1:8" x14ac:dyDescent="0.2">
      <c r="A122" s="30" t="s">
        <v>2500</v>
      </c>
      <c r="B122" s="31"/>
      <c r="C122" s="31"/>
      <c r="D122" s="31"/>
      <c r="E122" s="31"/>
      <c r="F122" s="31"/>
      <c r="G122" s="31"/>
      <c r="H122" s="23"/>
    </row>
    <row r="123" spans="1:8" x14ac:dyDescent="0.2">
      <c r="A123" s="24"/>
      <c r="H123" s="25"/>
    </row>
    <row r="124" spans="1:8" x14ac:dyDescent="0.2">
      <c r="A124" s="24"/>
      <c r="H124" s="25"/>
    </row>
    <row r="125" spans="1:8" x14ac:dyDescent="0.2">
      <c r="A125" s="24"/>
      <c r="H125" s="25"/>
    </row>
    <row r="126" spans="1:8" x14ac:dyDescent="0.2">
      <c r="A126" s="313">
        <f>390000-(390000-(500000-500000/10*4))*15%</f>
        <v>376500</v>
      </c>
      <c r="H126" s="25"/>
    </row>
    <row r="127" spans="1:8" x14ac:dyDescent="0.2">
      <c r="A127" s="24" t="s">
        <v>2504</v>
      </c>
      <c r="H127" s="25"/>
    </row>
    <row r="128" spans="1:8" x14ac:dyDescent="0.2">
      <c r="A128" s="24"/>
      <c r="H128" s="25"/>
    </row>
    <row r="129" spans="1:8" ht="17" thickBot="1" x14ac:dyDescent="0.25">
      <c r="A129" s="26"/>
      <c r="B129" s="27"/>
      <c r="C129" s="27"/>
      <c r="D129" s="27" t="s">
        <v>2502</v>
      </c>
      <c r="E129" s="27"/>
      <c r="F129" s="27"/>
      <c r="G129" s="27"/>
      <c r="H129" s="28"/>
    </row>
    <row r="134" spans="1:8" x14ac:dyDescent="0.2">
      <c r="A134" s="75" t="s">
        <v>2414</v>
      </c>
      <c r="B134" s="29"/>
      <c r="C134" s="29"/>
      <c r="D134" s="29"/>
      <c r="E134" s="75" t="s">
        <v>2506</v>
      </c>
      <c r="F134" s="29"/>
      <c r="G134" s="29"/>
      <c r="H134" s="29"/>
    </row>
    <row r="135" spans="1:8" x14ac:dyDescent="0.2">
      <c r="A135" s="1" t="s">
        <v>2415</v>
      </c>
    </row>
    <row r="136" spans="1:8" x14ac:dyDescent="0.2">
      <c r="A136" s="1" t="s">
        <v>2416</v>
      </c>
    </row>
    <row r="137" spans="1:8" x14ac:dyDescent="0.2">
      <c r="A137" s="1" t="s">
        <v>2417</v>
      </c>
    </row>
    <row r="138" spans="1:8" x14ac:dyDescent="0.2">
      <c r="A138" s="1" t="s">
        <v>2418</v>
      </c>
    </row>
    <row r="140" spans="1:8" x14ac:dyDescent="0.2">
      <c r="A140" s="1" t="s">
        <v>2419</v>
      </c>
    </row>
    <row r="143" spans="1:8" x14ac:dyDescent="0.2">
      <c r="A143" s="12" t="s">
        <v>963</v>
      </c>
    </row>
    <row r="149" spans="1:5" x14ac:dyDescent="0.2">
      <c r="B149" s="33" t="s">
        <v>2515</v>
      </c>
      <c r="C149" s="1" t="s">
        <v>2507</v>
      </c>
    </row>
    <row r="150" spans="1:5" x14ac:dyDescent="0.2">
      <c r="C150" s="1" t="s">
        <v>2508</v>
      </c>
    </row>
    <row r="151" spans="1:5" x14ac:dyDescent="0.2">
      <c r="C151" s="1" t="s">
        <v>2509</v>
      </c>
    </row>
    <row r="153" spans="1:5" x14ac:dyDescent="0.2">
      <c r="A153" s="1" t="s">
        <v>2510</v>
      </c>
    </row>
    <row r="154" spans="1:5" x14ac:dyDescent="0.2">
      <c r="A154" s="1" t="s">
        <v>2512</v>
      </c>
    </row>
    <row r="155" spans="1:5" x14ac:dyDescent="0.2">
      <c r="A155" s="314" t="s">
        <v>2511</v>
      </c>
    </row>
    <row r="157" spans="1:5" x14ac:dyDescent="0.2">
      <c r="C157" s="59" t="s">
        <v>2514</v>
      </c>
      <c r="D157" s="59" t="s">
        <v>2513</v>
      </c>
      <c r="E157" s="59" t="s">
        <v>177</v>
      </c>
    </row>
    <row r="158" spans="1:5" x14ac:dyDescent="0.2">
      <c r="C158" s="12" t="s">
        <v>179</v>
      </c>
      <c r="D158" s="12" t="s">
        <v>179</v>
      </c>
      <c r="E158" s="12" t="s">
        <v>178</v>
      </c>
    </row>
    <row r="159" spans="1:5" x14ac:dyDescent="0.2">
      <c r="C159" s="12">
        <v>480</v>
      </c>
      <c r="D159" s="12">
        <v>200</v>
      </c>
      <c r="E159" s="12" t="s">
        <v>45</v>
      </c>
    </row>
    <row r="160" spans="1:5" x14ac:dyDescent="0.2">
      <c r="C160" s="12">
        <v>1</v>
      </c>
      <c r="D160" s="12">
        <v>1</v>
      </c>
      <c r="E160" s="12" t="s">
        <v>42</v>
      </c>
    </row>
    <row r="161" spans="1:8" x14ac:dyDescent="0.2">
      <c r="C161" s="12">
        <v>0</v>
      </c>
      <c r="D161" s="42">
        <f>PV(D160/100,D159,D162,D163)</f>
        <v>-1249644.9814259466</v>
      </c>
      <c r="E161" s="12" t="s">
        <v>39</v>
      </c>
    </row>
    <row r="162" spans="1:8" x14ac:dyDescent="0.2">
      <c r="C162" s="211">
        <f>PMT(C160/100,C159,C161,C163)</f>
        <v>-106.21922186230542</v>
      </c>
      <c r="D162" s="12">
        <v>14000</v>
      </c>
      <c r="E162" s="12" t="s">
        <v>47</v>
      </c>
    </row>
    <row r="163" spans="1:8" x14ac:dyDescent="0.2">
      <c r="C163" s="315">
        <f>-D161</f>
        <v>1249644.9814259466</v>
      </c>
      <c r="D163" s="12">
        <v>300000</v>
      </c>
      <c r="E163" s="12" t="s">
        <v>50</v>
      </c>
    </row>
    <row r="165" spans="1:8" x14ac:dyDescent="0.2">
      <c r="C165" s="2" t="s">
        <v>2516</v>
      </c>
      <c r="D165" s="2"/>
      <c r="E165" s="2"/>
      <c r="F165" s="2"/>
      <c r="G165" s="2"/>
    </row>
    <row r="167" spans="1:8" x14ac:dyDescent="0.2">
      <c r="A167" s="75" t="s">
        <v>2540</v>
      </c>
      <c r="B167" s="29"/>
      <c r="C167" s="29"/>
      <c r="D167" s="29"/>
      <c r="E167" s="75" t="s">
        <v>2506</v>
      </c>
      <c r="F167" s="29"/>
      <c r="G167" s="29" t="s">
        <v>2517</v>
      </c>
      <c r="H167" s="29"/>
    </row>
    <row r="168" spans="1:8" x14ac:dyDescent="0.2">
      <c r="A168" s="1" t="s">
        <v>2518</v>
      </c>
    </row>
    <row r="169" spans="1:8" x14ac:dyDescent="0.2">
      <c r="A169" s="1" t="s">
        <v>2519</v>
      </c>
    </row>
    <row r="170" spans="1:8" x14ac:dyDescent="0.2">
      <c r="A170" s="1" t="s">
        <v>2520</v>
      </c>
    </row>
    <row r="171" spans="1:8" x14ac:dyDescent="0.2">
      <c r="A171" s="1" t="s">
        <v>2521</v>
      </c>
    </row>
    <row r="172" spans="1:8" x14ac:dyDescent="0.2">
      <c r="A172" s="1" t="s">
        <v>2522</v>
      </c>
    </row>
    <row r="174" spans="1:8" x14ac:dyDescent="0.2">
      <c r="A174" s="1" t="s">
        <v>2523</v>
      </c>
    </row>
    <row r="175" spans="1:8" x14ac:dyDescent="0.2">
      <c r="A175" s="1" t="s">
        <v>2524</v>
      </c>
    </row>
    <row r="176" spans="1:8" x14ac:dyDescent="0.2">
      <c r="A176" s="1" t="s">
        <v>2525</v>
      </c>
    </row>
    <row r="178" spans="3:8" ht="35" customHeight="1" x14ac:dyDescent="0.2">
      <c r="C178" s="381" t="s">
        <v>2528</v>
      </c>
      <c r="D178" s="358"/>
    </row>
    <row r="179" spans="3:8" x14ac:dyDescent="0.2">
      <c r="C179" s="58" t="s">
        <v>2527</v>
      </c>
      <c r="D179" s="58" t="s">
        <v>2526</v>
      </c>
    </row>
    <row r="180" spans="3:8" x14ac:dyDescent="0.2">
      <c r="C180" s="203" t="s">
        <v>179</v>
      </c>
      <c r="D180" s="203" t="s">
        <v>179</v>
      </c>
      <c r="E180" s="1" t="s">
        <v>178</v>
      </c>
    </row>
    <row r="181" spans="3:8" x14ac:dyDescent="0.2">
      <c r="C181" s="316" t="s">
        <v>114</v>
      </c>
      <c r="D181" s="316" t="s">
        <v>2529</v>
      </c>
      <c r="E181" s="1" t="s">
        <v>45</v>
      </c>
    </row>
    <row r="182" spans="3:8" x14ac:dyDescent="0.2">
      <c r="C182" s="382" t="s">
        <v>539</v>
      </c>
      <c r="D182" s="382"/>
      <c r="E182" s="1" t="s">
        <v>42</v>
      </c>
      <c r="G182" s="1" t="s">
        <v>2535</v>
      </c>
    </row>
    <row r="183" spans="3:8" ht="24" x14ac:dyDescent="0.2">
      <c r="C183" s="317" t="s">
        <v>2531</v>
      </c>
      <c r="D183" s="318" t="s">
        <v>2532</v>
      </c>
      <c r="E183" s="1" t="s">
        <v>39</v>
      </c>
      <c r="G183" s="1" t="s">
        <v>2536</v>
      </c>
    </row>
    <row r="184" spans="3:8" ht="24" x14ac:dyDescent="0.2">
      <c r="C184" s="320" t="s">
        <v>2534</v>
      </c>
      <c r="D184" s="317" t="s">
        <v>2533</v>
      </c>
      <c r="E184" s="1" t="s">
        <v>47</v>
      </c>
    </row>
    <row r="185" spans="3:8" x14ac:dyDescent="0.2">
      <c r="C185" s="319" t="s">
        <v>1444</v>
      </c>
      <c r="D185" s="316" t="s">
        <v>2530</v>
      </c>
      <c r="E185" s="1" t="s">
        <v>50</v>
      </c>
    </row>
    <row r="187" spans="3:8" x14ac:dyDescent="0.2">
      <c r="H187" s="98">
        <f>1.1^(1/12)-1</f>
        <v>7.9741404289037643E-3</v>
      </c>
    </row>
    <row r="189" spans="3:8" x14ac:dyDescent="0.2">
      <c r="C189" s="58" t="s">
        <v>2527</v>
      </c>
      <c r="D189" s="58" t="s">
        <v>2526</v>
      </c>
    </row>
    <row r="190" spans="3:8" x14ac:dyDescent="0.2">
      <c r="C190" s="203" t="s">
        <v>179</v>
      </c>
      <c r="D190" s="203" t="s">
        <v>179</v>
      </c>
      <c r="E190" s="1" t="s">
        <v>178</v>
      </c>
    </row>
    <row r="191" spans="3:8" x14ac:dyDescent="0.2">
      <c r="C191" s="316">
        <f>30*12</f>
        <v>360</v>
      </c>
      <c r="D191" s="316">
        <f>50*12</f>
        <v>600</v>
      </c>
      <c r="E191" s="1" t="s">
        <v>45</v>
      </c>
      <c r="F191" s="1" t="s">
        <v>2537</v>
      </c>
    </row>
    <row r="192" spans="3:8" x14ac:dyDescent="0.2">
      <c r="C192" s="383">
        <f>H187</f>
        <v>7.9741404289037643E-3</v>
      </c>
      <c r="D192" s="382"/>
      <c r="E192" s="1" t="s">
        <v>42</v>
      </c>
    </row>
    <row r="193" spans="1:8" x14ac:dyDescent="0.2">
      <c r="C193" s="317">
        <v>-40000</v>
      </c>
      <c r="D193" s="321">
        <f>PV(C192,D191,D194,D195)</f>
        <v>-6847058.7257123366</v>
      </c>
      <c r="E193" s="1" t="s">
        <v>39</v>
      </c>
    </row>
    <row r="194" spans="1:8" x14ac:dyDescent="0.2">
      <c r="B194" s="2" t="s">
        <v>2538</v>
      </c>
      <c r="C194" s="323">
        <f>PMT(C192,C191,C193,C195)</f>
        <v>-2980.8772159961686</v>
      </c>
      <c r="D194" s="317">
        <v>55000</v>
      </c>
      <c r="E194" s="1" t="s">
        <v>47</v>
      </c>
    </row>
    <row r="195" spans="1:8" x14ac:dyDescent="0.2">
      <c r="B195" s="2" t="s">
        <v>2539</v>
      </c>
      <c r="C195" s="322">
        <f>-D193</f>
        <v>6847058.7257123366</v>
      </c>
      <c r="D195" s="316">
        <v>1000000</v>
      </c>
      <c r="E195" s="1" t="s">
        <v>50</v>
      </c>
    </row>
    <row r="198" spans="1:8" x14ac:dyDescent="0.2">
      <c r="A198" s="75" t="s">
        <v>2541</v>
      </c>
      <c r="B198" s="29"/>
      <c r="C198" s="29"/>
      <c r="D198" s="29"/>
      <c r="E198" s="75" t="s">
        <v>2506</v>
      </c>
      <c r="F198" s="29"/>
      <c r="G198" s="29" t="s">
        <v>2517</v>
      </c>
      <c r="H198" s="29"/>
    </row>
    <row r="200" spans="1:8" x14ac:dyDescent="0.2">
      <c r="A200" s="1" t="s">
        <v>2542</v>
      </c>
    </row>
    <row r="201" spans="1:8" x14ac:dyDescent="0.2">
      <c r="A201" s="1" t="s">
        <v>2543</v>
      </c>
    </row>
    <row r="202" spans="1:8" x14ac:dyDescent="0.2">
      <c r="A202" s="1" t="s">
        <v>2544</v>
      </c>
    </row>
    <row r="203" spans="1:8" x14ac:dyDescent="0.2">
      <c r="A203" s="1" t="s">
        <v>2545</v>
      </c>
    </row>
    <row r="206" spans="1:8" x14ac:dyDescent="0.2">
      <c r="C206" s="381" t="s">
        <v>2546</v>
      </c>
      <c r="D206" s="358"/>
    </row>
    <row r="207" spans="1:8" x14ac:dyDescent="0.2">
      <c r="C207" s="58" t="s">
        <v>2526</v>
      </c>
      <c r="D207" s="58" t="s">
        <v>2527</v>
      </c>
    </row>
    <row r="208" spans="1:8" x14ac:dyDescent="0.2">
      <c r="C208" s="203" t="s">
        <v>179</v>
      </c>
      <c r="D208" s="203" t="s">
        <v>179</v>
      </c>
      <c r="E208" s="1" t="s">
        <v>178</v>
      </c>
    </row>
    <row r="209" spans="2:6" x14ac:dyDescent="0.2">
      <c r="C209" s="316" t="s">
        <v>2529</v>
      </c>
      <c r="D209" s="316" t="s">
        <v>114</v>
      </c>
      <c r="E209" s="1" t="s">
        <v>45</v>
      </c>
    </row>
    <row r="210" spans="2:6" x14ac:dyDescent="0.2">
      <c r="C210" s="382" t="s">
        <v>539</v>
      </c>
      <c r="D210" s="382"/>
      <c r="E210" s="1" t="s">
        <v>42</v>
      </c>
    </row>
    <row r="211" spans="2:6" ht="24" x14ac:dyDescent="0.2">
      <c r="C211" s="318" t="s">
        <v>2550</v>
      </c>
      <c r="D211" s="317" t="s">
        <v>2531</v>
      </c>
      <c r="E211" s="1" t="s">
        <v>39</v>
      </c>
    </row>
    <row r="212" spans="2:6" ht="36" x14ac:dyDescent="0.2">
      <c r="C212" s="324" t="s">
        <v>2549</v>
      </c>
      <c r="D212" s="317" t="s">
        <v>2547</v>
      </c>
      <c r="E212" s="1" t="s">
        <v>47</v>
      </c>
    </row>
    <row r="213" spans="2:6" ht="24" x14ac:dyDescent="0.2">
      <c r="C213" s="316" t="s">
        <v>2530</v>
      </c>
      <c r="D213" s="318" t="s">
        <v>2548</v>
      </c>
      <c r="E213" s="1" t="s">
        <v>50</v>
      </c>
    </row>
    <row r="215" spans="2:6" x14ac:dyDescent="0.2">
      <c r="C215" s="381" t="s">
        <v>2546</v>
      </c>
      <c r="D215" s="358"/>
    </row>
    <row r="216" spans="2:6" x14ac:dyDescent="0.2">
      <c r="C216" s="58" t="s">
        <v>2526</v>
      </c>
      <c r="D216" s="58" t="s">
        <v>2527</v>
      </c>
    </row>
    <row r="217" spans="2:6" x14ac:dyDescent="0.2">
      <c r="C217" s="203" t="s">
        <v>179</v>
      </c>
      <c r="D217" s="203" t="s">
        <v>179</v>
      </c>
      <c r="E217" s="1" t="s">
        <v>178</v>
      </c>
    </row>
    <row r="218" spans="2:6" x14ac:dyDescent="0.2">
      <c r="C218" s="316">
        <f>30*12</f>
        <v>360</v>
      </c>
      <c r="D218" s="316">
        <f>10*12</f>
        <v>120</v>
      </c>
      <c r="E218" s="1" t="s">
        <v>45</v>
      </c>
    </row>
    <row r="219" spans="2:6" x14ac:dyDescent="0.2">
      <c r="C219" s="325">
        <f>1.05^(1/12)-1</f>
        <v>4.0741237836483535E-3</v>
      </c>
      <c r="D219" s="325">
        <f>1.1^(1/12)-1</f>
        <v>7.9741404289037643E-3</v>
      </c>
      <c r="E219" s="1" t="s">
        <v>42</v>
      </c>
      <c r="F219" s="1" t="s">
        <v>2551</v>
      </c>
    </row>
    <row r="220" spans="2:6" x14ac:dyDescent="0.2">
      <c r="C220" s="321">
        <f>-D222</f>
        <v>-599591.57014210254</v>
      </c>
      <c r="D220" s="317">
        <v>0</v>
      </c>
      <c r="E220" s="1" t="s">
        <v>39</v>
      </c>
    </row>
    <row r="221" spans="2:6" x14ac:dyDescent="0.2">
      <c r="C221" s="326">
        <f>PMT(C219,C218,C220,C222)</f>
        <v>3165.9020002338966</v>
      </c>
      <c r="D221" s="317">
        <v>-3000</v>
      </c>
      <c r="E221" s="1" t="s">
        <v>47</v>
      </c>
    </row>
    <row r="222" spans="2:6" x14ac:dyDescent="0.2">
      <c r="C222" s="316">
        <v>10000</v>
      </c>
      <c r="D222" s="321">
        <f>FV(D219,D218,D221,D220)</f>
        <v>599591.57014210254</v>
      </c>
      <c r="E222" s="1" t="s">
        <v>50</v>
      </c>
    </row>
    <row r="224" spans="2:6" x14ac:dyDescent="0.2">
      <c r="B224" s="2" t="s">
        <v>2552</v>
      </c>
    </row>
  </sheetData>
  <mergeCells count="6">
    <mergeCell ref="C215:D215"/>
    <mergeCell ref="C178:D178"/>
    <mergeCell ref="C182:D182"/>
    <mergeCell ref="C192:D192"/>
    <mergeCell ref="C206:D206"/>
    <mergeCell ref="C210:D210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0F128-30F4-4F4A-BF1C-F2588DAC6450}">
  <dimension ref="A1:M300"/>
  <sheetViews>
    <sheetView rightToLeft="1" tabSelected="1" zoomScale="171" zoomScaleNormal="260" workbookViewId="0">
      <selection activeCell="J9" sqref="J9"/>
    </sheetView>
  </sheetViews>
  <sheetFormatPr baseColWidth="10" defaultRowHeight="16" x14ac:dyDescent="0.2"/>
  <cols>
    <col min="1" max="5" width="10.83203125" style="1"/>
    <col min="6" max="6" width="11.1640625" style="1" bestFit="1" customWidth="1"/>
    <col min="7" max="16384" width="10.83203125" style="1"/>
  </cols>
  <sheetData>
    <row r="1" spans="1:8" x14ac:dyDescent="0.2">
      <c r="A1" s="75" t="s">
        <v>2553</v>
      </c>
      <c r="B1" s="29"/>
      <c r="C1" s="29"/>
      <c r="D1" s="29"/>
      <c r="E1" s="29"/>
      <c r="F1" s="29"/>
      <c r="G1" s="29"/>
      <c r="H1" s="29"/>
    </row>
    <row r="2" spans="1:8" x14ac:dyDescent="0.2">
      <c r="A2" s="1" t="s">
        <v>2554</v>
      </c>
    </row>
    <row r="3" spans="1:8" x14ac:dyDescent="0.2">
      <c r="A3" s="1" t="s">
        <v>2555</v>
      </c>
    </row>
    <row r="4" spans="1:8" x14ac:dyDescent="0.2">
      <c r="A4" s="1" t="s">
        <v>2556</v>
      </c>
    </row>
    <row r="18" spans="1:13" x14ac:dyDescent="0.2">
      <c r="A18" s="2" t="s">
        <v>2557</v>
      </c>
    </row>
    <row r="20" spans="1:13" x14ac:dyDescent="0.2">
      <c r="A20" s="148" t="s">
        <v>2558</v>
      </c>
      <c r="B20" s="148" t="s">
        <v>2378</v>
      </c>
      <c r="C20" s="148"/>
      <c r="D20" s="148"/>
      <c r="E20" s="148" t="s">
        <v>2379</v>
      </c>
      <c r="F20" s="148"/>
      <c r="G20" s="148"/>
      <c r="H20" s="148"/>
    </row>
    <row r="21" spans="1:13" x14ac:dyDescent="0.2">
      <c r="A21" s="1">
        <v>1</v>
      </c>
      <c r="B21" s="1" t="s">
        <v>2559</v>
      </c>
      <c r="E21" s="1" t="s">
        <v>2560</v>
      </c>
      <c r="J21" s="327" t="s">
        <v>1234</v>
      </c>
      <c r="K21" s="328"/>
      <c r="L21" s="328"/>
      <c r="M21" s="329"/>
    </row>
    <row r="22" spans="1:13" x14ac:dyDescent="0.2">
      <c r="E22" s="1" t="s">
        <v>2561</v>
      </c>
      <c r="J22" s="330" t="s">
        <v>2623</v>
      </c>
      <c r="K22" s="162"/>
      <c r="L22" s="162"/>
      <c r="M22" s="331"/>
    </row>
    <row r="23" spans="1:13" x14ac:dyDescent="0.2">
      <c r="E23" s="1" t="s">
        <v>2562</v>
      </c>
      <c r="J23" s="330" t="s">
        <v>2624</v>
      </c>
      <c r="K23" s="162"/>
      <c r="L23" s="162"/>
      <c r="M23" s="331"/>
    </row>
    <row r="24" spans="1:13" x14ac:dyDescent="0.2">
      <c r="E24" s="1" t="s">
        <v>2563</v>
      </c>
      <c r="J24" s="330" t="s">
        <v>2625</v>
      </c>
      <c r="K24" s="162"/>
      <c r="L24" s="162"/>
      <c r="M24" s="331"/>
    </row>
    <row r="25" spans="1:13" x14ac:dyDescent="0.2">
      <c r="A25" s="1">
        <v>2</v>
      </c>
      <c r="B25" s="1" t="s">
        <v>2564</v>
      </c>
      <c r="E25" s="1" t="s">
        <v>2560</v>
      </c>
      <c r="J25" s="330" t="s">
        <v>2626</v>
      </c>
      <c r="K25" s="162"/>
      <c r="L25" s="162"/>
      <c r="M25" s="331"/>
    </row>
    <row r="26" spans="1:13" x14ac:dyDescent="0.2">
      <c r="E26" s="1" t="s">
        <v>2565</v>
      </c>
      <c r="J26" s="330" t="s">
        <v>2627</v>
      </c>
      <c r="K26" s="162"/>
      <c r="L26" s="162"/>
      <c r="M26" s="331"/>
    </row>
    <row r="27" spans="1:13" x14ac:dyDescent="0.2">
      <c r="E27" s="1" t="s">
        <v>2566</v>
      </c>
      <c r="J27" s="332" t="s">
        <v>2628</v>
      </c>
      <c r="K27" s="333"/>
      <c r="L27" s="333"/>
      <c r="M27" s="334"/>
    </row>
    <row r="28" spans="1:13" ht="17" thickBot="1" x14ac:dyDescent="0.25">
      <c r="E28" s="1" t="s">
        <v>2567</v>
      </c>
    </row>
    <row r="29" spans="1:13" x14ac:dyDescent="0.2">
      <c r="A29" s="1">
        <v>3</v>
      </c>
      <c r="B29" s="1" t="s">
        <v>2568</v>
      </c>
      <c r="E29" s="1" t="s">
        <v>2569</v>
      </c>
      <c r="J29" s="341" t="s">
        <v>2690</v>
      </c>
      <c r="K29" s="342"/>
      <c r="L29" s="342"/>
      <c r="M29" s="343"/>
    </row>
    <row r="30" spans="1:13" x14ac:dyDescent="0.2">
      <c r="E30" s="1" t="s">
        <v>2570</v>
      </c>
      <c r="J30" s="344" t="s">
        <v>2691</v>
      </c>
      <c r="K30" s="162"/>
      <c r="L30" s="162"/>
      <c r="M30" s="345"/>
    </row>
    <row r="31" spans="1:13" x14ac:dyDescent="0.2">
      <c r="E31" s="1" t="s">
        <v>2571</v>
      </c>
      <c r="J31" s="344" t="s">
        <v>2692</v>
      </c>
      <c r="K31" s="162"/>
      <c r="L31" s="162"/>
      <c r="M31" s="345"/>
    </row>
    <row r="32" spans="1:13" x14ac:dyDescent="0.2">
      <c r="E32" s="1" t="s">
        <v>2572</v>
      </c>
      <c r="J32" s="344" t="s">
        <v>2693</v>
      </c>
      <c r="K32" s="162"/>
      <c r="L32" s="162"/>
      <c r="M32" s="345"/>
    </row>
    <row r="33" spans="1:13" x14ac:dyDescent="0.2">
      <c r="E33" s="2" t="s">
        <v>2573</v>
      </c>
      <c r="J33" s="344" t="s">
        <v>2694</v>
      </c>
      <c r="K33" s="162"/>
      <c r="L33" s="162"/>
      <c r="M33" s="345"/>
    </row>
    <row r="34" spans="1:13" x14ac:dyDescent="0.2">
      <c r="E34" s="1" t="s">
        <v>2574</v>
      </c>
      <c r="J34" s="344" t="s">
        <v>2696</v>
      </c>
      <c r="K34" s="162"/>
      <c r="L34" s="162"/>
      <c r="M34" s="345"/>
    </row>
    <row r="35" spans="1:13" x14ac:dyDescent="0.2">
      <c r="A35" s="1">
        <v>4</v>
      </c>
      <c r="B35" s="1" t="s">
        <v>2575</v>
      </c>
      <c r="E35" s="1" t="s">
        <v>2576</v>
      </c>
      <c r="J35" s="344" t="s">
        <v>2697</v>
      </c>
      <c r="K35" s="162"/>
      <c r="L35" s="162"/>
      <c r="M35" s="345"/>
    </row>
    <row r="36" spans="1:13" ht="17" thickBot="1" x14ac:dyDescent="0.25">
      <c r="E36" s="1" t="s">
        <v>2577</v>
      </c>
      <c r="J36" s="346" t="s">
        <v>2695</v>
      </c>
      <c r="K36" s="347"/>
      <c r="L36" s="347"/>
      <c r="M36" s="348"/>
    </row>
    <row r="37" spans="1:13" x14ac:dyDescent="0.2">
      <c r="E37" s="1" t="s">
        <v>2578</v>
      </c>
    </row>
    <row r="38" spans="1:13" x14ac:dyDescent="0.2">
      <c r="E38" s="1" t="s">
        <v>2579</v>
      </c>
    </row>
    <row r="39" spans="1:13" x14ac:dyDescent="0.2">
      <c r="E39" s="1" t="s">
        <v>2580</v>
      </c>
    </row>
    <row r="40" spans="1:13" x14ac:dyDescent="0.2">
      <c r="E40" s="1" t="s">
        <v>2581</v>
      </c>
    </row>
    <row r="41" spans="1:13" x14ac:dyDescent="0.2">
      <c r="A41" s="1">
        <v>5</v>
      </c>
      <c r="B41" s="1" t="s">
        <v>2582</v>
      </c>
      <c r="E41" s="1" t="s">
        <v>2583</v>
      </c>
    </row>
    <row r="42" spans="1:13" x14ac:dyDescent="0.2">
      <c r="E42" s="1" t="s">
        <v>2584</v>
      </c>
    </row>
    <row r="43" spans="1:13" x14ac:dyDescent="0.2">
      <c r="E43" s="1" t="s">
        <v>2585</v>
      </c>
    </row>
    <row r="44" spans="1:13" x14ac:dyDescent="0.2">
      <c r="E44" s="1" t="s">
        <v>2586</v>
      </c>
    </row>
    <row r="45" spans="1:13" x14ac:dyDescent="0.2">
      <c r="E45" s="1" t="s">
        <v>2587</v>
      </c>
    </row>
    <row r="46" spans="1:13" x14ac:dyDescent="0.2">
      <c r="E46" s="1" t="s">
        <v>2588</v>
      </c>
    </row>
    <row r="47" spans="1:13" x14ac:dyDescent="0.2">
      <c r="A47" s="1">
        <v>6</v>
      </c>
      <c r="B47" s="1" t="s">
        <v>2589</v>
      </c>
      <c r="E47" s="1" t="s">
        <v>2590</v>
      </c>
    </row>
    <row r="48" spans="1:13" x14ac:dyDescent="0.2">
      <c r="E48" s="1" t="s">
        <v>2591</v>
      </c>
    </row>
    <row r="49" spans="1:5" x14ac:dyDescent="0.2">
      <c r="E49" s="1" t="s">
        <v>2592</v>
      </c>
    </row>
    <row r="50" spans="1:5" x14ac:dyDescent="0.2">
      <c r="A50" s="1">
        <v>7</v>
      </c>
      <c r="B50" s="1" t="s">
        <v>2383</v>
      </c>
      <c r="E50" s="1" t="s">
        <v>2593</v>
      </c>
    </row>
    <row r="51" spans="1:5" x14ac:dyDescent="0.2">
      <c r="E51" s="1" t="s">
        <v>2594</v>
      </c>
    </row>
    <row r="52" spans="1:5" x14ac:dyDescent="0.2">
      <c r="E52" s="1" t="s">
        <v>2595</v>
      </c>
    </row>
    <row r="53" spans="1:5" x14ac:dyDescent="0.2">
      <c r="E53" s="1" t="s">
        <v>2601</v>
      </c>
    </row>
    <row r="54" spans="1:5" x14ac:dyDescent="0.2">
      <c r="E54" s="1" t="s">
        <v>2596</v>
      </c>
    </row>
    <row r="55" spans="1:5" x14ac:dyDescent="0.2">
      <c r="E55" s="1" t="s">
        <v>2597</v>
      </c>
    </row>
    <row r="56" spans="1:5" x14ac:dyDescent="0.2">
      <c r="E56" s="1" t="s">
        <v>2598</v>
      </c>
    </row>
    <row r="57" spans="1:5" x14ac:dyDescent="0.2">
      <c r="E57" s="1" t="s">
        <v>2599</v>
      </c>
    </row>
    <row r="58" spans="1:5" x14ac:dyDescent="0.2">
      <c r="E58" s="1" t="s">
        <v>2600</v>
      </c>
    </row>
    <row r="59" spans="1:5" x14ac:dyDescent="0.2">
      <c r="A59" s="1">
        <v>8</v>
      </c>
      <c r="B59" s="1" t="s">
        <v>2602</v>
      </c>
      <c r="E59" s="1" t="s">
        <v>2603</v>
      </c>
    </row>
    <row r="60" spans="1:5" x14ac:dyDescent="0.2">
      <c r="E60" s="1" t="s">
        <v>2604</v>
      </c>
    </row>
    <row r="61" spans="1:5" x14ac:dyDescent="0.2">
      <c r="E61" s="1" t="s">
        <v>2605</v>
      </c>
    </row>
    <row r="62" spans="1:5" x14ac:dyDescent="0.2">
      <c r="E62" s="1" t="s">
        <v>2606</v>
      </c>
    </row>
    <row r="63" spans="1:5" x14ac:dyDescent="0.2">
      <c r="E63" s="1" t="s">
        <v>2607</v>
      </c>
    </row>
    <row r="64" spans="1:5" x14ac:dyDescent="0.2">
      <c r="E64" s="1" t="s">
        <v>2608</v>
      </c>
    </row>
    <row r="65" spans="1:8" x14ac:dyDescent="0.2">
      <c r="E65" s="1" t="s">
        <v>2609</v>
      </c>
    </row>
    <row r="66" spans="1:8" x14ac:dyDescent="0.2">
      <c r="E66" s="1" t="s">
        <v>2610</v>
      </c>
    </row>
    <row r="67" spans="1:8" x14ac:dyDescent="0.2">
      <c r="A67" s="1">
        <v>9</v>
      </c>
      <c r="B67" s="1" t="s">
        <v>2611</v>
      </c>
      <c r="E67" s="1" t="s">
        <v>2613</v>
      </c>
    </row>
    <row r="68" spans="1:8" x14ac:dyDescent="0.2">
      <c r="B68" s="1" t="s">
        <v>2612</v>
      </c>
      <c r="E68" s="1" t="s">
        <v>2614</v>
      </c>
    </row>
    <row r="69" spans="1:8" x14ac:dyDescent="0.2">
      <c r="E69" s="1" t="s">
        <v>2615</v>
      </c>
    </row>
    <row r="70" spans="1:8" x14ac:dyDescent="0.2">
      <c r="E70" s="1" t="s">
        <v>2616</v>
      </c>
    </row>
    <row r="71" spans="1:8" x14ac:dyDescent="0.2">
      <c r="E71" s="1" t="s">
        <v>2617</v>
      </c>
    </row>
    <row r="72" spans="1:8" x14ac:dyDescent="0.2">
      <c r="E72" s="1" t="s">
        <v>2618</v>
      </c>
    </row>
    <row r="73" spans="1:8" x14ac:dyDescent="0.2">
      <c r="E73" s="1" t="s">
        <v>2619</v>
      </c>
    </row>
    <row r="74" spans="1:8" x14ac:dyDescent="0.2">
      <c r="E74" s="1" t="s">
        <v>2620</v>
      </c>
    </row>
    <row r="75" spans="1:8" x14ac:dyDescent="0.2">
      <c r="E75" s="1" t="s">
        <v>2621</v>
      </c>
    </row>
    <row r="76" spans="1:8" x14ac:dyDescent="0.2">
      <c r="E76" s="1" t="s">
        <v>2622</v>
      </c>
    </row>
    <row r="79" spans="1:8" x14ac:dyDescent="0.2">
      <c r="A79" s="335" t="s">
        <v>2629</v>
      </c>
      <c r="B79" s="335"/>
      <c r="C79" s="335"/>
      <c r="D79" s="335"/>
      <c r="E79" s="335"/>
      <c r="F79" s="335"/>
      <c r="G79" s="335"/>
      <c r="H79" s="335"/>
    </row>
    <row r="81" spans="1:8" x14ac:dyDescent="0.2">
      <c r="A81" s="29" t="s">
        <v>2791</v>
      </c>
      <c r="B81" s="29"/>
      <c r="C81" s="29"/>
      <c r="D81" s="29"/>
      <c r="E81" s="29"/>
      <c r="F81" s="29"/>
      <c r="G81" s="29"/>
      <c r="H81" s="29"/>
    </row>
    <row r="82" spans="1:8" x14ac:dyDescent="0.2">
      <c r="A82" s="1" t="s">
        <v>2630</v>
      </c>
    </row>
    <row r="83" spans="1:8" x14ac:dyDescent="0.2">
      <c r="A83" s="1" t="s">
        <v>2631</v>
      </c>
    </row>
    <row r="84" spans="1:8" x14ac:dyDescent="0.2">
      <c r="A84" s="1" t="s">
        <v>2632</v>
      </c>
    </row>
    <row r="85" spans="1:8" x14ac:dyDescent="0.2">
      <c r="A85" s="1" t="s">
        <v>2633</v>
      </c>
    </row>
    <row r="86" spans="1:8" x14ac:dyDescent="0.2">
      <c r="A86" s="1" t="s">
        <v>2634</v>
      </c>
    </row>
    <row r="87" spans="1:8" x14ac:dyDescent="0.2">
      <c r="A87" s="1" t="s">
        <v>2636</v>
      </c>
    </row>
    <row r="88" spans="1:8" x14ac:dyDescent="0.2">
      <c r="A88" s="1" t="s">
        <v>2635</v>
      </c>
    </row>
    <row r="91" spans="1:8" x14ac:dyDescent="0.2">
      <c r="A91" s="1" t="s">
        <v>1415</v>
      </c>
      <c r="D91" s="59" t="s">
        <v>2638</v>
      </c>
      <c r="E91" s="59" t="s">
        <v>370</v>
      </c>
      <c r="F91" s="59" t="s">
        <v>2637</v>
      </c>
      <c r="G91" s="58" t="s">
        <v>177</v>
      </c>
    </row>
    <row r="92" spans="1:8" x14ac:dyDescent="0.2">
      <c r="B92" s="315">
        <f>D97</f>
        <v>1106569.6046551645</v>
      </c>
      <c r="D92" s="12" t="s">
        <v>179</v>
      </c>
      <c r="E92" s="12" t="s">
        <v>179</v>
      </c>
      <c r="F92" s="12" t="s">
        <v>179</v>
      </c>
      <c r="G92" s="1" t="s">
        <v>178</v>
      </c>
    </row>
    <row r="93" spans="1:8" x14ac:dyDescent="0.2">
      <c r="D93" s="12">
        <v>8</v>
      </c>
      <c r="E93" s="12">
        <f>6*4</f>
        <v>24</v>
      </c>
      <c r="F93" s="12">
        <f>5*2</f>
        <v>10</v>
      </c>
      <c r="G93" s="1" t="s">
        <v>45</v>
      </c>
    </row>
    <row r="94" spans="1:8" x14ac:dyDescent="0.2">
      <c r="D94" s="12">
        <v>10</v>
      </c>
      <c r="E94" s="12">
        <f>((1+9%)^(1/6)-1)*100</f>
        <v>1.4466592141656687</v>
      </c>
      <c r="F94" s="12">
        <f>((1+8%)^(1/2)-1)*100</f>
        <v>3.9230484541326494</v>
      </c>
      <c r="G94" s="1" t="s">
        <v>42</v>
      </c>
    </row>
    <row r="95" spans="1:8" x14ac:dyDescent="0.2">
      <c r="D95" s="36">
        <f>-E97-70000</f>
        <v>-516222.88728740101</v>
      </c>
      <c r="E95" s="36">
        <f>-F97</f>
        <v>-215340.3273288855</v>
      </c>
      <c r="F95" s="12">
        <v>0</v>
      </c>
      <c r="G95" s="1" t="s">
        <v>39</v>
      </c>
    </row>
    <row r="96" spans="1:8" x14ac:dyDescent="0.2">
      <c r="D96" s="12">
        <v>0</v>
      </c>
      <c r="E96" s="12">
        <v>-5000</v>
      </c>
      <c r="F96" s="12">
        <v>-18000</v>
      </c>
      <c r="G96" s="1" t="s">
        <v>47</v>
      </c>
    </row>
    <row r="97" spans="1:8" x14ac:dyDescent="0.2">
      <c r="D97" s="92">
        <f>FV(D94/100,D93,D96,D95)</f>
        <v>1106569.6046551645</v>
      </c>
      <c r="E97" s="92">
        <f>FV(E94/100,E93,E96,E95)</f>
        <v>446222.88728740101</v>
      </c>
      <c r="F97" s="92">
        <f>FV(F94/100,F93,F96,F95)</f>
        <v>215340.3273288855</v>
      </c>
      <c r="G97" s="1" t="s">
        <v>50</v>
      </c>
    </row>
    <row r="99" spans="1:8" x14ac:dyDescent="0.2">
      <c r="D99" s="1" t="s">
        <v>2639</v>
      </c>
    </row>
    <row r="100" spans="1:8" x14ac:dyDescent="0.2">
      <c r="D100" s="1" t="s">
        <v>2640</v>
      </c>
      <c r="G100" s="133">
        <f>E97</f>
        <v>446222.88728740101</v>
      </c>
    </row>
    <row r="101" spans="1:8" x14ac:dyDescent="0.2">
      <c r="D101" s="1" t="s">
        <v>2641</v>
      </c>
      <c r="G101" s="1">
        <f>70000</f>
        <v>70000</v>
      </c>
    </row>
    <row r="102" spans="1:8" x14ac:dyDescent="0.2">
      <c r="D102" s="1" t="s">
        <v>2642</v>
      </c>
      <c r="G102" s="133">
        <f>G100+G101</f>
        <v>516222.88728740101</v>
      </c>
    </row>
    <row r="103" spans="1:8" x14ac:dyDescent="0.2">
      <c r="D103" s="1" t="s">
        <v>2643</v>
      </c>
    </row>
    <row r="105" spans="1:8" x14ac:dyDescent="0.2">
      <c r="D105" s="1" t="s">
        <v>2644</v>
      </c>
    </row>
    <row r="106" spans="1:8" x14ac:dyDescent="0.2">
      <c r="D106" s="1" t="s">
        <v>2645</v>
      </c>
    </row>
    <row r="108" spans="1:8" x14ac:dyDescent="0.2">
      <c r="A108" s="29" t="s">
        <v>2792</v>
      </c>
      <c r="B108" s="29"/>
      <c r="C108" s="29"/>
      <c r="D108" s="29"/>
      <c r="E108" s="29"/>
      <c r="F108" s="29"/>
      <c r="G108" s="29"/>
      <c r="H108" s="29"/>
    </row>
    <row r="109" spans="1:8" x14ac:dyDescent="0.2">
      <c r="A109" s="1" t="s">
        <v>2646</v>
      </c>
    </row>
    <row r="110" spans="1:8" x14ac:dyDescent="0.2">
      <c r="A110" s="1" t="s">
        <v>2647</v>
      </c>
    </row>
    <row r="111" spans="1:8" x14ac:dyDescent="0.2">
      <c r="A111" s="1" t="s">
        <v>2648</v>
      </c>
    </row>
    <row r="113" spans="1:12" x14ac:dyDescent="0.2">
      <c r="A113" s="1" t="s">
        <v>711</v>
      </c>
    </row>
    <row r="114" spans="1:12" ht="18" customHeight="1" x14ac:dyDescent="0.2">
      <c r="A114" s="1" t="s">
        <v>2649</v>
      </c>
    </row>
    <row r="115" spans="1:12" x14ac:dyDescent="0.2">
      <c r="A115" s="1" t="s">
        <v>2650</v>
      </c>
    </row>
    <row r="116" spans="1:12" x14ac:dyDescent="0.2">
      <c r="A116" s="1" t="s">
        <v>2651</v>
      </c>
    </row>
    <row r="117" spans="1:12" x14ac:dyDescent="0.2">
      <c r="A117" s="1" t="s">
        <v>2686</v>
      </c>
    </row>
    <row r="119" spans="1:12" x14ac:dyDescent="0.2">
      <c r="A119" s="1" t="s">
        <v>27</v>
      </c>
    </row>
    <row r="121" spans="1:12" x14ac:dyDescent="0.2">
      <c r="A121" s="78" t="s">
        <v>2652</v>
      </c>
      <c r="J121" s="2" t="s">
        <v>2671</v>
      </c>
    </row>
    <row r="122" spans="1:12" x14ac:dyDescent="0.2">
      <c r="A122" s="1" t="s">
        <v>2653</v>
      </c>
      <c r="J122" s="1" t="s">
        <v>2672</v>
      </c>
    </row>
    <row r="123" spans="1:12" x14ac:dyDescent="0.2">
      <c r="A123" s="1" t="s">
        <v>2654</v>
      </c>
      <c r="J123" s="1" t="s">
        <v>2673</v>
      </c>
    </row>
    <row r="124" spans="1:12" x14ac:dyDescent="0.2">
      <c r="E124" s="336">
        <f>((1+10%)^(1/12)-1)</f>
        <v>7.9741404289037643E-3</v>
      </c>
      <c r="G124" s="1" t="str">
        <f ca="1">_xlfn.FORMULATEXT(E124)</f>
        <v>=((1+10%)^(1/12)-1)</v>
      </c>
      <c r="J124" s="1" t="s">
        <v>2674</v>
      </c>
    </row>
    <row r="126" spans="1:12" x14ac:dyDescent="0.2">
      <c r="A126" s="78" t="s">
        <v>2655</v>
      </c>
    </row>
    <row r="127" spans="1:12" x14ac:dyDescent="0.2">
      <c r="A127" s="1" t="s">
        <v>2656</v>
      </c>
      <c r="J127" s="1" t="s">
        <v>2675</v>
      </c>
      <c r="L127" s="1" t="s">
        <v>2675</v>
      </c>
    </row>
    <row r="128" spans="1:12" x14ac:dyDescent="0.2">
      <c r="A128" s="1" t="s">
        <v>2657</v>
      </c>
      <c r="J128" s="1" t="s">
        <v>2676</v>
      </c>
      <c r="L128" s="1" t="s">
        <v>2679</v>
      </c>
    </row>
    <row r="129" spans="1:12" x14ac:dyDescent="0.2">
      <c r="A129" s="1" t="s">
        <v>2658</v>
      </c>
    </row>
    <row r="131" spans="1:12" x14ac:dyDescent="0.2">
      <c r="A131" s="337" t="s">
        <v>2662</v>
      </c>
      <c r="B131" s="314"/>
      <c r="C131" s="314"/>
      <c r="D131" s="314"/>
      <c r="E131" s="314"/>
      <c r="F131" s="314"/>
      <c r="G131" s="314"/>
      <c r="H131" s="314"/>
      <c r="I131" s="314"/>
      <c r="J131" s="158" t="s">
        <v>2677</v>
      </c>
      <c r="L131" s="1" t="s">
        <v>2677</v>
      </c>
    </row>
    <row r="132" spans="1:12" x14ac:dyDescent="0.2">
      <c r="A132" s="337" t="s">
        <v>2663</v>
      </c>
      <c r="B132" s="314"/>
      <c r="C132" s="314"/>
      <c r="D132" s="314"/>
      <c r="E132" s="314"/>
      <c r="F132" s="314"/>
      <c r="G132" s="314" t="s">
        <v>2666</v>
      </c>
      <c r="H132" s="314"/>
      <c r="I132" s="314"/>
      <c r="J132" s="158" t="s">
        <v>2678</v>
      </c>
      <c r="L132" s="1" t="s">
        <v>2680</v>
      </c>
    </row>
    <row r="133" spans="1:12" x14ac:dyDescent="0.2">
      <c r="A133" s="314"/>
      <c r="B133" s="314"/>
      <c r="C133" s="314"/>
      <c r="D133" s="314"/>
      <c r="E133" s="314"/>
      <c r="F133" s="314"/>
      <c r="G133" s="314"/>
      <c r="H133" s="314"/>
      <c r="I133" s="314"/>
      <c r="J133" s="314"/>
      <c r="L133" s="1" t="s">
        <v>2681</v>
      </c>
    </row>
    <row r="134" spans="1:12" x14ac:dyDescent="0.2">
      <c r="A134" s="314"/>
      <c r="B134" s="314"/>
      <c r="C134" s="314"/>
      <c r="D134" s="314" t="s">
        <v>2659</v>
      </c>
      <c r="E134" s="314"/>
      <c r="F134" s="314"/>
      <c r="G134" s="314"/>
      <c r="H134" s="314"/>
      <c r="I134" s="314"/>
      <c r="J134" s="314"/>
      <c r="L134" s="1" t="s">
        <v>2682</v>
      </c>
    </row>
    <row r="135" spans="1:12" x14ac:dyDescent="0.2">
      <c r="A135" s="314"/>
      <c r="B135" s="314"/>
      <c r="C135" s="314"/>
      <c r="D135" s="314" t="s">
        <v>2660</v>
      </c>
      <c r="E135" s="314"/>
      <c r="F135" s="314"/>
      <c r="G135" s="314"/>
      <c r="H135" s="314"/>
      <c r="I135" s="314"/>
      <c r="J135" s="314"/>
      <c r="L135" s="1" t="s">
        <v>2683</v>
      </c>
    </row>
    <row r="136" spans="1:12" x14ac:dyDescent="0.2">
      <c r="A136" s="314"/>
      <c r="B136" s="314"/>
      <c r="C136" s="314" t="s">
        <v>45</v>
      </c>
      <c r="D136" s="314" t="s">
        <v>2661</v>
      </c>
      <c r="E136" s="314"/>
      <c r="F136" s="314"/>
      <c r="G136" s="314"/>
      <c r="H136" s="314"/>
      <c r="I136" s="314"/>
      <c r="J136" s="314"/>
      <c r="L136" s="1" t="s">
        <v>2684</v>
      </c>
    </row>
    <row r="137" spans="1:12" x14ac:dyDescent="0.2">
      <c r="A137" s="314"/>
      <c r="B137" s="314"/>
      <c r="C137" s="314"/>
      <c r="D137" s="314"/>
      <c r="E137" s="314"/>
      <c r="F137" s="314"/>
      <c r="G137" s="314"/>
      <c r="H137" s="314"/>
      <c r="I137" s="314"/>
      <c r="J137" s="314"/>
      <c r="L137" s="1" t="s">
        <v>2685</v>
      </c>
    </row>
    <row r="138" spans="1:12" x14ac:dyDescent="0.2">
      <c r="A138" s="314"/>
      <c r="B138" s="314"/>
      <c r="C138" s="314"/>
      <c r="D138" s="314" t="s">
        <v>2659</v>
      </c>
      <c r="E138" s="314"/>
      <c r="F138" s="314"/>
      <c r="G138" s="314"/>
      <c r="H138" s="314"/>
      <c r="I138" s="314"/>
      <c r="J138" s="314"/>
    </row>
    <row r="139" spans="1:12" x14ac:dyDescent="0.2">
      <c r="A139" s="314"/>
      <c r="B139" s="314"/>
      <c r="C139" s="314"/>
      <c r="D139" s="314" t="s">
        <v>2664</v>
      </c>
      <c r="E139" s="314"/>
      <c r="F139" s="314"/>
      <c r="G139" s="314"/>
      <c r="H139" s="314"/>
      <c r="I139" s="314"/>
      <c r="J139" s="314"/>
    </row>
    <row r="140" spans="1:12" x14ac:dyDescent="0.2">
      <c r="A140" s="314"/>
      <c r="B140" s="314"/>
      <c r="C140" s="314"/>
      <c r="D140" s="314" t="s">
        <v>2665</v>
      </c>
      <c r="E140" s="314"/>
      <c r="F140" s="314"/>
      <c r="G140" s="314"/>
      <c r="H140" s="314"/>
      <c r="I140" s="314"/>
      <c r="J140" s="314"/>
    </row>
    <row r="142" spans="1:12" x14ac:dyDescent="0.2">
      <c r="A142" s="1" t="s">
        <v>2667</v>
      </c>
    </row>
    <row r="144" spans="1:12" x14ac:dyDescent="0.2">
      <c r="C144" s="340">
        <f>10%/12</f>
        <v>8.3333333333333332E-3</v>
      </c>
      <c r="G144" s="158" t="s">
        <v>2669</v>
      </c>
    </row>
    <row r="146" spans="1:10" x14ac:dyDescent="0.2">
      <c r="C146" s="158"/>
      <c r="D146" s="158" t="s">
        <v>2659</v>
      </c>
      <c r="E146" s="158"/>
      <c r="F146" s="158"/>
      <c r="G146" s="158"/>
      <c r="H146" s="158"/>
      <c r="I146" s="158"/>
      <c r="J146" s="158"/>
    </row>
    <row r="147" spans="1:10" x14ac:dyDescent="0.2">
      <c r="C147" s="158"/>
      <c r="D147" s="158" t="s">
        <v>2660</v>
      </c>
      <c r="E147" s="158"/>
      <c r="F147" s="158"/>
      <c r="G147" s="158"/>
      <c r="H147" s="158"/>
      <c r="I147" s="158"/>
      <c r="J147" s="158"/>
    </row>
    <row r="148" spans="1:10" x14ac:dyDescent="0.2">
      <c r="C148" s="70" t="s">
        <v>45</v>
      </c>
      <c r="D148" s="158" t="s">
        <v>2661</v>
      </c>
      <c r="E148" s="158"/>
      <c r="F148" s="158"/>
      <c r="G148" s="158"/>
      <c r="H148" s="158"/>
      <c r="I148" s="158"/>
      <c r="J148" s="158"/>
    </row>
    <row r="150" spans="1:10" x14ac:dyDescent="0.2">
      <c r="D150" s="158" t="s">
        <v>2659</v>
      </c>
      <c r="E150" s="314"/>
      <c r="F150" s="314"/>
      <c r="G150" s="314"/>
      <c r="H150" s="314"/>
      <c r="I150" s="314"/>
      <c r="J150" s="314"/>
    </row>
    <row r="151" spans="1:10" x14ac:dyDescent="0.2">
      <c r="D151" s="158" t="s">
        <v>2670</v>
      </c>
      <c r="E151" s="314"/>
      <c r="F151" s="314"/>
      <c r="G151" s="314"/>
      <c r="H151" s="314"/>
      <c r="I151" s="314"/>
      <c r="J151" s="314"/>
    </row>
    <row r="152" spans="1:10" x14ac:dyDescent="0.2">
      <c r="C152" s="12" t="s">
        <v>1764</v>
      </c>
      <c r="D152" s="158" t="s">
        <v>2668</v>
      </c>
      <c r="E152" s="314"/>
      <c r="F152" s="314"/>
      <c r="G152" s="314"/>
      <c r="H152" s="314"/>
      <c r="I152" s="314"/>
      <c r="J152" s="314"/>
    </row>
    <row r="154" spans="1:10" x14ac:dyDescent="0.2">
      <c r="A154" s="78" t="s">
        <v>2651</v>
      </c>
    </row>
    <row r="155" spans="1:10" x14ac:dyDescent="0.2">
      <c r="A155" s="75" t="s">
        <v>2688</v>
      </c>
      <c r="B155" s="75"/>
      <c r="C155" s="75"/>
      <c r="D155" s="75"/>
      <c r="F155" s="1" t="s">
        <v>177</v>
      </c>
    </row>
    <row r="156" spans="1:10" x14ac:dyDescent="0.2">
      <c r="A156" s="75" t="s">
        <v>2689</v>
      </c>
      <c r="B156" s="75"/>
      <c r="C156" s="75"/>
      <c r="D156" s="75"/>
      <c r="E156" s="12" t="s">
        <v>179</v>
      </c>
      <c r="F156" s="1" t="s">
        <v>178</v>
      </c>
    </row>
    <row r="157" spans="1:10" x14ac:dyDescent="0.2">
      <c r="A157" s="75"/>
      <c r="B157" s="75"/>
      <c r="C157" s="41">
        <f>-E160</f>
        <v>9362.4902753691313</v>
      </c>
      <c r="D157" s="75"/>
      <c r="E157" s="12">
        <f>12*12</f>
        <v>144</v>
      </c>
      <c r="F157" s="1" t="s">
        <v>45</v>
      </c>
    </row>
    <row r="158" spans="1:10" x14ac:dyDescent="0.2">
      <c r="E158" s="338">
        <f>E124</f>
        <v>7.9741404289037643E-3</v>
      </c>
      <c r="F158" s="1" t="s">
        <v>42</v>
      </c>
    </row>
    <row r="159" spans="1:10" x14ac:dyDescent="0.2">
      <c r="E159" s="12">
        <v>800000</v>
      </c>
      <c r="F159" s="1" t="s">
        <v>39</v>
      </c>
    </row>
    <row r="160" spans="1:10" x14ac:dyDescent="0.2">
      <c r="E160" s="42">
        <f>PMT(E158,E157,E159,E161)</f>
        <v>-9362.4902753691313</v>
      </c>
      <c r="F160" s="1" t="s">
        <v>47</v>
      </c>
      <c r="G160" s="1" t="s">
        <v>2687</v>
      </c>
    </row>
    <row r="161" spans="1:8" x14ac:dyDescent="0.2">
      <c r="E161" s="12">
        <v>0</v>
      </c>
      <c r="F161" s="1" t="s">
        <v>50</v>
      </c>
    </row>
    <row r="162" spans="1:8" x14ac:dyDescent="0.2">
      <c r="E162" s="12"/>
    </row>
    <row r="163" spans="1:8" x14ac:dyDescent="0.2">
      <c r="E163" s="12"/>
    </row>
    <row r="164" spans="1:8" x14ac:dyDescent="0.2">
      <c r="A164" s="78" t="s">
        <v>2686</v>
      </c>
      <c r="E164" s="12"/>
    </row>
    <row r="165" spans="1:8" x14ac:dyDescent="0.2">
      <c r="A165" s="75" t="s">
        <v>2688</v>
      </c>
      <c r="B165" s="75"/>
      <c r="C165" s="75"/>
      <c r="D165" s="75"/>
      <c r="E165" s="12"/>
      <c r="F165" s="1" t="s">
        <v>177</v>
      </c>
    </row>
    <row r="166" spans="1:8" x14ac:dyDescent="0.2">
      <c r="A166" s="75" t="s">
        <v>2689</v>
      </c>
      <c r="B166" s="75"/>
      <c r="C166" s="75"/>
      <c r="D166" s="75"/>
      <c r="E166" s="12" t="s">
        <v>179</v>
      </c>
      <c r="F166" s="1" t="s">
        <v>178</v>
      </c>
    </row>
    <row r="167" spans="1:8" x14ac:dyDescent="0.2">
      <c r="A167" s="75"/>
      <c r="B167" s="75"/>
      <c r="C167" s="41">
        <f>-E170</f>
        <v>9560.6261026186712</v>
      </c>
      <c r="D167" s="75"/>
      <c r="E167" s="12">
        <f>12*12</f>
        <v>144</v>
      </c>
      <c r="F167" s="1" t="s">
        <v>45</v>
      </c>
    </row>
    <row r="168" spans="1:8" x14ac:dyDescent="0.2">
      <c r="E168" s="339">
        <f>C144</f>
        <v>8.3333333333333332E-3</v>
      </c>
      <c r="F168" s="1" t="s">
        <v>42</v>
      </c>
    </row>
    <row r="169" spans="1:8" x14ac:dyDescent="0.2">
      <c r="E169" s="12">
        <v>800000</v>
      </c>
      <c r="F169" s="1" t="s">
        <v>39</v>
      </c>
    </row>
    <row r="170" spans="1:8" x14ac:dyDescent="0.2">
      <c r="E170" s="42">
        <f>PMT(E168,E167,E169,E171)</f>
        <v>-9560.6261026186712</v>
      </c>
      <c r="F170" s="1" t="s">
        <v>47</v>
      </c>
      <c r="G170" s="1" t="s">
        <v>2687</v>
      </c>
    </row>
    <row r="171" spans="1:8" x14ac:dyDescent="0.2">
      <c r="E171" s="12">
        <v>0</v>
      </c>
      <c r="F171" s="1" t="s">
        <v>50</v>
      </c>
    </row>
    <row r="173" spans="1:8" x14ac:dyDescent="0.2">
      <c r="A173" s="29" t="s">
        <v>2793</v>
      </c>
      <c r="B173" s="29"/>
      <c r="C173" s="29"/>
      <c r="D173" s="29"/>
      <c r="E173" s="29"/>
      <c r="F173" s="29"/>
      <c r="G173" s="29"/>
      <c r="H173" s="29"/>
    </row>
    <row r="174" spans="1:8" x14ac:dyDescent="0.2">
      <c r="A174" s="1" t="s">
        <v>2698</v>
      </c>
    </row>
    <row r="175" spans="1:8" x14ac:dyDescent="0.2">
      <c r="A175" s="1" t="s">
        <v>2699</v>
      </c>
    </row>
    <row r="176" spans="1:8" x14ac:dyDescent="0.2">
      <c r="A176" s="1" t="s">
        <v>290</v>
      </c>
      <c r="B176" s="1" t="s">
        <v>2701</v>
      </c>
    </row>
    <row r="177" spans="1:7" x14ac:dyDescent="0.2">
      <c r="A177" s="1" t="s">
        <v>291</v>
      </c>
      <c r="B177" s="1" t="s">
        <v>2702</v>
      </c>
    </row>
    <row r="178" spans="1:7" x14ac:dyDescent="0.2">
      <c r="A178" s="1" t="s">
        <v>292</v>
      </c>
      <c r="B178" s="1" t="s">
        <v>2703</v>
      </c>
    </row>
    <row r="179" spans="1:7" x14ac:dyDescent="0.2">
      <c r="A179" s="1" t="s">
        <v>1070</v>
      </c>
      <c r="B179" s="1" t="s">
        <v>2704</v>
      </c>
    </row>
    <row r="180" spans="1:7" x14ac:dyDescent="0.2">
      <c r="A180" s="1" t="s">
        <v>2700</v>
      </c>
      <c r="B180" s="1" t="s">
        <v>2705</v>
      </c>
    </row>
    <row r="182" spans="1:7" x14ac:dyDescent="0.2">
      <c r="A182" s="1" t="s">
        <v>2706</v>
      </c>
    </row>
    <row r="184" spans="1:7" x14ac:dyDescent="0.2">
      <c r="A184" s="2" t="s">
        <v>2720</v>
      </c>
      <c r="G184" s="1" t="s">
        <v>145</v>
      </c>
    </row>
    <row r="185" spans="1:7" x14ac:dyDescent="0.2">
      <c r="A185" s="29" t="s">
        <v>290</v>
      </c>
      <c r="B185" s="29" t="s">
        <v>2707</v>
      </c>
      <c r="C185" s="29">
        <f>((1+12%/12)^12-1)*100</f>
        <v>12.682503013196978</v>
      </c>
      <c r="E185" s="1" t="str">
        <f ca="1">_xlfn.FORMULATEXT(C185)</f>
        <v>=((1+12%/12)^12-1)*100</v>
      </c>
      <c r="G185" s="1" t="s">
        <v>2722</v>
      </c>
    </row>
    <row r="186" spans="1:7" x14ac:dyDescent="0.2">
      <c r="A186" s="29" t="s">
        <v>291</v>
      </c>
      <c r="B186" s="29" t="s">
        <v>2707</v>
      </c>
      <c r="C186" s="29">
        <f>((1+8%/6)^6-1)*100</f>
        <v>8.2714550682162482</v>
      </c>
      <c r="E186" s="1" t="str">
        <f ca="1">_xlfn.FORMULATEXT(C186)</f>
        <v>=((1+8%/6)^6-1)*100</v>
      </c>
      <c r="G186" s="1" t="s">
        <v>2723</v>
      </c>
    </row>
    <row r="187" spans="1:7" x14ac:dyDescent="0.2">
      <c r="A187" s="75" t="s">
        <v>2721</v>
      </c>
      <c r="B187" s="75" t="s">
        <v>2707</v>
      </c>
      <c r="C187" s="75">
        <f>((1+6%/3)^12-1)*100</f>
        <v>26.824179456254527</v>
      </c>
      <c r="E187" s="1" t="str">
        <f ca="1">_xlfn.FORMULATEXT(C187)</f>
        <v>=((1+6%/3)^12-1)*100</v>
      </c>
    </row>
    <row r="188" spans="1:7" x14ac:dyDescent="0.2">
      <c r="A188" s="29" t="s">
        <v>1070</v>
      </c>
      <c r="B188" s="29" t="s">
        <v>2707</v>
      </c>
      <c r="C188" s="29">
        <f>((1+9%/3)^6-1)*100</f>
        <v>19.40522965289999</v>
      </c>
      <c r="E188" s="1" t="str">
        <f ca="1">_xlfn.FORMULATEXT(C188)</f>
        <v>=((1+9%/3)^6-1)*100</v>
      </c>
    </row>
    <row r="189" spans="1:7" x14ac:dyDescent="0.2">
      <c r="A189" s="29" t="s">
        <v>2700</v>
      </c>
      <c r="B189" s="29" t="s">
        <v>2707</v>
      </c>
      <c r="C189" s="29">
        <f>D201</f>
        <v>2.0012900397136102</v>
      </c>
      <c r="D189" s="1" t="s">
        <v>2719</v>
      </c>
    </row>
    <row r="191" spans="1:7" x14ac:dyDescent="0.2">
      <c r="B191" s="1" t="s">
        <v>2708</v>
      </c>
    </row>
    <row r="192" spans="1:7" x14ac:dyDescent="0.2">
      <c r="B192" s="1" t="s">
        <v>2709</v>
      </c>
    </row>
    <row r="193" spans="1:13" x14ac:dyDescent="0.2">
      <c r="E193" s="1" t="s">
        <v>2710</v>
      </c>
      <c r="F193" s="1" t="s">
        <v>2711</v>
      </c>
    </row>
    <row r="194" spans="1:13" x14ac:dyDescent="0.2">
      <c r="F194" s="1" t="s">
        <v>2712</v>
      </c>
    </row>
    <row r="195" spans="1:13" x14ac:dyDescent="0.2">
      <c r="B195" s="1" t="s">
        <v>2707</v>
      </c>
      <c r="C195" s="1">
        <f>(1/(1-30%)-1) * 100</f>
        <v>42.857142857142861</v>
      </c>
      <c r="E195" s="1" t="s">
        <v>2713</v>
      </c>
      <c r="F195" s="1" t="s">
        <v>2714</v>
      </c>
    </row>
    <row r="196" spans="1:13" x14ac:dyDescent="0.2">
      <c r="F196" s="1" t="s">
        <v>2715</v>
      </c>
    </row>
    <row r="198" spans="1:13" x14ac:dyDescent="0.2">
      <c r="B198" s="1" t="s">
        <v>2716</v>
      </c>
    </row>
    <row r="199" spans="1:13" x14ac:dyDescent="0.2">
      <c r="B199" s="1" t="s">
        <v>2717</v>
      </c>
    </row>
    <row r="201" spans="1:13" x14ac:dyDescent="0.2">
      <c r="C201" s="1" t="s">
        <v>2707</v>
      </c>
      <c r="D201" s="1">
        <f>((1 + 42.85714286%)^(1/18) - 1)*100</f>
        <v>2.0012900397136102</v>
      </c>
      <c r="G201" s="1" t="s">
        <v>2718</v>
      </c>
    </row>
    <row r="203" spans="1:13" x14ac:dyDescent="0.2">
      <c r="A203" s="29" t="s">
        <v>2794</v>
      </c>
      <c r="B203" s="29"/>
      <c r="C203" s="29"/>
      <c r="D203" s="29"/>
      <c r="E203" s="29"/>
      <c r="F203" s="29"/>
      <c r="G203" s="29"/>
      <c r="H203" s="29"/>
    </row>
    <row r="205" spans="1:13" x14ac:dyDescent="0.2">
      <c r="A205" s="1" t="s">
        <v>2724</v>
      </c>
    </row>
    <row r="206" spans="1:13" ht="17" thickBot="1" x14ac:dyDescent="0.25"/>
    <row r="207" spans="1:13" x14ac:dyDescent="0.2">
      <c r="A207" s="1" t="s">
        <v>2725</v>
      </c>
      <c r="J207" s="341" t="s">
        <v>2772</v>
      </c>
      <c r="K207" s="342"/>
      <c r="L207" s="342"/>
      <c r="M207" s="343"/>
    </row>
    <row r="208" spans="1:13" x14ac:dyDescent="0.2">
      <c r="A208" s="1" t="s">
        <v>2726</v>
      </c>
      <c r="J208" s="344" t="s">
        <v>2773</v>
      </c>
      <c r="K208" s="162"/>
      <c r="L208" s="162"/>
      <c r="M208" s="345"/>
    </row>
    <row r="209" spans="1:13" x14ac:dyDescent="0.2">
      <c r="A209" s="1" t="s">
        <v>2728</v>
      </c>
      <c r="J209" s="344" t="s">
        <v>2774</v>
      </c>
      <c r="K209" s="162"/>
      <c r="L209" s="162"/>
      <c r="M209" s="345"/>
    </row>
    <row r="210" spans="1:13" x14ac:dyDescent="0.2">
      <c r="A210" s="1" t="s">
        <v>2727</v>
      </c>
      <c r="J210" s="344" t="s">
        <v>2775</v>
      </c>
      <c r="K210" s="162"/>
      <c r="L210" s="162"/>
      <c r="M210" s="345"/>
    </row>
    <row r="211" spans="1:13" x14ac:dyDescent="0.2">
      <c r="A211" s="1" t="s">
        <v>2729</v>
      </c>
      <c r="J211" s="344" t="s">
        <v>2776</v>
      </c>
      <c r="K211" s="162"/>
      <c r="L211" s="162"/>
      <c r="M211" s="345"/>
    </row>
    <row r="212" spans="1:13" x14ac:dyDescent="0.2">
      <c r="A212" s="1" t="s">
        <v>2730</v>
      </c>
      <c r="J212" s="344"/>
      <c r="K212" s="162"/>
      <c r="L212" s="162"/>
      <c r="M212" s="345"/>
    </row>
    <row r="213" spans="1:13" x14ac:dyDescent="0.2">
      <c r="J213" s="344" t="s">
        <v>2777</v>
      </c>
      <c r="K213" s="162"/>
      <c r="L213" s="162"/>
      <c r="M213" s="345"/>
    </row>
    <row r="214" spans="1:13" x14ac:dyDescent="0.2">
      <c r="A214" s="1" t="s">
        <v>2731</v>
      </c>
      <c r="J214" s="344" t="s">
        <v>2778</v>
      </c>
      <c r="K214" s="162"/>
      <c r="L214" s="162"/>
      <c r="M214" s="345"/>
    </row>
    <row r="215" spans="1:13" x14ac:dyDescent="0.2">
      <c r="J215" s="344" t="s">
        <v>2779</v>
      </c>
      <c r="K215" s="162"/>
      <c r="L215" s="162"/>
      <c r="M215" s="345"/>
    </row>
    <row r="216" spans="1:13" x14ac:dyDescent="0.2">
      <c r="A216" s="1" t="s">
        <v>2732</v>
      </c>
      <c r="J216" s="344" t="s">
        <v>2780</v>
      </c>
      <c r="K216" s="162"/>
      <c r="L216" s="162"/>
      <c r="M216" s="345"/>
    </row>
    <row r="217" spans="1:13" x14ac:dyDescent="0.2">
      <c r="A217" s="1" t="s">
        <v>2733</v>
      </c>
      <c r="J217" s="344"/>
      <c r="K217" s="162"/>
      <c r="L217" s="162"/>
      <c r="M217" s="345"/>
    </row>
    <row r="218" spans="1:13" x14ac:dyDescent="0.2">
      <c r="A218" s="1" t="s">
        <v>2734</v>
      </c>
      <c r="J218" s="344" t="s">
        <v>2781</v>
      </c>
      <c r="K218" s="162"/>
      <c r="L218" s="162"/>
      <c r="M218" s="345"/>
    </row>
    <row r="219" spans="1:13" x14ac:dyDescent="0.2">
      <c r="A219" s="1" t="s">
        <v>2735</v>
      </c>
      <c r="J219" s="344" t="s">
        <v>2782</v>
      </c>
      <c r="K219" s="162"/>
      <c r="L219" s="162"/>
      <c r="M219" s="345"/>
    </row>
    <row r="220" spans="1:13" x14ac:dyDescent="0.2">
      <c r="A220" s="1" t="s">
        <v>2736</v>
      </c>
      <c r="J220" s="344" t="s">
        <v>2783</v>
      </c>
      <c r="K220" s="162"/>
      <c r="L220" s="162"/>
      <c r="M220" s="345"/>
    </row>
    <row r="221" spans="1:13" x14ac:dyDescent="0.2">
      <c r="J221" s="344" t="s">
        <v>2784</v>
      </c>
      <c r="K221" s="162"/>
      <c r="L221" s="162"/>
      <c r="M221" s="345"/>
    </row>
    <row r="222" spans="1:13" x14ac:dyDescent="0.2">
      <c r="A222" s="1" t="s">
        <v>27</v>
      </c>
      <c r="J222" s="344" t="s">
        <v>2785</v>
      </c>
      <c r="K222" s="162"/>
      <c r="L222" s="162"/>
      <c r="M222" s="345"/>
    </row>
    <row r="223" spans="1:13" x14ac:dyDescent="0.2">
      <c r="A223" s="1" t="s">
        <v>2737</v>
      </c>
      <c r="J223" s="344"/>
      <c r="K223" s="162"/>
      <c r="L223" s="162"/>
      <c r="M223" s="345"/>
    </row>
    <row r="224" spans="1:13" x14ac:dyDescent="0.2">
      <c r="J224" s="344" t="s">
        <v>2786</v>
      </c>
      <c r="K224" s="162"/>
      <c r="L224" s="162"/>
      <c r="M224" s="345"/>
    </row>
    <row r="225" spans="1:13" x14ac:dyDescent="0.2">
      <c r="A225" s="78" t="s">
        <v>2732</v>
      </c>
      <c r="J225" s="344" t="s">
        <v>2787</v>
      </c>
      <c r="K225" s="162"/>
      <c r="L225" s="162"/>
      <c r="M225" s="345"/>
    </row>
    <row r="226" spans="1:13" ht="17" thickBot="1" x14ac:dyDescent="0.25">
      <c r="J226" s="346" t="s">
        <v>2788</v>
      </c>
      <c r="K226" s="347"/>
      <c r="L226" s="347"/>
      <c r="M226" s="348"/>
    </row>
    <row r="227" spans="1:13" x14ac:dyDescent="0.2">
      <c r="B227" s="12" t="s">
        <v>292</v>
      </c>
      <c r="C227" s="12" t="s">
        <v>291</v>
      </c>
      <c r="D227" s="12" t="s">
        <v>290</v>
      </c>
      <c r="G227" s="1" t="s">
        <v>1089</v>
      </c>
    </row>
    <row r="228" spans="1:13" x14ac:dyDescent="0.2">
      <c r="B228" s="59" t="s">
        <v>1095</v>
      </c>
      <c r="C228" s="59" t="s">
        <v>1095</v>
      </c>
      <c r="D228" s="59" t="s">
        <v>1095</v>
      </c>
      <c r="F228" s="12">
        <v>5</v>
      </c>
      <c r="G228" s="1" t="s">
        <v>42</v>
      </c>
      <c r="H228" s="1" t="s">
        <v>2738</v>
      </c>
    </row>
    <row r="229" spans="1:13" x14ac:dyDescent="0.2">
      <c r="B229" s="12">
        <v>-300000</v>
      </c>
      <c r="C229" s="12">
        <v>-200000</v>
      </c>
      <c r="D229" s="12">
        <v>-100000</v>
      </c>
      <c r="E229" s="1">
        <v>1</v>
      </c>
      <c r="G229" s="1" t="s">
        <v>2331</v>
      </c>
    </row>
    <row r="230" spans="1:13" x14ac:dyDescent="0.2">
      <c r="B230" s="12">
        <v>100000</v>
      </c>
      <c r="C230" s="12">
        <v>75000</v>
      </c>
      <c r="D230" s="12">
        <v>40000</v>
      </c>
      <c r="E230" s="1">
        <v>2</v>
      </c>
    </row>
    <row r="231" spans="1:13" x14ac:dyDescent="0.2">
      <c r="B231" s="12">
        <v>100000</v>
      </c>
      <c r="C231" s="12">
        <v>75000</v>
      </c>
      <c r="D231" s="12">
        <v>40000</v>
      </c>
      <c r="E231" s="1">
        <v>3</v>
      </c>
    </row>
    <row r="232" spans="1:13" x14ac:dyDescent="0.2">
      <c r="B232" s="12">
        <v>100000</v>
      </c>
      <c r="C232" s="12">
        <v>75000</v>
      </c>
      <c r="D232" s="12">
        <v>40000</v>
      </c>
      <c r="E232" s="1">
        <v>4</v>
      </c>
    </row>
    <row r="233" spans="1:13" x14ac:dyDescent="0.2">
      <c r="B233" s="12">
        <v>100000</v>
      </c>
      <c r="C233" s="12">
        <v>75000</v>
      </c>
      <c r="D233" s="12">
        <v>40000</v>
      </c>
      <c r="E233" s="1">
        <v>5</v>
      </c>
    </row>
    <row r="234" spans="1:13" x14ac:dyDescent="0.2">
      <c r="B234" s="12">
        <v>60000</v>
      </c>
      <c r="C234" s="12">
        <v>35000</v>
      </c>
      <c r="D234" s="12">
        <v>20000</v>
      </c>
      <c r="E234" s="1">
        <v>6</v>
      </c>
    </row>
    <row r="235" spans="1:13" x14ac:dyDescent="0.2">
      <c r="B235" s="12">
        <v>60000</v>
      </c>
      <c r="C235" s="12">
        <v>35000</v>
      </c>
      <c r="D235" s="12">
        <v>20000</v>
      </c>
      <c r="E235" s="1">
        <v>7</v>
      </c>
    </row>
    <row r="236" spans="1:13" x14ac:dyDescent="0.2">
      <c r="A236" s="29" t="s">
        <v>2744</v>
      </c>
      <c r="B236" s="90" t="s">
        <v>292</v>
      </c>
      <c r="C236" s="90" t="s">
        <v>291</v>
      </c>
      <c r="D236" s="90" t="s">
        <v>290</v>
      </c>
    </row>
    <row r="237" spans="1:13" x14ac:dyDescent="0.2">
      <c r="A237" s="29"/>
      <c r="B237" s="42">
        <f>NPV($F228/100,B230:B235)+B229</f>
        <v>146379.54420254118</v>
      </c>
      <c r="C237" s="42">
        <f>NPV($F228/100,C230:C235)+C229</f>
        <v>119487.24252085504</v>
      </c>
      <c r="D237" s="42">
        <f>NPV($F228/100,D230:D235)+D229</f>
        <v>72432.851428596128</v>
      </c>
      <c r="E237" s="1" t="s">
        <v>2008</v>
      </c>
      <c r="H237" s="1" t="s">
        <v>2687</v>
      </c>
    </row>
    <row r="238" spans="1:13" x14ac:dyDescent="0.2">
      <c r="B238" s="265">
        <f>IRR(B229:B235)</f>
        <v>0.20449204754083317</v>
      </c>
      <c r="C238" s="265">
        <f>IRR(C229:C235)</f>
        <v>0.24453372690125308</v>
      </c>
      <c r="D238" s="265">
        <f>IRR(D229:D235)</f>
        <v>0.28003512171971567</v>
      </c>
      <c r="E238" s="1" t="s">
        <v>2006</v>
      </c>
      <c r="H238" s="1" t="s">
        <v>2687</v>
      </c>
      <c r="I238" s="1" t="s">
        <v>2739</v>
      </c>
    </row>
    <row r="239" spans="1:13" x14ac:dyDescent="0.2">
      <c r="I239" s="1" t="s">
        <v>2740</v>
      </c>
    </row>
    <row r="240" spans="1:13" x14ac:dyDescent="0.2">
      <c r="A240" s="29" t="s">
        <v>2745</v>
      </c>
      <c r="B240" s="29"/>
      <c r="C240" s="29"/>
      <c r="D240" s="29"/>
    </row>
    <row r="241" spans="1:9" x14ac:dyDescent="0.2">
      <c r="A241" s="29" t="s">
        <v>2746</v>
      </c>
      <c r="B241" s="29"/>
      <c r="C241" s="29"/>
      <c r="D241" s="29"/>
      <c r="I241" s="1" t="s">
        <v>2741</v>
      </c>
    </row>
    <row r="242" spans="1:9" x14ac:dyDescent="0.2">
      <c r="I242" s="1" t="s">
        <v>2742</v>
      </c>
    </row>
    <row r="243" spans="1:9" x14ac:dyDescent="0.2">
      <c r="I243" s="1" t="s">
        <v>2743</v>
      </c>
    </row>
    <row r="246" spans="1:9" x14ac:dyDescent="0.2">
      <c r="A246" s="78" t="s">
        <v>2733</v>
      </c>
    </row>
    <row r="248" spans="1:9" x14ac:dyDescent="0.2">
      <c r="A248" s="29" t="s">
        <v>2747</v>
      </c>
      <c r="B248" s="29" t="s">
        <v>2748</v>
      </c>
      <c r="C248" s="29"/>
      <c r="D248" s="29"/>
      <c r="E248" s="29"/>
    </row>
    <row r="250" spans="1:9" x14ac:dyDescent="0.2">
      <c r="A250" s="78" t="s">
        <v>2734</v>
      </c>
    </row>
    <row r="251" spans="1:9" x14ac:dyDescent="0.2">
      <c r="B251" s="90" t="s">
        <v>292</v>
      </c>
      <c r="C251" s="90" t="s">
        <v>291</v>
      </c>
      <c r="D251" s="90" t="s">
        <v>290</v>
      </c>
    </row>
    <row r="252" spans="1:9" x14ac:dyDescent="0.2">
      <c r="A252" s="29" t="s">
        <v>2749</v>
      </c>
      <c r="B252" s="20">
        <v>0.20449204754083317</v>
      </c>
      <c r="C252" s="20">
        <v>0.24453372690125308</v>
      </c>
      <c r="D252" s="20">
        <v>0.28003512171971567</v>
      </c>
      <c r="E252" s="1" t="s">
        <v>2006</v>
      </c>
    </row>
    <row r="253" spans="1:9" x14ac:dyDescent="0.2">
      <c r="A253" s="1" t="s">
        <v>2750</v>
      </c>
    </row>
    <row r="254" spans="1:9" x14ac:dyDescent="0.2">
      <c r="A254" s="1" t="s">
        <v>2751</v>
      </c>
    </row>
    <row r="256" spans="1:9" x14ac:dyDescent="0.2">
      <c r="A256" s="29" t="s">
        <v>2752</v>
      </c>
      <c r="B256" s="29"/>
      <c r="C256" s="29"/>
      <c r="D256" s="29"/>
      <c r="E256" s="29"/>
      <c r="F256" s="29"/>
    </row>
    <row r="257" spans="1:3" x14ac:dyDescent="0.2">
      <c r="A257" s="1" t="s">
        <v>2753</v>
      </c>
    </row>
    <row r="259" spans="1:3" x14ac:dyDescent="0.2">
      <c r="A259" s="78" t="s">
        <v>2735</v>
      </c>
    </row>
    <row r="261" spans="1:3" x14ac:dyDescent="0.2">
      <c r="B261" s="29" t="s">
        <v>2754</v>
      </c>
      <c r="C261" s="29" t="s">
        <v>1076</v>
      </c>
    </row>
    <row r="262" spans="1:3" x14ac:dyDescent="0.2">
      <c r="B262" s="29" t="s">
        <v>2756</v>
      </c>
      <c r="C262" s="29" t="s">
        <v>2755</v>
      </c>
    </row>
    <row r="263" spans="1:3" x14ac:dyDescent="0.2">
      <c r="B263" s="29" t="s">
        <v>2757</v>
      </c>
      <c r="C263" s="29" t="s">
        <v>2758</v>
      </c>
    </row>
    <row r="265" spans="1:3" x14ac:dyDescent="0.2">
      <c r="A265" s="78" t="s">
        <v>2736</v>
      </c>
    </row>
    <row r="267" spans="1:3" x14ac:dyDescent="0.2">
      <c r="B267" s="29" t="s">
        <v>2754</v>
      </c>
      <c r="C267" s="29" t="s">
        <v>2758</v>
      </c>
    </row>
    <row r="268" spans="1:3" x14ac:dyDescent="0.2">
      <c r="B268" s="29" t="s">
        <v>2756</v>
      </c>
      <c r="C268" s="29" t="s">
        <v>2755</v>
      </c>
    </row>
    <row r="269" spans="1:3" x14ac:dyDescent="0.2">
      <c r="B269" s="29" t="s">
        <v>2757</v>
      </c>
      <c r="C269" s="29" t="s">
        <v>1076</v>
      </c>
    </row>
    <row r="271" spans="1:3" x14ac:dyDescent="0.2">
      <c r="A271" s="1" t="s">
        <v>2759</v>
      </c>
    </row>
    <row r="272" spans="1:3" x14ac:dyDescent="0.2">
      <c r="A272" s="1" t="s">
        <v>2760</v>
      </c>
    </row>
    <row r="273" spans="1:5" x14ac:dyDescent="0.2">
      <c r="A273" s="1" t="s">
        <v>2761</v>
      </c>
    </row>
    <row r="274" spans="1:5" x14ac:dyDescent="0.2">
      <c r="A274" s="1" t="s">
        <v>2762</v>
      </c>
    </row>
    <row r="276" spans="1:5" x14ac:dyDescent="0.2">
      <c r="B276" s="12" t="s">
        <v>292</v>
      </c>
      <c r="C276" s="12" t="s">
        <v>291</v>
      </c>
      <c r="D276" s="12" t="s">
        <v>290</v>
      </c>
    </row>
    <row r="277" spans="1:5" x14ac:dyDescent="0.2">
      <c r="B277" s="59" t="s">
        <v>1095</v>
      </c>
      <c r="C277" s="59" t="s">
        <v>1095</v>
      </c>
      <c r="D277" s="59" t="s">
        <v>1095</v>
      </c>
    </row>
    <row r="278" spans="1:5" x14ac:dyDescent="0.2">
      <c r="B278" s="349">
        <v>-300000</v>
      </c>
      <c r="C278" s="12">
        <v>-200000</v>
      </c>
      <c r="D278" s="351">
        <v>-100000</v>
      </c>
      <c r="E278" s="1">
        <v>1</v>
      </c>
    </row>
    <row r="279" spans="1:5" x14ac:dyDescent="0.2">
      <c r="B279" s="12">
        <v>100000</v>
      </c>
      <c r="C279" s="12">
        <v>75000</v>
      </c>
      <c r="D279" s="12">
        <v>40000</v>
      </c>
      <c r="E279" s="1">
        <v>2</v>
      </c>
    </row>
    <row r="280" spans="1:5" x14ac:dyDescent="0.2">
      <c r="B280" s="12">
        <v>100000</v>
      </c>
      <c r="C280" s="12">
        <v>75000</v>
      </c>
      <c r="D280" s="12">
        <v>40000</v>
      </c>
      <c r="E280" s="1">
        <v>3</v>
      </c>
    </row>
    <row r="281" spans="1:5" x14ac:dyDescent="0.2">
      <c r="B281" s="12">
        <v>100000</v>
      </c>
      <c r="C281" s="12">
        <v>75000</v>
      </c>
      <c r="D281" s="12">
        <v>40000</v>
      </c>
      <c r="E281" s="1">
        <v>4</v>
      </c>
    </row>
    <row r="282" spans="1:5" x14ac:dyDescent="0.2">
      <c r="B282" s="12">
        <v>100000</v>
      </c>
      <c r="C282" s="12">
        <v>75000</v>
      </c>
      <c r="D282" s="12">
        <v>40000</v>
      </c>
      <c r="E282" s="1">
        <v>5</v>
      </c>
    </row>
    <row r="283" spans="1:5" x14ac:dyDescent="0.2">
      <c r="B283" s="12">
        <v>60000</v>
      </c>
      <c r="C283" s="12">
        <v>35000</v>
      </c>
      <c r="D283" s="12">
        <v>20000</v>
      </c>
      <c r="E283" s="1">
        <v>6</v>
      </c>
    </row>
    <row r="284" spans="1:5" x14ac:dyDescent="0.2">
      <c r="B284" s="12">
        <v>60000</v>
      </c>
      <c r="C284" s="12">
        <v>35000</v>
      </c>
      <c r="D284" s="12">
        <v>20000</v>
      </c>
      <c r="E284" s="1">
        <v>7</v>
      </c>
    </row>
    <row r="286" spans="1:5" x14ac:dyDescent="0.2">
      <c r="B286" s="90" t="s">
        <v>292</v>
      </c>
      <c r="C286" s="90" t="s">
        <v>291</v>
      </c>
      <c r="D286" s="90" t="s">
        <v>290</v>
      </c>
    </row>
    <row r="287" spans="1:5" x14ac:dyDescent="0.2">
      <c r="B287" s="42">
        <v>146379.54420254118</v>
      </c>
      <c r="C287" s="42">
        <v>119487.24252085504</v>
      </c>
      <c r="D287" s="42">
        <v>72432.851428596128</v>
      </c>
      <c r="E287" s="1" t="s">
        <v>2008</v>
      </c>
    </row>
    <row r="288" spans="1:5" x14ac:dyDescent="0.2">
      <c r="B288" s="350">
        <v>0.20449204754083317</v>
      </c>
      <c r="C288" s="265">
        <v>0.24453372690125308</v>
      </c>
      <c r="D288" s="352">
        <v>0.28003512171971567</v>
      </c>
      <c r="E288" s="1" t="s">
        <v>2006</v>
      </c>
    </row>
    <row r="290" spans="1:6" x14ac:dyDescent="0.2">
      <c r="A290" s="1" t="s">
        <v>2763</v>
      </c>
    </row>
    <row r="291" spans="1:6" x14ac:dyDescent="0.2">
      <c r="A291" s="1" t="s">
        <v>2764</v>
      </c>
    </row>
    <row r="292" spans="1:6" x14ac:dyDescent="0.2">
      <c r="A292" s="1" t="s">
        <v>2765</v>
      </c>
    </row>
    <row r="294" spans="1:6" x14ac:dyDescent="0.2">
      <c r="A294" s="1" t="s">
        <v>2766</v>
      </c>
    </row>
    <row r="295" spans="1:6" x14ac:dyDescent="0.2">
      <c r="A295" s="1" t="s">
        <v>2767</v>
      </c>
    </row>
    <row r="296" spans="1:6" x14ac:dyDescent="0.2">
      <c r="A296" s="1" t="s">
        <v>2768</v>
      </c>
    </row>
    <row r="298" spans="1:6" x14ac:dyDescent="0.2">
      <c r="A298" s="75" t="s">
        <v>2771</v>
      </c>
      <c r="B298" s="75"/>
      <c r="C298" s="75"/>
      <c r="D298" s="75"/>
      <c r="E298" s="75"/>
      <c r="F298" s="75"/>
    </row>
    <row r="299" spans="1:6" x14ac:dyDescent="0.2">
      <c r="A299" s="75" t="s">
        <v>2769</v>
      </c>
      <c r="B299" s="75"/>
      <c r="C299" s="75"/>
      <c r="D299" s="75"/>
      <c r="E299" s="75"/>
      <c r="F299" s="75"/>
    </row>
    <row r="300" spans="1:6" x14ac:dyDescent="0.2">
      <c r="A300" s="75" t="s">
        <v>2770</v>
      </c>
      <c r="B300" s="75"/>
      <c r="C300" s="75"/>
      <c r="D300" s="75"/>
      <c r="E300" s="75"/>
      <c r="F300" s="7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7</vt:lpstr>
      <vt:lpstr>שיעור 8 מעודכן</vt:lpstr>
      <vt:lpstr>שיעור 9 מעודכן</vt:lpstr>
      <vt:lpstr>שיעור 10</vt:lpstr>
      <vt:lpstr>שיעור 11</vt:lpstr>
      <vt:lpstr>שיעור 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2025-10-23T18:50:06Z</dcterms:modified>
</cp:coreProperties>
</file>