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3293" documentId="13_ncr:1_{597316DF-A655-C74C-A849-16DA9B92B8D7}" xr6:coauthVersionLast="47" xr6:coauthVersionMax="47" xr10:uidLastSave="{C566BED1-E668-1944-A964-F40135859658}"/>
  <bookViews>
    <workbookView xWindow="0" yWindow="620" windowWidth="38080" windowHeight="21620" activeTab="7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7" sheetId="8" r:id="rId7"/>
    <sheet name="שיעור 8 מעודכן" sheetId="9" r:id="rId8"/>
    <sheet name="שיעור 9 מעודכן" sheetId="12" r:id="rId9"/>
    <sheet name="שיעור 9" sheetId="10" r:id="rId10"/>
    <sheet name="שיעור 10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1" i="9" l="1"/>
  <c r="F311" i="9"/>
  <c r="F312" i="9" s="1"/>
  <c r="F308" i="9"/>
  <c r="F309" i="9" s="1"/>
  <c r="B308" i="9" s="1"/>
  <c r="B306" i="9"/>
  <c r="B304" i="9"/>
  <c r="B274" i="9"/>
  <c r="B273" i="9"/>
  <c r="B272" i="9"/>
  <c r="B271" i="9"/>
  <c r="G414" i="12"/>
  <c r="D399" i="12"/>
  <c r="D407" i="12" s="1"/>
  <c r="D398" i="12"/>
  <c r="A398" i="12"/>
  <c r="D397" i="12"/>
  <c r="A397" i="12"/>
  <c r="D396" i="12"/>
  <c r="A396" i="12"/>
  <c r="G365" i="12"/>
  <c r="G364" i="12"/>
  <c r="D364" i="12"/>
  <c r="D365" i="12" s="1"/>
  <c r="B346" i="12"/>
  <c r="B345" i="12"/>
  <c r="D330" i="12"/>
  <c r="F320" i="12"/>
  <c r="E306" i="12"/>
  <c r="G280" i="12"/>
  <c r="D263" i="12"/>
  <c r="G262" i="12"/>
  <c r="D262" i="12"/>
  <c r="C263" i="12" s="1"/>
  <c r="C262" i="12"/>
  <c r="B262" i="12"/>
  <c r="B263" i="12" s="1"/>
  <c r="B264" i="12" s="1"/>
  <c r="B265" i="12" s="1"/>
  <c r="B266" i="12" s="1"/>
  <c r="B216" i="12"/>
  <c r="B225" i="12" s="1"/>
  <c r="B207" i="12"/>
  <c r="B205" i="12"/>
  <c r="D167" i="12"/>
  <c r="D169" i="12" s="1"/>
  <c r="B176" i="12" s="1"/>
  <c r="G152" i="12"/>
  <c r="C150" i="12"/>
  <c r="D136" i="12"/>
  <c r="D103" i="12"/>
  <c r="E83" i="12"/>
  <c r="E68" i="12"/>
  <c r="B207" i="9"/>
  <c r="B205" i="9"/>
  <c r="D167" i="9"/>
  <c r="D169" i="9" s="1"/>
  <c r="B176" i="9" s="1"/>
  <c r="C150" i="9"/>
  <c r="G152" i="9"/>
  <c r="D136" i="9"/>
  <c r="D103" i="9"/>
  <c r="E83" i="9"/>
  <c r="E68" i="9"/>
  <c r="D230" i="8"/>
  <c r="C182" i="8"/>
  <c r="D196" i="8" s="1"/>
  <c r="E171" i="8"/>
  <c r="E151" i="8"/>
  <c r="B95" i="8"/>
  <c r="B112" i="8" s="1"/>
  <c r="D107" i="8"/>
  <c r="D109" i="8" s="1"/>
  <c r="D102" i="8"/>
  <c r="B78" i="8"/>
  <c r="H62" i="8"/>
  <c r="G391" i="6"/>
  <c r="G389" i="6"/>
  <c r="C357" i="6"/>
  <c r="G358" i="6"/>
  <c r="G357" i="6"/>
  <c r="A79" i="6"/>
  <c r="C389" i="6"/>
  <c r="C392" i="6" s="1"/>
  <c r="G393" i="6" s="1"/>
  <c r="B384" i="6"/>
  <c r="F317" i="6"/>
  <c r="C322" i="6" s="1"/>
  <c r="B317" i="6"/>
  <c r="C324" i="6" s="1"/>
  <c r="D315" i="6"/>
  <c r="D317" i="6" s="1"/>
  <c r="C323" i="6" s="1"/>
  <c r="E279" i="6"/>
  <c r="E280" i="6" s="1"/>
  <c r="C279" i="6"/>
  <c r="C28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F189" i="11"/>
  <c r="I178" i="11"/>
  <c r="G176" i="11"/>
  <c r="G164" i="11"/>
  <c r="F153" i="11"/>
  <c r="F151" i="11"/>
  <c r="F150" i="11"/>
  <c r="F125" i="11"/>
  <c r="E120" i="11"/>
  <c r="E119" i="11" s="1"/>
  <c r="C88" i="11"/>
  <c r="C89" i="11"/>
  <c r="E89" i="11"/>
  <c r="D89" i="11" s="1"/>
  <c r="E88" i="11"/>
  <c r="F89" i="11"/>
  <c r="F88" i="11"/>
  <c r="H201" i="10"/>
  <c r="H200" i="10"/>
  <c r="H162" i="10"/>
  <c r="H161" i="10"/>
  <c r="H83" i="10"/>
  <c r="H85" i="10" s="1"/>
  <c r="H105" i="10"/>
  <c r="H107" i="10" s="1"/>
  <c r="B93" i="10"/>
  <c r="B63" i="10"/>
  <c r="H53" i="10"/>
  <c r="H55" i="10" s="1"/>
  <c r="F367" i="8"/>
  <c r="F366" i="8"/>
  <c r="F365" i="8"/>
  <c r="F364" i="8"/>
  <c r="G345" i="8"/>
  <c r="G344" i="8"/>
  <c r="G343" i="8"/>
  <c r="G342" i="8"/>
  <c r="G335" i="8"/>
  <c r="G334" i="8"/>
  <c r="G333" i="8"/>
  <c r="G332" i="8"/>
  <c r="H320" i="8"/>
  <c r="H319" i="8"/>
  <c r="H318" i="8"/>
  <c r="H317" i="8"/>
  <c r="F265" i="8"/>
  <c r="F267" i="8" s="1"/>
  <c r="F269" i="8" s="1"/>
  <c r="F249" i="6"/>
  <c r="B249" i="6"/>
  <c r="B243" i="6"/>
  <c r="F243" i="6"/>
  <c r="E217" i="6"/>
  <c r="E216" i="6" s="1"/>
  <c r="C223" i="6" s="1"/>
  <c r="E179" i="6"/>
  <c r="D194" i="6" s="1"/>
  <c r="F155" i="6"/>
  <c r="D162" i="6" s="1"/>
  <c r="F137" i="6"/>
  <c r="D143" i="6" s="1"/>
  <c r="E110" i="6"/>
  <c r="E113" i="6" s="1"/>
  <c r="D103" i="6"/>
  <c r="E78" i="6"/>
  <c r="E81" i="6"/>
  <c r="E58" i="6"/>
  <c r="E61" i="6" s="1"/>
  <c r="F41" i="6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B216" i="9" l="1"/>
  <c r="B225" i="9" s="1"/>
  <c r="A399" i="12"/>
  <c r="G367" i="12"/>
  <c r="D373" i="12" s="1"/>
  <c r="D367" i="12"/>
  <c r="F262" i="12"/>
  <c r="H262" i="12" s="1"/>
  <c r="D264" i="12"/>
  <c r="C264" i="12"/>
  <c r="C358" i="6"/>
  <c r="G361" i="6"/>
  <c r="C359" i="6" s="1"/>
  <c r="F43" i="6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F92" i="11"/>
  <c r="E90" i="11" s="1"/>
  <c r="E92" i="11" s="1"/>
  <c r="D90" i="11" s="1"/>
  <c r="D92" i="11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G263" i="12" l="1"/>
  <c r="F263" i="12" s="1"/>
  <c r="H263" i="12"/>
  <c r="C265" i="12"/>
  <c r="D265" i="12"/>
  <c r="G399" i="12"/>
  <c r="A407" i="12"/>
  <c r="G407" i="12" s="1"/>
  <c r="C360" i="6"/>
  <c r="E245" i="5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90" i="11"/>
  <c r="C92" i="11" s="1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G264" i="12" l="1"/>
  <c r="F264" i="12" s="1"/>
  <c r="H264" i="12"/>
  <c r="C266" i="12"/>
  <c r="D266" i="12"/>
  <c r="D256" i="2"/>
  <c r="C254" i="2" s="1"/>
  <c r="C256" i="2" s="1"/>
  <c r="C237" i="2"/>
  <c r="G265" i="12" l="1"/>
  <c r="F265" i="12" s="1"/>
  <c r="H265" i="12" s="1"/>
  <c r="G266" i="12" l="1"/>
  <c r="F266" i="12" s="1"/>
  <c r="H266" i="12" s="1"/>
</calcChain>
</file>

<file path=xl/sharedStrings.xml><?xml version="1.0" encoding="utf-8"?>
<sst xmlns="http://schemas.openxmlformats.org/spreadsheetml/2006/main" count="3870" uniqueCount="2341">
  <si>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</si>
  <si>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</si>
  <si>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</si>
  <si>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</si>
  <si>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</si>
  <si>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</si>
  <si>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</si>
  <si>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</si>
  <si>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</si>
  <si>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</si>
  <si>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</si>
  <si>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</si>
  <si>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</si>
  <si>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</si>
  <si>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</si>
  <si>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</si>
  <si>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</si>
  <si>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</si>
  <si>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</si>
  <si>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</si>
  <si>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</si>
  <si>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</si>
  <si>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</si>
  <si>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</si>
  <si>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</si>
  <si>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</si>
  <si>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</si>
  <si>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</si>
  <si>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</si>
  <si>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</si>
  <si>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</si>
  <si>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</si>
  <si>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</si>
  <si>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</si>
  <si>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</si>
  <si>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</si>
  <si>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</si>
  <si>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</si>
  <si>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</si>
  <si>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</si>
  <si>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</si>
  <si>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</si>
  <si>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</si>
  <si>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</si>
  <si>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</si>
  <si>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</si>
  <si>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</si>
  <si>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</si>
  <si>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</si>
  <si>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</si>
  <si>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</si>
  <si>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</si>
  <si>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</si>
  <si>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</si>
  <si>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</si>
  <si>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</si>
  <si>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</si>
  <si>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</si>
  <si>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</si>
  <si>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</si>
  <si>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</si>
  <si>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</si>
  <si>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</si>
  <si>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</si>
  <si>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</si>
  <si>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</si>
  <si>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</si>
  <si>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</si>
  <si>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</si>
  <si>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</si>
  <si>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</si>
  <si>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</si>
  <si>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</si>
  <si>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</si>
  <si>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</si>
  <si>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</si>
  <si>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</si>
  <si>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</si>
  <si>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</si>
  <si>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</si>
  <si>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</si>
  <si>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</si>
  <si>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</si>
  <si>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</si>
  <si>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</si>
  <si>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</si>
  <si>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</si>
  <si>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</si>
  <si>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</si>
  <si>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</si>
  <si>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</si>
  <si>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</si>
  <si>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</si>
  <si>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</si>
  <si>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</si>
  <si>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</si>
  <si>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</si>
  <si>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</si>
  <si>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</si>
  <si>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</si>
  <si>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</si>
  <si>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</si>
  <si>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</si>
  <si>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</si>
  <si>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</si>
  <si>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</si>
  <si>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</si>
  <si>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</si>
  <si>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</si>
  <si>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</si>
  <si>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</si>
  <si>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</si>
  <si>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</si>
  <si>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</si>
  <si>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</si>
  <si>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</si>
  <si>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</si>
  <si>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</si>
  <si>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</si>
  <si>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</si>
  <si>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</si>
  <si>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</si>
  <si>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</si>
  <si>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</si>
  <si>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</si>
  <si>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</si>
  <si>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</si>
  <si>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</si>
  <si>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</si>
  <si>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</si>
  <si>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</si>
  <si>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</si>
  <si>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</si>
  <si>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</si>
  <si>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</si>
  <si>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</si>
  <si>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</si>
  <si>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</si>
  <si>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</si>
  <si>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</si>
  <si>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</si>
  <si>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</si>
  <si>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</si>
  <si>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</si>
  <si>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</si>
  <si>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</si>
  <si>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</si>
  <si>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</si>
  <si>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</si>
  <si>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</si>
  <si>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</si>
  <si>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</si>
  <si>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</si>
  <si>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</si>
  <si>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</si>
  <si>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</si>
  <si>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</si>
  <si>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</si>
  <si>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</si>
  <si>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</si>
  <si>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</si>
  <si>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</si>
  <si>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</si>
  <si>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</si>
  <si>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</si>
  <si>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</si>
  <si>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</si>
  <si>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</si>
  <si>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</si>
  <si>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</si>
  <si>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</si>
  <si>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</si>
  <si>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</si>
  <si>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</si>
  <si>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</si>
  <si>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</si>
  <si>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</si>
  <si>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</si>
  <si>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</si>
  <si>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</si>
  <si>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</si>
  <si>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</si>
  <si>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</si>
  <si>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</si>
  <si>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</si>
  <si>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</si>
  <si>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</si>
  <si>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</si>
  <si>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</si>
  <si>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</si>
  <si>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</si>
  <si>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</si>
  <si>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</si>
  <si>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</si>
  <si>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</si>
  <si>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</si>
  <si>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</si>
  <si>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</si>
  <si>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</si>
  <si>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</si>
  <si>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</si>
  <si>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</si>
  <si>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</si>
  <si>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</si>
  <si>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</si>
  <si>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</si>
  <si>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</si>
  <si>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</si>
  <si>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</si>
  <si>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</si>
  <si>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</si>
  <si>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</si>
  <si>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</si>
  <si>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</si>
  <si>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</si>
  <si>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</si>
  <si>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</si>
  <si>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</si>
  <si>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</si>
  <si>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</si>
  <si>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</si>
  <si>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</si>
  <si>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</si>
  <si>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</si>
  <si>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</si>
  <si>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</si>
  <si>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</si>
  <si>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</si>
  <si>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</si>
  <si>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</si>
  <si>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</si>
  <si>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</si>
  <si>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</si>
  <si>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</si>
  <si>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</si>
  <si>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</si>
  <si>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</si>
  <si>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</si>
  <si>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</si>
  <si>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</si>
  <si>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</si>
  <si>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</si>
  <si>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</si>
  <si>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</si>
  <si>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</si>
  <si>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</si>
  <si>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</si>
  <si>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</si>
  <si>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</si>
  <si>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</si>
  <si>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</si>
  <si>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</si>
  <si>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</si>
  <si>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</si>
  <si>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</si>
  <si>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</si>
  <si>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</si>
  <si>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</si>
  <si>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</si>
  <si>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</si>
  <si>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</si>
  <si>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</si>
  <si>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</si>
  <si>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</si>
  <si>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</si>
  <si>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</si>
  <si>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</si>
  <si>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</si>
  <si>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</si>
  <si>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</si>
  <si>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</si>
  <si>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</si>
  <si>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</si>
  <si>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</si>
  <si>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</si>
  <si>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</si>
  <si>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</si>
  <si>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</si>
  <si>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</si>
  <si>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</si>
  <si>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</si>
  <si>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</si>
  <si>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</si>
  <si>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</si>
  <si>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</si>
  <si>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</si>
  <si>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</si>
  <si>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</si>
  <si>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</si>
  <si>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</si>
  <si>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</si>
  <si>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</si>
  <si>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</si>
  <si>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</si>
  <si>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</si>
  <si>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</si>
  <si>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</si>
  <si>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</si>
  <si>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</si>
  <si>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</si>
  <si>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</si>
  <si>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</si>
  <si>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</si>
  <si>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</si>
  <si>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</si>
  <si>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</si>
  <si>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</si>
  <si>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</si>
  <si>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</si>
  <si>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</si>
  <si>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</si>
  <si>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</si>
  <si>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</si>
  <si>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</si>
  <si>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</si>
  <si>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</si>
  <si>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</si>
  <si>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</si>
  <si>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</si>
  <si>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</si>
  <si>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</si>
  <si>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</si>
  <si>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</si>
  <si>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</si>
  <si>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</si>
  <si>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</si>
  <si>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</si>
  <si>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</si>
  <si>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</si>
  <si>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</si>
  <si>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</si>
  <si>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</si>
  <si>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</si>
  <si>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</si>
  <si>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</si>
  <si>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</si>
  <si>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</si>
  <si>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</si>
  <si>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</si>
  <si>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</si>
  <si>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</si>
  <si>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</si>
  <si>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</si>
  <si>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</si>
  <si>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</si>
  <si>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</si>
  <si>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</si>
  <si>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</si>
  <si>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</si>
  <si>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</si>
  <si>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</si>
  <si>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</si>
  <si>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</si>
  <si>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</si>
  <si>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</si>
  <si>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</si>
  <si>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</si>
  <si>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</si>
  <si>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</si>
  <si>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</si>
  <si>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</si>
  <si>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</si>
  <si>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</si>
  <si>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</si>
  <si>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</si>
  <si>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</si>
  <si>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</si>
  <si>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</si>
  <si>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</si>
  <si>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</si>
  <si>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</si>
  <si>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</si>
  <si>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</si>
  <si>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</si>
  <si>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</si>
  <si>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</si>
  <si>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</si>
  <si>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</si>
  <si>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</si>
  <si>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</si>
  <si>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</si>
  <si>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</si>
  <si>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</si>
  <si>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</si>
  <si>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</si>
  <si>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</si>
  <si>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</si>
  <si>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</si>
  <si>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</si>
  <si>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</si>
  <si>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</si>
  <si>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</si>
  <si>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</si>
  <si>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</si>
  <si>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</si>
  <si>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</si>
  <si>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</si>
  <si>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</si>
  <si>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</si>
  <si>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</si>
  <si>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</si>
  <si>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</si>
  <si>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</si>
  <si>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</si>
  <si>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</si>
  <si>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</si>
  <si>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</si>
  <si>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</si>
  <si>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</si>
  <si>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</si>
  <si>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</si>
  <si>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</si>
  <si>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</si>
  <si>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</si>
  <si>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</si>
  <si>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</si>
  <si>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</si>
  <si>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</si>
  <si>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</si>
  <si>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</si>
  <si>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</si>
  <si>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</si>
  <si>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</si>
  <si>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</si>
  <si>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</si>
  <si>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</si>
  <si>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</si>
  <si>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</si>
  <si>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</si>
  <si>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</si>
  <si>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</si>
  <si>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</si>
  <si>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</si>
  <si>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</si>
  <si>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</si>
  <si>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</si>
  <si>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</si>
  <si>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</si>
  <si>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</si>
  <si>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</si>
  <si>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</si>
  <si>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</si>
  <si>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</si>
  <si>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</si>
  <si>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</si>
  <si>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</si>
  <si>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</si>
  <si>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</si>
  <si>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</si>
  <si>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</si>
  <si>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</si>
  <si>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</si>
  <si>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</si>
  <si>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</si>
  <si>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</si>
  <si>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</si>
  <si>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</si>
  <si>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</si>
  <si>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</si>
  <si>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</si>
  <si>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</si>
  <si>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</si>
  <si>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</si>
  <si>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</si>
  <si>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</si>
  <si>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</si>
  <si>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</si>
  <si>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</si>
  <si>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</si>
  <si>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</si>
  <si>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</si>
  <si>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</si>
  <si>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</si>
  <si>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</si>
  <si>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</si>
  <si>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</si>
  <si>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</si>
  <si>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</si>
  <si>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</si>
  <si>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</si>
  <si>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</si>
  <si>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</si>
  <si>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</si>
  <si>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</si>
  <si>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</si>
  <si>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</si>
  <si>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</si>
  <si>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</si>
  <si>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</si>
  <si>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</si>
  <si>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</si>
  <si>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</si>
  <si>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</si>
  <si>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</si>
  <si>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</si>
  <si>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</si>
  <si>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</si>
  <si>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</si>
  <si>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</si>
  <si>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</si>
  <si>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</si>
  <si>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</si>
  <si>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</si>
  <si>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</si>
  <si>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</si>
  <si>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</si>
  <si>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</si>
  <si>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</si>
  <si>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</si>
  <si>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</si>
  <si>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</si>
  <si>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</si>
  <si>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</si>
  <si>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</si>
  <si>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</si>
  <si>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</si>
  <si>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</si>
  <si>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</si>
  <si>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</si>
  <si>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</si>
  <si>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</si>
  <si>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</si>
  <si>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</si>
  <si>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</si>
  <si>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</si>
  <si>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</si>
  <si>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</si>
  <si>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</si>
  <si>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</si>
  <si>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</si>
  <si>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</si>
  <si>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</si>
  <si>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</si>
  <si>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</si>
  <si>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</si>
  <si>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</si>
  <si>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</si>
  <si>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</si>
  <si>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</si>
  <si>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</si>
  <si>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</si>
  <si>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</si>
  <si>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</si>
  <si>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</si>
  <si>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</si>
  <si>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</si>
  <si>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</si>
  <si>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</si>
  <si>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</si>
  <si>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</si>
  <si>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</si>
  <si>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</si>
  <si>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</si>
  <si>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</si>
  <si>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</si>
  <si>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</si>
  <si>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</si>
  <si>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</si>
  <si>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</si>
  <si>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</si>
  <si>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</si>
  <si>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</si>
  <si>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</si>
  <si>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</si>
  <si>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</si>
  <si>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</si>
  <si>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</si>
  <si>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</si>
  <si>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</si>
  <si>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</si>
  <si>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</si>
  <si>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</si>
  <si>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</si>
  <si>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</si>
  <si>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</si>
  <si>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</si>
  <si>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</si>
  <si>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</si>
  <si>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</si>
  <si>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</si>
  <si>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</si>
  <si>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</si>
  <si>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</si>
  <si>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</si>
  <si>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</si>
  <si>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</si>
  <si>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</si>
  <si>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</si>
  <si>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</si>
  <si>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</si>
  <si>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</si>
  <si>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</si>
  <si>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</si>
  <si>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</si>
  <si>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</si>
  <si>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</si>
  <si>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</si>
  <si>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</si>
  <si>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</si>
  <si>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</si>
  <si>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</si>
  <si>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</si>
  <si>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</si>
  <si>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</si>
  <si>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</si>
  <si>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</si>
  <si>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</si>
  <si>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</si>
  <si>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</si>
  <si>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</si>
  <si>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</si>
  <si>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</si>
  <si>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</si>
  <si>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</si>
  <si>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</si>
  <si>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</si>
  <si>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</si>
  <si>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</si>
  <si>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</si>
  <si>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</si>
  <si>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</si>
  <si>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</si>
  <si>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</si>
  <si>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</si>
  <si>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</si>
  <si>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</si>
  <si>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</si>
  <si>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</si>
  <si>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</si>
  <si>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</si>
  <si>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</si>
  <si>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</si>
  <si>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</si>
  <si>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</si>
  <si>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</si>
  <si>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</si>
  <si>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</si>
  <si>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</si>
  <si>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</si>
  <si>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</si>
  <si>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</si>
  <si>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</si>
  <si>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</si>
  <si>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</si>
  <si>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</si>
  <si>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</si>
  <si>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</si>
  <si>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</si>
  <si>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</si>
  <si>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</si>
  <si>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</si>
  <si>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</si>
  <si>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</si>
  <si>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</si>
  <si>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</si>
  <si>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</si>
  <si>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</si>
  <si>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</si>
  <si>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</si>
  <si>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</si>
  <si>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</si>
  <si>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</si>
  <si>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</si>
  <si>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</si>
  <si>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</si>
  <si>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</si>
  <si>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</si>
  <si>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</si>
  <si>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</si>
  <si>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</si>
  <si>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</si>
  <si>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</si>
  <si>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</si>
  <si>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</si>
  <si>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</si>
  <si>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</si>
  <si>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</si>
  <si>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</si>
  <si>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</si>
  <si>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</si>
  <si>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</si>
  <si>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</si>
  <si>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</si>
  <si>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</si>
  <si>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</si>
  <si>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</si>
  <si>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</si>
  <si>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</si>
  <si>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</si>
  <si>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</si>
  <si>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</si>
  <si>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</si>
  <si>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</si>
  <si>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</si>
  <si>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</si>
  <si>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</si>
  <si>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</si>
  <si>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</si>
  <si>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</si>
  <si>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</si>
  <si>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</si>
  <si>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</si>
  <si>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</si>
  <si>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</si>
  <si>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</si>
  <si>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</si>
  <si>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</si>
  <si>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</si>
  <si>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</si>
  <si>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</si>
  <si>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</si>
  <si>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</si>
  <si>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</si>
  <si>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</si>
  <si>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</si>
  <si>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</si>
  <si>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</si>
  <si>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</si>
  <si>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</si>
  <si>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</si>
  <si>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</si>
  <si>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</si>
  <si>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</si>
  <si>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</si>
  <si>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</si>
  <si>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</si>
  <si>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</si>
  <si>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</si>
  <si>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</si>
  <si>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</si>
  <si>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</si>
  <si>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</si>
  <si>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</si>
  <si>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</si>
  <si>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</si>
  <si>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</si>
  <si>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</si>
  <si>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</si>
  <si>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</si>
  <si>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</si>
  <si>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</si>
  <si>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</si>
  <si>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</si>
  <si>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</si>
  <si>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</si>
  <si>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</si>
  <si>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</si>
  <si>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</si>
  <si>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</si>
  <si>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</si>
  <si>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</si>
  <si>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</si>
  <si>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</si>
  <si>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</si>
  <si>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</si>
  <si>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</si>
  <si>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</si>
  <si>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</si>
  <si>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</si>
  <si>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</si>
  <si>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</si>
  <si>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</si>
  <si>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</si>
  <si>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</si>
  <si>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</si>
  <si>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</si>
  <si>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</si>
  <si>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</si>
  <si>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</si>
  <si>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</si>
  <si>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</si>
  <si>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</si>
  <si>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</si>
  <si>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</si>
  <si>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</si>
  <si>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</si>
  <si>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</si>
  <si>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</si>
  <si>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</si>
  <si>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</si>
  <si>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</si>
  <si>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</si>
  <si>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</si>
  <si>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</si>
  <si>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</si>
  <si>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</si>
  <si>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</si>
  <si>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</si>
  <si>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</si>
  <si>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</si>
  <si>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</si>
  <si>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</si>
  <si>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</si>
  <si>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</si>
  <si>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</si>
  <si>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</si>
  <si>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</si>
  <si>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</si>
  <si>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</si>
  <si>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</si>
  <si>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</si>
  <si>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</si>
  <si>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</si>
  <si>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</si>
  <si>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</si>
  <si>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</si>
  <si>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</si>
  <si>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</si>
  <si>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</si>
  <si>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</si>
  <si>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</si>
  <si>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</si>
  <si>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</si>
  <si>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</si>
  <si>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</si>
  <si>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</si>
  <si>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</si>
  <si>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</si>
  <si>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</si>
  <si>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</si>
  <si>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</si>
  <si>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</si>
  <si>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</si>
  <si>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</si>
  <si>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</si>
  <si>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</si>
  <si>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</si>
  <si>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</si>
  <si>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</si>
  <si>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</si>
  <si>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</si>
  <si>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</si>
  <si>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</si>
  <si>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</si>
  <si>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</si>
  <si>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</si>
  <si>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</si>
  <si>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</si>
  <si>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</si>
  <si>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</si>
  <si>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</si>
  <si>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</si>
  <si>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</si>
  <si>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</si>
  <si>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</si>
  <si>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</si>
  <si>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</si>
  <si>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</si>
  <si>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</si>
  <si>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</si>
  <si>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</si>
  <si>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</si>
  <si>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</si>
  <si>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</si>
  <si>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</si>
  <si>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</si>
  <si>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</si>
  <si>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</si>
  <si>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</si>
  <si>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</si>
  <si>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</si>
  <si>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</si>
  <si>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</si>
  <si>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</si>
  <si>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</si>
  <si>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</si>
  <si>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</si>
  <si>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</si>
  <si>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</si>
  <si>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</si>
  <si>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</si>
  <si>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</si>
  <si>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</si>
  <si>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</si>
  <si>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</si>
  <si>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</si>
  <si>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</si>
  <si>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</si>
  <si>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</si>
  <si>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</si>
  <si>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</si>
  <si>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</si>
  <si>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</si>
  <si>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</si>
  <si>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</si>
  <si>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</si>
  <si>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</si>
  <si>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</si>
  <si>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</si>
  <si>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</si>
  <si>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</si>
  <si>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</si>
  <si>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</si>
  <si>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</si>
  <si>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</si>
  <si>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</si>
  <si>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</si>
  <si>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</si>
  <si>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</si>
  <si>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</si>
  <si>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</si>
  <si>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</si>
  <si>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</si>
  <si>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</si>
  <si>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</si>
  <si>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</si>
  <si>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</si>
  <si>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</si>
  <si>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</si>
  <si>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</si>
  <si>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</si>
  <si>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</si>
  <si>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</si>
  <si>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</si>
  <si>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</si>
  <si>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</si>
  <si>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</si>
  <si>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</si>
  <si>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</si>
  <si>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</si>
  <si>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</si>
  <si>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</si>
  <si>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</si>
  <si>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</si>
  <si>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</si>
  <si>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</si>
  <si>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</si>
  <si>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</si>
  <si>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</si>
  <si>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</si>
  <si>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</si>
  <si>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</si>
  <si>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</si>
  <si>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</si>
  <si>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</si>
  <si>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</si>
  <si>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</si>
  <si>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</si>
  <si>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</si>
  <si>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</si>
  <si>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</si>
  <si>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</si>
  <si>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</si>
  <si>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</si>
  <si>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</si>
  <si>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</si>
  <si>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</si>
  <si>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</si>
  <si>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</si>
  <si>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</si>
  <si>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 xml:space="preserve">אך ברוב המקרים קיבלתי את נתוניה כחלק מהעסקה. </t>
  </si>
  <si>
    <t>באופן כללי - ריבית אפקטיבית היא הריבית ה״אמיתית״ או ה״כוללת״ בעסקה.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</si>
  <si>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</si>
  <si>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</si>
  <si>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</si>
  <si>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</si>
  <si>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משה הפקיד בפקדון סכום של 100 ש״ח לשנה.</t>
  </si>
  <si>
    <t xml:space="preserve">א. מהו הסכום הכולל שמשה יקבל בתום השנה. 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</si>
  <si>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</si>
  <si>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</si>
  <si>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</si>
  <si>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</si>
  <si>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</si>
  <si>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</si>
  <si>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</si>
  <si>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</si>
  <si>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</si>
  <si>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</si>
  <si>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</si>
  <si>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</si>
  <si>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</si>
  <si>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</si>
  <si>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</si>
  <si>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</si>
  <si>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</si>
  <si>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</si>
  <si>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</si>
  <si>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</si>
  <si>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</si>
  <si>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</si>
  <si>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</si>
  <si>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</si>
  <si>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</si>
  <si>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</si>
  <si>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</si>
  <si>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</si>
  <si>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</si>
  <si>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</si>
  <si>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</si>
  <si>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</si>
  <si>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</si>
  <si>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</si>
  <si>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</si>
  <si>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</si>
  <si>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</si>
  <si>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</si>
  <si>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</si>
  <si>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</si>
  <si>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</si>
  <si>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</si>
  <si>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</si>
  <si>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</si>
  <si>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</si>
  <si>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</si>
  <si>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</si>
  <si>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</si>
  <si>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</si>
  <si>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</si>
  <si>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</si>
  <si>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</si>
  <si>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</si>
  <si>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</si>
  <si>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</si>
  <si>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</si>
  <si>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</si>
  <si>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</si>
  <si>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</si>
  <si>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</si>
  <si>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</si>
  <si>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</si>
  <si>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</si>
  <si>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</si>
  <si>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</si>
  <si>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</si>
  <si>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</si>
  <si>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</si>
  <si>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</si>
  <si>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</si>
  <si>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</si>
  <si>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</si>
  <si>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</si>
  <si>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</si>
  <si>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</si>
  <si>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</si>
  <si>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</si>
  <si>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</si>
  <si>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</si>
  <si>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</si>
  <si>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</si>
  <si>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</si>
  <si>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</si>
  <si>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</si>
  <si>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</si>
  <si>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</si>
  <si>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</si>
  <si>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</si>
  <si>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</si>
  <si>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</si>
  <si>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</si>
  <si>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</si>
  <si>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</si>
  <si>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</si>
  <si>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</si>
  <si>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</si>
  <si>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</si>
  <si>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</si>
  <si>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</si>
  <si>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</si>
  <si>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</si>
  <si>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</si>
  <si>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</si>
  <si>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</si>
  <si>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</si>
  <si>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</si>
  <si>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</si>
  <si>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</si>
  <si>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</si>
  <si>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>ראשית, נושאים שנותרו עד לסיום הסמסטר:</t>
  </si>
  <si>
    <t>מפגש 9</t>
  </si>
  <si>
    <t>מפגש 10</t>
  </si>
  <si>
    <t>קריטריונים לבחינת כדאיות השקעות</t>
  </si>
  <si>
    <t>מפגש 11</t>
  </si>
  <si>
    <t>שיעור ״שוטף״ אחרון</t>
  </si>
  <si>
    <t>מפגש 12</t>
  </si>
  <si>
    <t>חזרה - פתרון בחינה לדוגמא</t>
  </si>
  <si>
    <t xml:space="preserve">אינפלציה - ריבית נומינלית, ריאלית והצמדת לוחות </t>
  </si>
  <si>
    <t>המפגש הנוכחי</t>
  </si>
  <si>
    <t>שבוע הבא</t>
  </si>
  <si>
    <t>תזרימי מזומנים (הבסיס) והצגת מבנה הבחינה ודגשים</t>
  </si>
  <si>
    <t>הנושא המרכזי של המפגש - הלוואות - בהקשר ללוחות סילוקין מפורטים, והצמדה למדד (אינפלציה)</t>
  </si>
  <si>
    <t xml:space="preserve">נתחיל מדיון לגבי ״לוחות סילוקין מפורטים״. </t>
  </si>
  <si>
    <t xml:space="preserve">לוחות סילוקין = טבלאות שעוזרות לנו לגלות בהקשר להלוואות מסוגים מסוימים - </t>
  </si>
  <si>
    <t xml:space="preserve">א. כמה מחזירים בסך הכל כל תקופה (בדרך כלל - כל חודש). </t>
  </si>
  <si>
    <t xml:space="preserve">ב. איזה חלק מההחזר הוא בגין (על חשבון) ריבית. </t>
  </si>
  <si>
    <t xml:space="preserve">ג. איזה חלק מההחזר הוא בגין (על חשבון) קרן. </t>
  </si>
  <si>
    <t>יש מגוון רחב של לוחות סילוקין, אנו נתמקד בשניים:</t>
  </si>
  <si>
    <t xml:space="preserve">א. לוח סילוקין ״רגיל״ = ״החזרי קרן שווים״. </t>
  </si>
  <si>
    <t xml:space="preserve">ב. לוח סילוקין ״שפיצר״ = ״החזרים שווים״. </t>
  </si>
  <si>
    <t>תרגיל הדגמה ראשוני - לוחות סילוקין בסיסיים - שפיצר ורגיל</t>
  </si>
  <si>
    <t xml:space="preserve">פדילה שוקל ליטול הלוואה בסך 400,000 ש״ח לתקופה של 5 שנים. </t>
  </si>
  <si>
    <t xml:space="preserve">ההלוואה תוחזר ב-5 תשלומים שנתיים. </t>
  </si>
  <si>
    <t>הריבית השנתית: 10%.</t>
  </si>
  <si>
    <t xml:space="preserve">נדרש: </t>
  </si>
  <si>
    <t>א. הציגו לוח סילוקין ״רגיל״ בגין ההלוואה.</t>
  </si>
  <si>
    <t xml:space="preserve">ב. הציגו לוח סילוקין ״שפיצר״ בגין ההלוואה. </t>
  </si>
  <si>
    <t>לוח סילוקין ״רגיל״</t>
  </si>
  <si>
    <t>מס׳ תשלום</t>
  </si>
  <si>
    <t>ע״ח קרן</t>
  </si>
  <si>
    <t>ע״ח ריבית</t>
  </si>
  <si>
    <t>לוח סילוקין ״שפיצר״</t>
  </si>
  <si>
    <t xml:space="preserve">שלב 1 לוח רגיל: </t>
  </si>
  <si>
    <t>400,000 / 5 = 80,000</t>
  </si>
  <si>
    <t>שלב 2 לוח רגיל: בגין כל תשלום, הוקטנה היתרה ב-80,000.</t>
  </si>
  <si>
    <t>שלב 3 לוח רגיל: בגין כל תשלום, הריבית היא המכפלה</t>
  </si>
  <si>
    <t>של היתרה הקודמת באחוז הריבית, למשל:</t>
  </si>
  <si>
    <t>ריבית שנה 1:</t>
  </si>
  <si>
    <t>400,000 * 10% = 40,000</t>
  </si>
  <si>
    <t>ריבית שנה 2:</t>
  </si>
  <si>
    <t>320,000 * 10% = 32,000</t>
  </si>
  <si>
    <t>שלב 1:</t>
  </si>
  <si>
    <t>Set:</t>
  </si>
  <si>
    <t>שלב 2:</t>
  </si>
  <si>
    <t>בכל תקופה - הסכום ע״ח ריבית מכפלת</t>
  </si>
  <si>
    <t>היתרה לתקופה קודמת ב-% הריבית</t>
  </si>
  <si>
    <t>שלב 3:</t>
  </si>
  <si>
    <t>התשלום ע״ח קרן הוא ה-PMT (בערך מוחלט)</t>
  </si>
  <si>
    <t>בניכוי התשלום ע״ח ריבית</t>
  </si>
  <si>
    <t>תשלום ע״ח קרן זמן 1:</t>
  </si>
  <si>
    <t>105,518.99 - 40,000 = 65,519</t>
  </si>
  <si>
    <t>יתרה (הקרן)</t>
  </si>
  <si>
    <t>היתרה (יתרת הקרן) היא לפי היתרה הקודמת, בניכוי</t>
  </si>
  <si>
    <t xml:space="preserve">התשלום ע״ח הקרן. </t>
  </si>
  <si>
    <t>תרגיל הדגמה נוסף לקיצור דרך בלוח שפיצר - שימוש בפונקציית AMRT</t>
  </si>
  <si>
    <t xml:space="preserve">שירי שוקלת לרכוש מכונה ענקית לחימום נקניק לעובדי המשרד. </t>
  </si>
  <si>
    <t xml:space="preserve">לשם כך בכוונתה ליטול הלוואה בסך 500,000 ש״ח ל-20 שנים, המסולקת בתשלומים חודשיים שווים (לוח שפיצר). </t>
  </si>
  <si>
    <t>בהנחה שהריבית החודשית 1%, נדרש:</t>
  </si>
  <si>
    <t>א. מהו התשלום החודשי הקבוע?</t>
  </si>
  <si>
    <t>ב. מהי יתרת ההלוואה בתום השנה ה-14?</t>
  </si>
  <si>
    <t>ג. מהי הריבית המשולמת בתשלום ה-127?</t>
  </si>
  <si>
    <t>ד. מהם סך תשלומי הריבית בשנה ה-8?</t>
  </si>
  <si>
    <t>מדובר בהלוואת שפיצר שכוללת מאות החזרים:</t>
  </si>
  <si>
    <t xml:space="preserve">20 * 12 = </t>
  </si>
  <si>
    <t xml:space="preserve">כמובן שלבנות טבלה עם 240 שורות כדי להציג את הלוח בשלמותו - זה לא ריאלי. </t>
  </si>
  <si>
    <t xml:space="preserve">ולכן נשתמש בקיצורי דרך במחשבון הפיננסי. </t>
  </si>
  <si>
    <t xml:space="preserve">הקיצורים בלוח שפיצר יישענו על פונקציית AMRT כפי שנגדיר עוד מעט. </t>
  </si>
  <si>
    <t>התשלום התקופתי הקבוע (חודשי, שנתי...) הוא ה-PMT. את ה-PMT מחלצים בלוח שפיצר עם CMPD:</t>
  </si>
  <si>
    <t>הלוואה מוחזרת בתשלומים חודשיים (כל חודש) במשך 20 שנה ולכן:</t>
  </si>
  <si>
    <t>שיעור הריבית החודשית הנתונה (אין צורך בהתאמה):</t>
  </si>
  <si>
    <t>סכום ההלוואה הנתון:</t>
  </si>
  <si>
    <t>ערך מחולץ - סך התשלום החודשי הקבוע:</t>
  </si>
  <si>
    <t xml:space="preserve">ניתן להפעיל רק לאחר שחולץ ה-PMT באמצעות CMPD. </t>
  </si>
  <si>
    <t>AMRT</t>
  </si>
  <si>
    <t>PM1:</t>
  </si>
  <si>
    <t>PM2:</t>
  </si>
  <si>
    <t xml:space="preserve">צריך להזין את מספר התשלום שעליו מדברים בשני המקומות הללו. </t>
  </si>
  <si>
    <t>בתום השנה ה-14 מס׳ התשלומים שבוצעו:</t>
  </si>
  <si>
    <t xml:space="preserve">14 * 12 = </t>
  </si>
  <si>
    <t>BAL</t>
  </si>
  <si>
    <t>גוללים עד שמגיעים ל-BAL מלשון BALANCE כלומר יתרה</t>
  </si>
  <si>
    <r>
      <t xml:space="preserve">הדרך המהירה ביותר לחשב יתרת הלוואה למועד מסוים היא על ידי פונקציית </t>
    </r>
    <r>
      <rPr>
        <b/>
        <sz val="12"/>
        <color theme="1"/>
        <rFont val="David"/>
        <family val="2"/>
        <charset val="177"/>
      </rPr>
      <t>AMRT</t>
    </r>
    <r>
      <rPr>
        <sz val="12"/>
        <color theme="1"/>
        <rFont val="David"/>
        <family val="2"/>
        <charset val="177"/>
      </rPr>
      <t>. את הפונקציה הזו</t>
    </r>
  </si>
  <si>
    <t>INT</t>
  </si>
  <si>
    <t>מספר התשלום הספציפי שעליו שואלים - הפעם נתון:</t>
  </si>
  <si>
    <t>גוללים עד שמגיעים ל-INT מלשון Interest כלומר תשלום ריבית</t>
  </si>
  <si>
    <t>סך תשלומי הריבית בשנה ה-8:</t>
  </si>
  <si>
    <t>סוף שנה 7:</t>
  </si>
  <si>
    <t>סוף שנה 8:</t>
  </si>
  <si>
    <t>אני מתעניין בתשלומי הריבית מזמן 85 (החודש הראשון של שנה 8)</t>
  </si>
  <si>
    <t>עד לזמן 96 (החודש האחרון של שנה 8).</t>
  </si>
  <si>
    <t xml:space="preserve">הסימון </t>
  </si>
  <si>
    <t xml:space="preserve">מסמל את סיכום (סיגמא = סיכום = ∑) של תשלומי הריבית בטווח הנדון. </t>
  </si>
  <si>
    <t>תרגיל הדגמה נוסף לקיצור דרך בלוח שפיצר - שימוש בפונקציית AMRT - תרגול כיתה</t>
  </si>
  <si>
    <t xml:space="preserve">ד״ר צבאן שוקל לרכוש מכונה ענקית לחימום נקניק לעובדי המשרד. </t>
  </si>
  <si>
    <t xml:space="preserve">לשם כך בכוונתו ליטול הלוואה בסך 400,000 ש״ח ל-15 שנים, המסולקת בתשלומים חודשיים שווים (לוח שפיצר). </t>
  </si>
  <si>
    <t>בהנחה שהריבית השנתית 10%, נדרש:</t>
  </si>
  <si>
    <t>ב. מהי יתרת ההלוואה בתום השנה ה-6?</t>
  </si>
  <si>
    <t>ג. מהי הריבית המשולמת בתשלום ה-78?</t>
  </si>
  <si>
    <t>ד. מהם סך תשלומי הריבית בשנה ה-1?</t>
  </si>
  <si>
    <t xml:space="preserve"> n</t>
  </si>
  <si>
    <t>Solve INT</t>
  </si>
  <si>
    <t>Solve BAL</t>
  </si>
  <si>
    <t>ד</t>
  </si>
  <si>
    <t xml:space="preserve">Solve </t>
  </si>
  <si>
    <t>תרגיל וסוגיה נוספת ואחרונה בשפיצר - גישת המסלולים</t>
  </si>
  <si>
    <t xml:space="preserve">שיראל מעוניינת לרכוש מבנה לטובת חימום נקניק. </t>
  </si>
  <si>
    <t>עלות המבנה 1,000,000 ש״ח, והיא מעוניינת ליטול משכנתא (הלוואה) למימון 60% מעלות המבנה.</t>
  </si>
  <si>
    <t>את המשכנתא שיראל תיקח ב-2 מסלולים:</t>
  </si>
  <si>
    <t>מסלול א:</t>
  </si>
  <si>
    <t>מהמשכנתא</t>
  </si>
  <si>
    <t>בריבית פריים פלוס 0.5%</t>
  </si>
  <si>
    <t>מסלול ב:</t>
  </si>
  <si>
    <t>בריבית קבועה של 7%</t>
  </si>
  <si>
    <t xml:space="preserve">המשכנתא תפרע בתשלומים חודשיים שווים (לוח שפיצר) במשך 30 שנה. </t>
  </si>
  <si>
    <t xml:space="preserve">ב. חשבו את ה-PMT בכל אחד מהמסלולים. </t>
  </si>
  <si>
    <t>ד. מהם סך תשלומי הריבית שבוצעו במהלך 5 השנים הראשונות.</t>
  </si>
  <si>
    <t xml:space="preserve">ג. מהי יתרת ההלוואה (המשכנתא) לאחר 5 שנים. </t>
  </si>
  <si>
    <t xml:space="preserve">הדרכה: פצלו את ההלוואה ל-2 חלקים: חלק 1: מסלול א, חלק 2: מסלול ב. </t>
  </si>
  <si>
    <t xml:space="preserve">חשבו את ה-BAL לאחר 5 שנים (60 תשלומים) של כל חלק בנפרד, וחברו. </t>
  </si>
  <si>
    <t>סה״כ:</t>
  </si>
  <si>
    <t xml:space="preserve">PMT(א)+PMT(ב) = </t>
  </si>
  <si>
    <t>א. חפשו בגוגל מהי ״ריבית הפריים היום״. בהתבסס עליה חשבו את הריבית השנתית במסלול א (תשובה: פריים = 6%, פריים + 0.5% = 6.5%)</t>
  </si>
  <si>
    <t>פתרון סעיף ב</t>
  </si>
  <si>
    <t>פתרון סעיף ג</t>
  </si>
  <si>
    <t>PM1</t>
  </si>
  <si>
    <t>PM2</t>
  </si>
  <si>
    <t xml:space="preserve">BAL(א)+BAL(ב) = </t>
  </si>
  <si>
    <t>פתרון סעיף ד</t>
  </si>
  <si>
    <t xml:space="preserve">חשבו את סך תשלומי הריבית ב- 5 השנים (תשלומים 1-60) של כל חלק בנפרד, וחברו. </t>
  </si>
  <si>
    <t>????</t>
  </si>
  <si>
    <t>???</t>
  </si>
  <si>
    <t xml:space="preserve">לוחות סילוקין וחילוץ ערכים </t>
  </si>
  <si>
    <t>הצמדה ואינפלציה, קריטריונים לבחינת כדאיות השקעות</t>
  </si>
  <si>
    <t>שבוע שעבר</t>
  </si>
  <si>
    <t>השבוע</t>
  </si>
  <si>
    <t>מפגש 10 - יסודות המימון א - אינפלציה (הצמדת לוחות סילוקין) וכדאיות השקעות - הבסיס</t>
  </si>
  <si>
    <t>מיני רציונל - הלוואות שפיצר (המשך של השיעור הקודם) + השפעות אינפלציה (הצמדה למדד)</t>
  </si>
  <si>
    <t xml:space="preserve">עליית מחירים היא אחד מהנושאים הכי כואבים בקיום הכלכלי שלנו. </t>
  </si>
  <si>
    <t xml:space="preserve">אתם לא מכירים את זה, כי אתם בני 6, אבל אני זוכר תקופה שבה ליטר דלק עלה 2.80. </t>
  </si>
  <si>
    <t>אני גם זוכר תקופה שבה לאפה עלתה 27 ש״ח.</t>
  </si>
  <si>
    <t>כמובן שזה לא דומה בכלל למחירים היום.</t>
  </si>
  <si>
    <t>במלים אחרות - אם אני משקיע או מלווה כסף - כדי לדעת מה הריבית שאדרוש, אני צריך לקחת בחשבון</t>
  </si>
  <si>
    <t xml:space="preserve">גם את עליית המחירים. </t>
  </si>
  <si>
    <t xml:space="preserve">המחשה: נניח שהלוויתי למשה כסף - 100 ש״ח, לשנה, בריבית 10%. הוא מחזיר לי אחרי שנה 110. </t>
  </si>
  <si>
    <t xml:space="preserve">אם במהלך אותה שנה המחירים עלו ב-20%: הפסדתי. </t>
  </si>
  <si>
    <t>לכן, מלווים ומשקיעים רבים מעוניינים להגן על הכסף שלהם - בצורה של התקשרות שתבטיח שיקבלו גם את הרווח</t>
  </si>
  <si>
    <t xml:space="preserve">הבסיסי, וגם את עליית המחירים. </t>
  </si>
  <si>
    <t xml:space="preserve">המנגנון הזה - שמשרת משקיעים - וקובע שהם יקבלו עוד סכום מעבר לרווח הבסיסי במידה וחלה עליית מחירים כזו - </t>
  </si>
  <si>
    <t xml:space="preserve">נקרא ״הצמדה״. </t>
  </si>
  <si>
    <t>בשפה פשוטה: הלוואה צמודה / השקעה צמודה - הלוואה / השקעה שבה הסכום הכספי שיתקבל מותאם לעליית</t>
  </si>
  <si>
    <t xml:space="preserve">המחירים / למדד / לאינפלציה. </t>
  </si>
  <si>
    <t>שאלה 1 - הלוואת שפיצר צמודה למדד - שאלה בסיסית</t>
  </si>
  <si>
    <t>יחיא נטל הלוואה בסכום של 50,000 ש״ח לטובת רכישת מכונה לחימום נקניק. ההלוואה צמודה למדד ונושאת</t>
  </si>
  <si>
    <t xml:space="preserve">ריבית שנתית צמודה בשיעור 4% לשנה. ההלוואה נפרעת בתשלומים חודשיים שווים (לוח סילוקין שפיצר) </t>
  </si>
  <si>
    <t xml:space="preserve">במשך 5 שנים. </t>
  </si>
  <si>
    <t xml:space="preserve">בחלוף שנתיים בדיוק, זכה יחיא בלוטו, והוא מעוניין לפרוע את יתרת ההלוואה לאותו היום. </t>
  </si>
  <si>
    <t xml:space="preserve">אם ידוע שהמדד במועד נטילת ההלוואה הוא 104, והמדד בחלוף שנתיים הוא 108.5, מהו הסכום שאותו יצטרך </t>
  </si>
  <si>
    <t>יחיא לפרוע?</t>
  </si>
  <si>
    <t>כאשר אני נתקל בשאלה על הלוואה צמודה למדד, אפעל בשני שלבים:</t>
  </si>
  <si>
    <t xml:space="preserve">שלב 1: חישוב הערך הנדרש בהתעלם מההצמדה (CMPD + AMRT). </t>
  </si>
  <si>
    <t xml:space="preserve">שלב 2: ביצוע הצמדה למדד: כופלים את הערך לפני הצמדה ביחס בין המדד העדכני למדד הבסיס (במועד נטילת ההלוואה). </t>
  </si>
  <si>
    <t xml:space="preserve">((1+4%)^(1/12)-1)*100 = </t>
  </si>
  <si>
    <t>סכום ההלוואה, בסימן חיובי</t>
  </si>
  <si>
    <t xml:space="preserve">5 * 12 = </t>
  </si>
  <si>
    <t>אין כאן תשלום חד פעמי נוסף ״בסוף״</t>
  </si>
  <si>
    <t xml:space="preserve">שאלו על היתרה אחרי שנתיים, לכן, </t>
  </si>
  <si>
    <t>עליי להזין ב-PM ערך של 24 (כי שאלו</t>
  </si>
  <si>
    <t>על היתרה לאחר 24 תשלומים)</t>
  </si>
  <si>
    <t>היתרה (מעוגל לש״ח השלם הקרוב)</t>
  </si>
  <si>
    <t>שלב 1: חישוב יתרת ההלוואה רגע לפני הפדיון המוקדם - CMPD + AMRT: בהתעלם מההצמדה</t>
  </si>
  <si>
    <t>שלב 2: חישוב יתרת ההלוואה כולל הצמדה - על בסיס יתרת BAL לפני הצמדה, כפול היחס בין המדד העדכני לבין המדד במועד נטילת ההלוואה</t>
  </si>
  <si>
    <t xml:space="preserve">BAL(Zamud) = BAL * </t>
  </si>
  <si>
    <t>מדד עדכני</t>
  </si>
  <si>
    <t>מדד בסיסי</t>
  </si>
  <si>
    <t xml:space="preserve">BAL(Zamud) = 31,168 * </t>
  </si>
  <si>
    <t>כך שהיתרה לתשלום (יתרת החוב אחרי הצמדה) בחלוף שנתיים (באל זמוד) היא 32,517 ש״ח.</t>
  </si>
  <si>
    <t>שאלה 2 - הלוואת שפיצר צמודה למדד - שאלה בסיסית</t>
  </si>
  <si>
    <t>הבנק מציע לו שתי אפשרויות:</t>
  </si>
  <si>
    <t xml:space="preserve">א. הלוואה צמודה למדד, בריבית שנתית של 3%. </t>
  </si>
  <si>
    <t>ב. הלוואה שאיננה צמודה למדד בריבית שנתית של 8%.</t>
  </si>
  <si>
    <t xml:space="preserve">דור מעוניין ליטול הלוואה בסכום של 50,000 ש״ח לתקופה של 4 שנים, בהחזרים חודשיים שווים. </t>
  </si>
  <si>
    <t>מס׳ תשלומים כולל בהלוואה 4*12 = 48</t>
  </si>
  <si>
    <t>[(1 + 3%)^(1/12) - 1] * 100 =</t>
  </si>
  <si>
    <t>שאלו על היתרה אחרי שנה, כלומר אחרי</t>
  </si>
  <si>
    <t>כ-12 תשלומים</t>
  </si>
  <si>
    <t>לפני הצמדה!</t>
  </si>
  <si>
    <t xml:space="preserve">BAL(Zamud) = 38,048 * </t>
  </si>
  <si>
    <r>
      <rPr>
        <b/>
        <sz val="12"/>
        <color theme="1"/>
        <rFont val="David"/>
        <family val="2"/>
        <charset val="177"/>
      </rPr>
      <t>של 106</t>
    </r>
    <r>
      <rPr>
        <sz val="12"/>
        <color theme="1"/>
        <rFont val="David"/>
        <family val="2"/>
        <charset val="177"/>
      </rPr>
      <t>, מהי צפויה להיות יתרת כל אחת מההלוואות בתום שנה?</t>
    </r>
  </si>
  <si>
    <r>
      <t xml:space="preserve">בהנחה שההערכה היא שהמדד ישתנה בשנה הקרובה </t>
    </r>
    <r>
      <rPr>
        <b/>
        <sz val="12"/>
        <color theme="1"/>
        <rFont val="David"/>
        <family val="2"/>
        <charset val="177"/>
      </rPr>
      <t>ממדד בסיס של 102</t>
    </r>
    <r>
      <rPr>
        <sz val="12"/>
        <color theme="1"/>
        <rFont val="David"/>
        <family val="2"/>
        <charset val="177"/>
      </rPr>
      <t xml:space="preserve"> </t>
    </r>
    <r>
      <rPr>
        <b/>
        <sz val="12"/>
        <color theme="1"/>
        <rFont val="David"/>
        <family val="2"/>
        <charset val="177"/>
      </rPr>
      <t>למדד עדכני</t>
    </r>
    <r>
      <rPr>
        <sz val="12"/>
        <color theme="1"/>
        <rFont val="David"/>
        <family val="2"/>
        <charset val="177"/>
      </rPr>
      <t xml:space="preserve"> (בתום השנה ה-1)</t>
    </r>
  </si>
  <si>
    <t>פתרון סעיף א - יתרת ההלוואה הצמודה:</t>
  </si>
  <si>
    <t>פתרון סעיף ב - יתרת הלוואה לא צמודה בריבית 8%:</t>
  </si>
  <si>
    <t xml:space="preserve">אם הלוואה איננה צמודה, לא צריך להפעיל עבורה את שלב 2. </t>
  </si>
  <si>
    <t>ההלוואה לא צמודה, ולכן היתרה</t>
  </si>
  <si>
    <t>שחושבה ב-BAL היא גם היתרה סופית</t>
  </si>
  <si>
    <t>כך שהיתרה לתשלום בחלוף שנה בהלוואה לא צמודה - סעיף ב: היא 38,904 ש״ח.</t>
  </si>
  <si>
    <t>כך שהיתרה לתשלום (יתרת החוב אחרי הצמדה) בחלוף שנה (באל זמוד) היא 39,540 ש״ח.</t>
  </si>
  <si>
    <t>המשך תרגול הלוואות והקשר להצמדה למדד</t>
  </si>
  <si>
    <t>נושא אחרון - בחינת כדאיות השקעות (פרויקטים)</t>
  </si>
  <si>
    <t>מבוא ומשמעות: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</si>
  <si>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</si>
  <si>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</si>
  <si>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</si>
  <si>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</si>
  <si>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</si>
  <si>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</si>
  <si>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</si>
  <si>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</si>
  <si>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</si>
  <si>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</si>
  <si>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</si>
  <si>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</si>
  <si>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</si>
  <si>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</si>
  <si>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</si>
  <si>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</si>
  <si>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</si>
  <si>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</si>
  <si>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</si>
  <si>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</si>
  <si>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</si>
  <si>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</si>
  <si>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</si>
  <si>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</si>
  <si>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</si>
  <si>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</si>
  <si>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</si>
  <si>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</si>
  <si>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</si>
  <si>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</si>
  <si>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</si>
  <si>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</si>
  <si>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</si>
  <si>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</si>
  <si>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</si>
  <si>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</si>
  <si>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</si>
  <si>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</si>
  <si>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</si>
  <si>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</si>
  <si>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</si>
  <si>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</si>
  <si>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</si>
  <si>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</si>
  <si>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</si>
  <si>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</si>
  <si>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</si>
  <si>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</si>
  <si>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</si>
  <si>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</si>
  <si>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</si>
  <si>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</si>
  <si>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</si>
  <si>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</si>
  <si>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</si>
  <si>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</si>
  <si>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</si>
  <si>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</si>
  <si>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</si>
  <si>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</si>
  <si>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</si>
  <si>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</si>
  <si>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</si>
  <si>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</si>
  <si>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</si>
  <si>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</si>
  <si>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</si>
  <si>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</si>
  <si>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</si>
  <si>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</si>
  <si>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</si>
  <si>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מפגש 11 - יסודות המימון א - מבנה הבחינה וחזרה</t>
  </si>
  <si>
    <t>מנהלות - מבנה הבחינה ודגשים לקראתה - לכל המועדים (א+ב+ג+ד+ה+ו+ש)</t>
  </si>
  <si>
    <t xml:space="preserve">בחינתכם נשענת אך ורק על התכנים במחברת הקורס ובתרגיל ההגשה הרלוונטי. </t>
  </si>
  <si>
    <t xml:space="preserve">בנוסף, יועלו בהקדם בחינות לדוגמא לשם התרשמות בנושא. </t>
  </si>
  <si>
    <t>הבחינה עצמה:</t>
  </si>
  <si>
    <t>כמה זמן?</t>
  </si>
  <si>
    <t>שעתיים (120 דקות)</t>
  </si>
  <si>
    <t>חומר עזר:</t>
  </si>
  <si>
    <t>ובנוסף: מחשבון מדעי ו/או פיננסי</t>
  </si>
  <si>
    <r>
      <rPr>
        <b/>
        <sz val="12"/>
        <color theme="1"/>
        <rFont val="David"/>
        <family val="2"/>
        <charset val="177"/>
      </rPr>
      <t>כל</t>
    </r>
    <r>
      <rPr>
        <sz val="12"/>
        <color theme="1"/>
        <rFont val="David"/>
        <family val="2"/>
        <charset val="177"/>
      </rPr>
      <t xml:space="preserve"> חומר עזר </t>
    </r>
    <r>
      <rPr>
        <b/>
        <sz val="12"/>
        <color theme="1"/>
        <rFont val="David"/>
        <family val="2"/>
        <charset val="177"/>
      </rPr>
      <t>כתוב</t>
    </r>
    <r>
      <rPr>
        <sz val="12"/>
        <color theme="1"/>
        <rFont val="David"/>
        <family val="2"/>
        <charset val="177"/>
      </rPr>
      <t xml:space="preserve"> מותר בשימוש (סיכומים שלכם, הדפסות)</t>
    </r>
  </si>
  <si>
    <t>סוג השאלות:</t>
  </si>
  <si>
    <t>שאלות פתוחות בלבד</t>
  </si>
  <si>
    <t>ניקוד יינתן לא רק על התשובה הסופית - אלא בעיקר על הדרך.</t>
  </si>
  <si>
    <t>אופן ההגשה:</t>
  </si>
  <si>
    <t xml:space="preserve">סריקה (כותבים ידנית את הפרמטרים והתשובות וסורקים). </t>
  </si>
  <si>
    <t>שיעור חזרה:</t>
  </si>
  <si>
    <t xml:space="preserve">יתקיים ב-2/2 בזמן השיעור הרגיל. </t>
  </si>
  <si>
    <t>אופן ההכנה לבחינה וחומרי עזר:</t>
  </si>
  <si>
    <t xml:space="preserve">מיקוד לבחינה: שיופיע מיד, בצורה מפורטת ולפי נושאים. </t>
  </si>
  <si>
    <t>מבחנים לדוגמא / שאלות בסגנון מבחנים לדוגמא: יועלו לאתר .</t>
  </si>
  <si>
    <t>שיעור החזרה ב-2/2, יוארך במידת הצורך כדי להשיב לכל השאלות בצורה הדרגתית ונעימה.</t>
  </si>
  <si>
    <t>מיקוד מפורט לבחינה:</t>
  </si>
  <si>
    <t xml:space="preserve">באופן עקרוני אין ״מיקוד לבחינה״ ברמה של השמטת חומר. כל מה שלמדנו חיוני ובסיסי מאד, ואת ה״מיקוד״ </t>
  </si>
  <si>
    <t xml:space="preserve">מבחינת הדגשים הפחות רלוונטיים כבר הענקנו במהלך הסמסטר. </t>
  </si>
  <si>
    <t>יחד עם זאת יש מטרה מרכזית למיקוד (תמצית החומר) להלן בהקשרים הבאים:</t>
  </si>
  <si>
    <t xml:space="preserve">א. אם לא הייתי בקורס / פספסתי שיעורים / לרגע קיבלתי כאב ראש - כי אני לא באמת מבין במה עוסק הקורס - </t>
  </si>
  <si>
    <t>לעשות סדר בראש.</t>
  </si>
  <si>
    <t>ב. לעזור לכם לתכנן למידה ברמת המשקלים (איפה להשקיע יותר ואיפה פחות) על בסיס ציון הסוגיות המרכזיות.</t>
  </si>
  <si>
    <t>ג. לטובת בקרה עצמית: לאחר שאני מסיים למידה של נושא מסוים - אני עובר על רשימת המיקוד ומוודא שהכל</t>
  </si>
  <si>
    <t xml:space="preserve">ברור לי. </t>
  </si>
  <si>
    <t>להלן המיקוד היפה:</t>
  </si>
  <si>
    <t>נושא</t>
  </si>
  <si>
    <t>שיעורים</t>
  </si>
  <si>
    <t>דגשים והערות</t>
  </si>
  <si>
    <t xml:space="preserve">חישוב ערך עתידי של סכום יחיד (בריבית קבועה ובריבית משתנה). </t>
  </si>
  <si>
    <t>ערך עתידי - FV</t>
  </si>
  <si>
    <t xml:space="preserve">חישוב ערך עתידי של סדרה. </t>
  </si>
  <si>
    <t>חישוב ערך עתידי של סדרה וסכום יחיד.</t>
  </si>
  <si>
    <t>חישוב ערך עתידי מורכב - של מספר סדרות, של סדרה עם המתנה,</t>
  </si>
  <si>
    <t>סדרה עם הפרעה...</t>
  </si>
  <si>
    <t>חילוץ פרמטרים כשהערך העתידי נתון: חילוץ ריבית %I כולל המרה</t>
  </si>
  <si>
    <t xml:space="preserve">שלה (למשל, אבל לא רק - מחודש לשנה), חילוץ מספר התשלומים n, </t>
  </si>
  <si>
    <t xml:space="preserve">חילוץ גובה התשלום - PMT. </t>
  </si>
  <si>
    <t>ערך נוכחי - PV</t>
  </si>
  <si>
    <t>ערך נוכחי של סכום יחיד (בריבית קבועה ובריבית משתנה).</t>
  </si>
  <si>
    <t>ערך נוכחי של סדרה.</t>
  </si>
  <si>
    <t xml:space="preserve">ערך נוכחי של סדרה וגם סכום יחיד ״בסוף״. </t>
  </si>
  <si>
    <t xml:space="preserve">ערך נוכחי מורכב - של מספר סדרות, סדרה עם המתנה, סדרה עם </t>
  </si>
  <si>
    <t>סכום הלוואה כערך נוכחי של החזרים</t>
  </si>
  <si>
    <t>הפרעה, ערך נוכחי מסובך עם שינויים</t>
  </si>
  <si>
    <t>ערך נוכחי יישומים נוספים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</si>
  <si>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4-5</t>
    </r>
  </si>
  <si>
    <t>הלוואות שפיצר</t>
  </si>
  <si>
    <t>הלוואות שפיצר עם תשלום ״בלון״ בסוף</t>
  </si>
  <si>
    <t>הלוואות שפיצר שבהן צריך לבצע התאמת ריבית</t>
  </si>
  <si>
    <t>חילוץ ריבית מגולמת בהלוואת שפיצר (דוגמת האייפון ומגה לבית)</t>
  </si>
  <si>
    <t>בחירה בין חלופות רכישת מוצרים בתשלומים על בסיס ערך נוכחי בכל חלופה</t>
  </si>
  <si>
    <t>תכנון פיננסי - הפקדות ומשיכות</t>
  </si>
  <si>
    <t>ריבית אפקטיבית</t>
  </si>
  <si>
    <t>חישוב ריבית כוללת בהסדרים, כולל ריבית דריבית</t>
  </si>
  <si>
    <t>המשך פיתוח הלוואות:</t>
  </si>
  <si>
    <t>לוח סילוקין שפיצר - כולל שימוש ב-CMPD וגם ב-AMRT לטובת חילוצים</t>
  </si>
  <si>
    <t>בנייה מלאה של לוחות סילוקין - לוח שפיצר</t>
  </si>
  <si>
    <t>בנייה מלאה של לוחות סילוקין - לוח סילוקין ״רגיל״ (החזרי קרן שווים)</t>
  </si>
  <si>
    <t>הלוואות ולוחות סילוקין</t>
  </si>
  <si>
    <t>הלוואות צמודות מדד</t>
  </si>
  <si>
    <t>חישובי לוח סילוקין שפיצר בלבד</t>
  </si>
  <si>
    <t xml:space="preserve">והצמדתם למדד </t>
  </si>
  <si>
    <t>מבוא לכדאיות פרויקטים</t>
  </si>
  <si>
    <t>חישוב NPV (שווי פרויקט) וחישוב IRR (שיעור תשואה באחוזים של פרויקט)</t>
  </si>
  <si>
    <t xml:space="preserve">באמצעות פונקציית CASH.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</si>
  <si>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6-7</t>
    </r>
  </si>
  <si>
    <t>שאלה במבחן</t>
  </si>
  <si>
    <t>שתי שאלות:
שאלה אחת פשוטה
שאלה אחת מורכבת</t>
  </si>
  <si>
    <t>שלוש שאלות:
שאלה אחת פשוטה
שאלה אחת בינונית
שאלה אחת מורכבת</t>
  </si>
  <si>
    <t>שתי שאלות:
שאלה אחת על הלוואות שפיצר, בחירה בין חלופות, חילוץ ריבית
שאלה שניה - תכנון פיננסי</t>
  </si>
  <si>
    <t>שאלה אחת</t>
  </si>
  <si>
    <t>שאלה אחת
יש מצב שנשלב בין שפיצר
לרגיל</t>
  </si>
  <si>
    <t>ניתן
לדלג
על שאלה
אחת
כלומר:
יש 11 שאלות
אתם תבחרו
את ה-10
עליהן
אתם עונים</t>
  </si>
  <si>
    <t>בחירה</t>
  </si>
  <si>
    <r>
      <rPr>
        <sz val="12"/>
        <color theme="5" tint="0.59999389629810485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1-3</t>
    </r>
  </si>
  <si>
    <t>סובחי הנסיך</t>
  </si>
  <si>
    <t>מספר מצומצם של שאלות לתרגול ראשוני - המשך יבוא:</t>
  </si>
  <si>
    <t xml:space="preserve">חברת ״סובחי הנסיך״ בע״מ מעוניינת לרכוש מכונה לטחינת פופיקים על מנת לייצר נקניק טרי. </t>
  </si>
  <si>
    <t xml:space="preserve">לשם כך בכוונתה להפקיד בתום כל חודש במשך 4 שנים סכום קבוע של 2,000 ש״ח. </t>
  </si>
  <si>
    <t xml:space="preserve">לאחר מכן, לא תבוצענה הפקדות במשך שנתיים. </t>
  </si>
  <si>
    <t xml:space="preserve">בדיוק בתום השנה ה-6, תבוצע הפקדה חד פעמית בודדת של 50,000 ש״ח. </t>
  </si>
  <si>
    <t xml:space="preserve">בכל אחת מהשנים 7, 8 ו-9 תבוצע הפקדה רבעונית בסכום של 4,000 ש״ח לרבעון. </t>
  </si>
  <si>
    <t>בתום השנה ה-9 הפקדון ייפרע.</t>
  </si>
  <si>
    <t>בהנחה שהריבית השנתית היא בשיעור של 10% לשנה בכל אחת מהשנתיים הראשונות, ו-15% לשנה בכל שנה לאחר מכן, מהו הסכום שיעמוד</t>
  </si>
  <si>
    <t>לרשותו של סובחי הנסיך לשם רכש מכונת חימום הפופיקים?</t>
  </si>
  <si>
    <t xml:space="preserve">השאלה עוסקת בערך עתידי FV משום שהמטרה היא לגלות מהו הסכום הכולל שיעמוד לרשותנו ״בסוף״ / ״בעתיד״. </t>
  </si>
  <si>
    <t>כמו כן, אני מזהה שינויים בפרמטרים - ריבית, סכומים וכיו״ב - לכן זהו ערך עתידי מורכב.</t>
  </si>
  <si>
    <t>במצב כזה, אנו מבצעים חישוב בשלבים, כל שלב הוא עד מועד ההפרעה / השינוי.</t>
  </si>
  <si>
    <t>עד השינוי הראשון:</t>
  </si>
  <si>
    <t>עד שינוי הריבית</t>
  </si>
  <si>
    <t>עד תום שנה 2</t>
  </si>
  <si>
    <t>הפקדה כל חודש</t>
  </si>
  <si>
    <t>בשנה ה-3</t>
  </si>
  <si>
    <t>ובשנה ה-4</t>
  </si>
  <si>
    <t>בריבית אחרת</t>
  </si>
  <si>
    <t>אין הפקדות</t>
  </si>
  <si>
    <t>רק צבירת</t>
  </si>
  <si>
    <t>במשך שנתיים</t>
  </si>
  <si>
    <t>עד תום 6</t>
  </si>
  <si>
    <t xml:space="preserve">הסכום </t>
  </si>
  <si>
    <t>שנצבר בתום</t>
  </si>
  <si>
    <t>שנה 6 - מצטרף</t>
  </si>
  <si>
    <t>ל-50,000</t>
  </si>
  <si>
    <t>הפקדה בודדת</t>
  </si>
  <si>
    <t>כל רבעון</t>
  </si>
  <si>
    <t>במשך 3 שנים</t>
  </si>
  <si>
    <t xml:space="preserve">תשובתנו הסופית: סובחי יכול לרכוש מכונת נקניק בעלות של 385,483 ש״ח בתום השנה ה-9. </t>
  </si>
  <si>
    <t>טיפים:</t>
  </si>
  <si>
    <t>א. מדוע צריך כל כך הרבה שלבים, ואיך מזהים אותם?</t>
  </si>
  <si>
    <t xml:space="preserve">תמיד כשיש שינוי באחד או יותר מהפרמטרים - סכום, ריבית, תדירות - </t>
  </si>
  <si>
    <t xml:space="preserve">חייבים לפצל את החישוב. </t>
  </si>
  <si>
    <t>ספציפית כאן, למשל, מדובר בהפקדה קבועה במשך 4 שנים,</t>
  </si>
  <si>
    <t>אך הריבית השתנתה לאחר שנתיים.</t>
  </si>
  <si>
    <t>לכן הייתי חייב לפצל את החישוב בתום השנתיים הראשונות.</t>
  </si>
  <si>
    <t>לאחר מכן, בתום שנה 4, חלה הפסקה בהפקדות - זה שינוי</t>
  </si>
  <si>
    <t>נוסף, שהצדיק עמודה נוספת (השלישית) וכן הלאה.</t>
  </si>
  <si>
    <t>ב איך מזהים שצריך להמיר ריבית?</t>
  </si>
  <si>
    <t>כאשר אנו עוסקים בסדרות, כלומר - בהפקדות או תשלומים</t>
  </si>
  <si>
    <t>שיש בהם PMT קבוע, הריבית חייבת להתאים לפרק הזמן</t>
  </si>
  <si>
    <t>בין תשלומים.</t>
  </si>
  <si>
    <t>לכן, אם הריבית שנתית, והתשלומים חודשיים, ומדברים</t>
  </si>
  <si>
    <t>על סדרת הפקדות חודשיות - צריך לדאוג להמיר את הריבית</t>
  </si>
  <si>
    <t>לחודשית.</t>
  </si>
  <si>
    <t>באופן דומה, אם עוסקים בסדרת הפקדות רבעוניות,</t>
  </si>
  <si>
    <t>והריבית שנתית, צריך לדאוג להמיר את הריבית לרבעונית.</t>
  </si>
  <si>
    <t>אם עוסקים בחישוב שאין בו סדרת הפקדות (PMT=0),</t>
  </si>
  <si>
    <t xml:space="preserve">נכון. </t>
  </si>
  <si>
    <t>זה לא משנה איזו ריבית לוקחים, העיקר שמשתמשים בה</t>
  </si>
  <si>
    <t>שאלה נוספת ברמת מבחן</t>
  </si>
  <si>
    <t xml:space="preserve">שרון מעוניינת לרכוש מכונה לעטיפת בשר טחון במעיים. </t>
  </si>
  <si>
    <t xml:space="preserve">המחיר הקטלוגי של המכונה הוא 100,000 ש״ח. </t>
  </si>
  <si>
    <t xml:space="preserve">היבואן מציע לשרון לשלם בעד המכונה ב-20 תשלומים שווים ללא ריבית בתום כל חודש בסכום של 5,000 ש״ח. </t>
  </si>
  <si>
    <t>יחד עם זאת, ידוע לשרון שבמידה ותוכל לשלם את כל הסכום במזומן מיידית, תזכה להנחה בשיעור 8% מחיר</t>
  </si>
  <si>
    <t>המחירון.</t>
  </si>
  <si>
    <t>בהנחה שלשם תשלום מיידי עליה ליטול בבנק הלוואה בריבית 10% לשנה, נדרש:</t>
  </si>
  <si>
    <r>
      <t xml:space="preserve">א.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 רכישת המכונה?</t>
    </r>
  </si>
  <si>
    <t>נושא השאלה העקרוני הוא - חילוץ ריבית המגולמת בהסדר תשלומים לרכישת מוצר: אנו מתייחסים לעלות המוצר</t>
  </si>
  <si>
    <r>
      <t xml:space="preserve">במזומן, נטו, </t>
    </r>
    <r>
      <rPr>
        <b/>
        <sz val="12"/>
        <color theme="1"/>
        <rFont val="David"/>
        <family val="2"/>
        <charset val="177"/>
      </rPr>
      <t>אחרי הנחה</t>
    </r>
    <r>
      <rPr>
        <sz val="12"/>
        <color theme="1"/>
        <rFont val="David"/>
        <family val="2"/>
        <charset val="177"/>
      </rPr>
      <t xml:space="preserve"> כ-PV, ודואגים לחשב את ה-%I. זכרו: ה-%I שנחלץ הוא לפרק הזמן בין תשלומים. </t>
    </r>
  </si>
  <si>
    <t>מספר התשלומים הכולל בהסדר</t>
  </si>
  <si>
    <t>מחיר המוצר נטו במזומן לאחר הנחה של 8%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</si>
  <si>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=100,000 * (1 - 8%)</t>
    </r>
  </si>
  <si>
    <t>סכום התשלום התקופתי הקבוע</t>
  </si>
  <si>
    <t>תשלום או תקבול חד פעמי בסיום העסקה</t>
  </si>
  <si>
    <r>
      <t xml:space="preserve">ריבית לתקופת תשלום = </t>
    </r>
    <r>
      <rPr>
        <b/>
        <sz val="12"/>
        <color theme="1"/>
        <rFont val="David"/>
        <family val="2"/>
        <charset val="177"/>
      </rPr>
      <t>חודש</t>
    </r>
  </si>
  <si>
    <t>הואיל ובשאלה רצו ריבית שנתית ולא חודשית, עליי לתקנן את הריבית מחודש לשנה:</t>
  </si>
  <si>
    <t>הריבית השנתית בהסדר הרכישה בתשלומים</t>
  </si>
  <si>
    <t>ב. איזו חלופה שרון תעדיף - נטילת הלוואה מהבנק ותשלום מלוא הסכום ליבואן, או את הסדר התשלומים של היבואן.</t>
  </si>
  <si>
    <t>לגבי נדרש ב:</t>
  </si>
  <si>
    <t>הריבית שמשלמים ליבואן:</t>
  </si>
  <si>
    <t>הריבית שמשלמים לבנק:</t>
  </si>
  <si>
    <t>המטרה שלנו היא לשלם כמה שפחות ריבית, לכן, נעדיף את החלופה של הלוואה בבנק על פני חלופת ההסדר</t>
  </si>
  <si>
    <t xml:space="preserve">של היבואן. </t>
  </si>
  <si>
    <t>נדרש א:</t>
  </si>
  <si>
    <t xml:space="preserve">חודשיים. </t>
  </si>
  <si>
    <t>הריבית השנתית בהלוואה היא 8%.</t>
  </si>
  <si>
    <t>עידו ג׳אן נטל הלוואה בסך 800,000 ש״ח לתקופה של 30 שנים, הנפרעת לפי לוח סילוקין שפיצר, בתשלומים</t>
  </si>
  <si>
    <t>א. מהו התשלום שיבוצע על חשבון הריבית בשנה הראשונה של ההלוואה?</t>
  </si>
  <si>
    <t>ב. מהי יתרת ההלוואה בתום השנה ה-12?</t>
  </si>
  <si>
    <t>ג. בהנחה שההלוואה צמודה, ושהמדד הוא 104 במועד נטילתה, ו-109.5 בחלוף 14 שנים, מהי יתרת ההלוואה</t>
  </si>
  <si>
    <t>לאחר 14 שנים?</t>
  </si>
  <si>
    <t xml:space="preserve">בכל הלוואת / לוח סילוקין שפיצר, תמיד מתחילים בחישוב CMPD ו-PMT. </t>
  </si>
  <si>
    <t>אחר כך, אם רוצים להעמיק, עוברים לאפשרויות AMRT בלי לאפס את המחשבון.</t>
  </si>
  <si>
    <t>בתור התחלה תמיד נתייחס למספר התשלומים הכולל בהלוואה</t>
  </si>
  <si>
    <t>הריבית לתקופת תשלום - ריבית חודשית</t>
  </si>
  <si>
    <t>סכום חד פעמי בסיום העסקה - כאן: אין</t>
  </si>
  <si>
    <t>התשלום התקופתי הקבוע בהסדר</t>
  </si>
  <si>
    <t xml:space="preserve">כדי לדעת מהי הריבית הכוללת ששולמה בשנה ה-1, </t>
  </si>
  <si>
    <t xml:space="preserve">אני למעשה רוצה לדעת את כל הריביות שנכללו </t>
  </si>
  <si>
    <t xml:space="preserve">בתשלומים ב-12 החודשים הראשונים. </t>
  </si>
  <si>
    <t>סך תשלומי</t>
  </si>
  <si>
    <t>הריבית ב-12</t>
  </si>
  <si>
    <t>הראשונים</t>
  </si>
  <si>
    <t>התשלומים</t>
  </si>
  <si>
    <t>יתרת ההלוואה בתום השנה ה-12 היא למעשה היתרה לאחר 144 תשלומים:</t>
  </si>
  <si>
    <t>יתרת</t>
  </si>
  <si>
    <t>ההלוואה</t>
  </si>
  <si>
    <t>תשלומים</t>
  </si>
  <si>
    <t>ג. בהנחה שההלוואה צמודה, ושהמדד הוא 104 במועד נטילתה, ו-109.5 בחלוף 14 שנים, מהי יתרת ההלוואה לאחר 14 שנים?</t>
  </si>
  <si>
    <t>יתרת ההלוואה בתום השנה ה-14 היא למעשה היתרה לאחר 168 תשלומים:</t>
  </si>
  <si>
    <t xml:space="preserve">לאחר 168 </t>
  </si>
  <si>
    <t xml:space="preserve">לאחר 144 </t>
  </si>
  <si>
    <t>יתרה לפני הצמדה</t>
  </si>
  <si>
    <t>וכדי להגיע ליתרה אחרי הצמדה, פשוט נכפול אותה ביחס שבין המדד העדכני לבין המדד הבסיסי במועד נטילת ההלוואה:</t>
  </si>
  <si>
    <t>יתרת ההלוואה לאחר הצמדה בחלוף 14 שנים: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</si>
  <si>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</si>
  <si>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</si>
  <si>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</si>
  <si>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</si>
  <si>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</si>
  <si>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</si>
  <si>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</si>
  <si>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</si>
  <si>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</si>
  <si>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</si>
  <si>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</si>
  <si>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</si>
  <si>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</si>
  <si>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</si>
  <si>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</si>
  <si>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</si>
  <si>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</si>
  <si>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</si>
  <si>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</si>
  <si>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</si>
  <si>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</si>
  <si>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</si>
  <si>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</si>
  <si>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</si>
  <si>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</si>
  <si>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</si>
  <si>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</si>
  <si>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</si>
  <si>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</si>
  <si>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</si>
  <si>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</si>
  <si>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</si>
  <si>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</si>
  <si>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</si>
  <si>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</si>
  <si>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</si>
  <si>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</si>
  <si>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</si>
  <si>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</si>
  <si>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</si>
  <si>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</si>
  <si>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</si>
  <si>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</si>
  <si>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</si>
  <si>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</si>
  <si>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</si>
  <si>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</si>
  <si>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</si>
  <si>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</si>
  <si>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</si>
  <si>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</si>
  <si>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</si>
  <si>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</si>
  <si>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</si>
  <si>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</si>
  <si>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</si>
  <si>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</si>
  <si>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</si>
  <si>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</si>
  <si>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</si>
  <si>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</si>
  <si>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</si>
  <si>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</si>
  <si>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</si>
  <si>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</si>
  <si>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</si>
  <si>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</si>
  <si>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</si>
  <si>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</si>
  <si>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</si>
  <si>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</si>
  <si>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</si>
  <si>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</si>
  <si>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</si>
  <si>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</si>
  <si>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</si>
  <si>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</si>
  <si>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</si>
  <si>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</si>
  <si>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</si>
  <si>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</si>
  <si>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</si>
  <si>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</si>
  <si>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</si>
  <si>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</si>
  <si>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</si>
  <si>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</si>
  <si>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</si>
  <si>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</si>
  <si>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</si>
  <si>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</si>
  <si>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</si>
  <si>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</si>
  <si>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</si>
  <si>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</si>
  <si>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</si>
  <si>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</si>
  <si>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</si>
  <si>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</si>
  <si>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</si>
  <si>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</si>
  <si>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</si>
  <si>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</si>
  <si>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</si>
  <si>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</si>
  <si>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</si>
  <si>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</si>
  <si>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</si>
  <si>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</si>
  <si>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</si>
  <si>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</si>
  <si>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</si>
  <si>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</si>
  <si>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</si>
  <si>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</si>
  <si>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</si>
  <si>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</si>
  <si>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</si>
  <si>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</si>
  <si>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</si>
  <si>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</si>
  <si>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</si>
  <si>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</si>
  <si>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</si>
  <si>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</si>
  <si>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</si>
  <si>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</si>
  <si>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</si>
  <si>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</si>
  <si>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</si>
  <si>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</si>
  <si>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</si>
  <si>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</si>
  <si>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</si>
  <si>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</si>
  <si>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</si>
  <si>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</si>
  <si>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</si>
  <si>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</si>
  <si>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</si>
  <si>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</si>
  <si>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</si>
  <si>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</si>
  <si>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</si>
  <si>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</si>
  <si>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</si>
  <si>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</si>
  <si>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</si>
  <si>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</si>
  <si>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</si>
  <si>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</si>
  <si>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</si>
  <si>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</si>
  <si>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</si>
  <si>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</si>
  <si>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</si>
  <si>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</si>
  <si>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</si>
  <si>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</si>
  <si>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</si>
  <si>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</si>
  <si>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</si>
  <si>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</si>
  <si>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</si>
  <si>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</si>
  <si>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</si>
  <si>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</si>
  <si>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</si>
  <si>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</si>
  <si>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</si>
  <si>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</si>
  <si>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</si>
  <si>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</si>
  <si>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</si>
  <si>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</si>
  <si>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</si>
  <si>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</si>
  <si>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</si>
  <si>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</si>
  <si>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</si>
  <si>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</si>
  <si>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</si>
  <si>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</si>
  <si>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</si>
  <si>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</si>
  <si>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</si>
  <si>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</si>
  <si>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</si>
  <si>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</si>
  <si>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</si>
  <si>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</si>
  <si>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</si>
  <si>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</si>
  <si>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</si>
  <si>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</si>
  <si>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</si>
  <si>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</si>
  <si>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</si>
  <si>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</si>
  <si>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</si>
  <si>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</si>
  <si>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</si>
  <si>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</si>
  <si>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</si>
  <si>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</si>
  <si>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</si>
  <si>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</si>
  <si>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</si>
  <si>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</si>
  <si>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</si>
  <si>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</si>
  <si>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</si>
  <si>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</si>
  <si>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</si>
  <si>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</si>
  <si>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</si>
  <si>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</si>
  <si>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</si>
  <si>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</si>
  <si>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</si>
  <si>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</si>
  <si>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</si>
  <si>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</si>
  <si>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</si>
  <si>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</si>
  <si>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</si>
  <si>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</si>
  <si>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</si>
  <si>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</si>
  <si>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</si>
  <si>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</si>
  <si>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</si>
  <si>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</si>
  <si>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</si>
  <si>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</si>
  <si>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</si>
  <si>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</si>
  <si>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</si>
  <si>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</si>
  <si>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</si>
  <si>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</si>
  <si>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</si>
  <si>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</si>
  <si>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</si>
  <si>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</si>
  <si>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</si>
  <si>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</si>
  <si>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</si>
  <si>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</si>
  <si>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</si>
  <si>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</si>
  <si>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</si>
  <si>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</si>
  <si>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</si>
  <si>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</si>
  <si>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</si>
  <si>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</si>
  <si>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</si>
  <si>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</si>
  <si>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</si>
  <si>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</si>
  <si>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</si>
  <si>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</si>
  <si>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</si>
  <si>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</si>
  <si>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</si>
  <si>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</si>
  <si>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</si>
  <si>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</si>
  <si>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</si>
  <si>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</si>
  <si>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</si>
  <si>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</si>
  <si>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</si>
  <si>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</si>
  <si>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</si>
  <si>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</si>
  <si>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</si>
  <si>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</si>
  <si>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</si>
  <si>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</si>
  <si>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</si>
  <si>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</si>
  <si>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</si>
  <si>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</si>
  <si>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</si>
  <si>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</si>
  <si>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</si>
  <si>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</si>
  <si>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</si>
  <si>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</si>
  <si>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</si>
  <si>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</si>
  <si>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</si>
  <si>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</si>
  <si>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</si>
  <si>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</si>
  <si>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</si>
  <si>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</si>
  <si>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</si>
  <si>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</si>
  <si>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</si>
  <si>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</si>
  <si>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</si>
  <si>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</si>
  <si>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</si>
  <si>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</si>
  <si>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</si>
  <si>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</si>
  <si>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</si>
  <si>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</si>
  <si>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</si>
  <si>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</si>
  <si>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</si>
  <si>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</si>
  <si>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</si>
  <si>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</si>
  <si>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</si>
  <si>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</si>
  <si>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</si>
  <si>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</si>
  <si>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</si>
  <si>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</si>
  <si>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</si>
  <si>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</si>
  <si>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</si>
  <si>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</si>
  <si>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</si>
  <si>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</si>
  <si>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</si>
  <si>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</si>
  <si>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</si>
  <si>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</si>
  <si>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</si>
  <si>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</si>
  <si>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</si>
  <si>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</si>
  <si>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</si>
  <si>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</si>
  <si>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</si>
  <si>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</si>
  <si>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</si>
  <si>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</si>
  <si>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</si>
  <si>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</si>
  <si>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</si>
  <si>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</si>
  <si>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</si>
  <si>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</si>
  <si>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</si>
  <si>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</si>
  <si>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</si>
  <si>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</si>
  <si>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</si>
  <si>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</si>
  <si>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</si>
  <si>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</si>
  <si>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</si>
  <si>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</si>
  <si>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</si>
  <si>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</si>
  <si>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</si>
  <si>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</si>
  <si>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</si>
  <si>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</si>
  <si>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</si>
  <si>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</si>
  <si>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</si>
  <si>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</si>
  <si>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</si>
  <si>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</si>
  <si>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</si>
  <si>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</si>
  <si>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</si>
  <si>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</si>
  <si>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</si>
  <si>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</si>
  <si>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</si>
  <si>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</si>
  <si>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</si>
  <si>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</si>
  <si>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</si>
  <si>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</si>
  <si>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</si>
  <si>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</si>
  <si>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</si>
  <si>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</si>
  <si>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</si>
  <si>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</si>
  <si>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</si>
  <si>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</si>
  <si>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</si>
  <si>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</si>
  <si>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</si>
  <si>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</si>
  <si>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</si>
  <si>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</si>
  <si>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</si>
  <si>
    <t>כאן מתחיל מפגש 6 - 25.8.2025</t>
  </si>
  <si>
    <t xml:space="preserve">ההלוואה מסולקת בתשלומים חודשיים שווים (הלוואה המסולקת בתשלומים שווים נקראת גם ״לוח שפיצר״). </t>
  </si>
  <si>
    <r>
      <t>א. מהו ההחזר החודשי (PMT) אם הריבית השנתית בהחזר היא ריבית ״</t>
    </r>
    <r>
      <rPr>
        <b/>
        <sz val="12"/>
        <color theme="1"/>
        <rFont val="David"/>
        <family val="2"/>
        <charset val="177"/>
      </rPr>
      <t>אפקטיבית</t>
    </r>
    <r>
      <rPr>
        <sz val="12"/>
        <color theme="1"/>
        <rFont val="David"/>
        <family val="2"/>
        <charset val="177"/>
      </rPr>
      <t>״?</t>
    </r>
  </si>
  <si>
    <t>היא ברירת מחדל</t>
  </si>
  <si>
    <t>התשלומים כל חודש - 12 בשנה, כפול 3 שנים = 36</t>
  </si>
  <si>
    <t>ריבית חודשית, ראו חישוב מימין</t>
  </si>
  <si>
    <t>סכום ההלוואה (שמתקבל היום, בסימן חיובי)</t>
  </si>
  <si>
    <t>אין כאן תשלום או תקבול חד פעמי בסוף העסקה</t>
  </si>
  <si>
    <t>הנדרש: התשלום החודשי הקבוע</t>
  </si>
  <si>
    <r>
      <t xml:space="preserve">ב. </t>
    </r>
    <r>
      <rPr>
        <b/>
        <u/>
        <sz val="12"/>
        <color rgb="FFFF0000"/>
        <rFont val="David"/>
        <family val="2"/>
        <charset val="177"/>
      </rPr>
      <t>חידוש</t>
    </r>
    <r>
      <rPr>
        <u/>
        <sz val="12"/>
        <color theme="1"/>
        <rFont val="David"/>
        <family val="2"/>
        <charset val="177"/>
      </rPr>
      <t xml:space="preserve"> - מהו ההחזר החודשי אם הריבית השנתית בהחזר היא ריבית ״</t>
    </r>
    <r>
      <rPr>
        <b/>
        <u/>
        <sz val="12"/>
        <color rgb="FFFF0000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</si>
  <si>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t>נתון: ריבית נקובה שנתית 12% מחושבת כל חודש</t>
  </si>
  <si>
    <t>(12% / 12) * 100 = 1</t>
  </si>
  <si>
    <t>המרת הריבית משנה לחודש מבוצעת על ידי חלוקה</t>
  </si>
  <si>
    <t>פשוטה, ללא חזקה, ללא מעריך, ללא מינוס אחת</t>
  </si>
  <si>
    <t>מספר התשלומים החודשיים ב-3 שנים</t>
  </si>
  <si>
    <t>סכום ההלוואה הנתון הוא 30,000</t>
  </si>
  <si>
    <t>אין תשלום חד פעמי בתום התקופה</t>
  </si>
  <si>
    <t>ריבית חודשית שחושבה על בסיס ריבית נקובה נתונה (יחסית)</t>
  </si>
  <si>
    <t>נדרש: מהי הריבית השנתית בהסדר?</t>
  </si>
  <si>
    <t>מס׳ התשלומים הנתון</t>
  </si>
  <si>
    <t>התשלום החודשי הקבוע - נתון</t>
  </si>
  <si>
    <t>אין בומבה בסוף</t>
  </si>
  <si>
    <r>
      <t xml:space="preserve">בתמורה ל-36 תשלומים </t>
    </r>
    <r>
      <rPr>
        <b/>
        <u/>
        <sz val="12"/>
        <color theme="1"/>
        <rFont val="David"/>
        <family val="2"/>
        <charset val="177"/>
      </rPr>
      <t>חודשיים</t>
    </r>
    <r>
      <rPr>
        <sz val="12"/>
        <color theme="1"/>
        <rFont val="David"/>
        <family val="2"/>
        <charset val="177"/>
      </rPr>
      <t xml:space="preserve"> קבועים של 195 ש״ח כל אחד. </t>
    </r>
  </si>
  <si>
    <t>הריבית שמחלצים מנתוני סדרה של תשלומים חודשיים היא ריבית חודשית תמיד. נמיר אותה מחודש לשנה:</t>
  </si>
  <si>
    <t xml:space="preserve">[(1 + 0.0154%)^(12) - 1] * 100 = </t>
  </si>
  <si>
    <t xml:space="preserve">זו למעשה הריבית האפקטיבית השנתית בהנחה שהמוצר אכן שווה 7,000 ש״ח. </t>
  </si>
  <si>
    <t>אלא שבפועל במקרים רבים מחרטטים אותנו - ודופקים שווי (מחירון, או מחיר קטלוגי) מנותק מהמציאות</t>
  </si>
  <si>
    <t xml:space="preserve">ומנופח כאשר השווי האמיתי נמוך יותר. </t>
  </si>
  <si>
    <t xml:space="preserve">במקרה זה, סקירה מהירה גילתה לי שניתן לרכוש אייפון זהה לחלוטין ב-5,600 ש״ח. </t>
  </si>
  <si>
    <t xml:space="preserve">לכן, חילוץ הריבית האמיתית בעסקה דורש מאיתנו התייחסות ביקורתית לגבי שווי המוצר שהתקבל </t>
  </si>
  <si>
    <t>בפועל, שהוא ורק הוא יהיה ה-PV ה״אמיתי״ ורק על בסיסו ניתן יהיה לחלץ את הריבית האפקטיבית האמיתית:</t>
  </si>
  <si>
    <t>מספר התשלומים הנתון</t>
  </si>
  <si>
    <t>גובה כל תשלום נתון</t>
  </si>
  <si>
    <t>בתכל׳ס שווי האייפון הוא</t>
  </si>
  <si>
    <t xml:space="preserve">Solve = </t>
  </si>
  <si>
    <t>ריבית אפקטיבית חודשית</t>
  </si>
  <si>
    <t>מקרה 2.2 - חילוץ ריבית באחוזים המסתתרת בהסדר תשלומים - יותר קרוב לסגנון בחינה</t>
  </si>
  <si>
    <t>ידוע לכם שאם תתעקשו לשלם במזומן, תוכלו לקבל הנחה בשיעור של 10% ממחיר המחירון.</t>
  </si>
  <si>
    <t xml:space="preserve">[(1 + 0.35214%)^12 - 1]*100 = </t>
  </si>
  <si>
    <t>לעיל - התחלנו בביצוע יישומים של ערך נוכחי. למה הכוונה ביישומים?</t>
  </si>
  <si>
    <t>בוצע במפגש 5</t>
  </si>
  <si>
    <t>מפה והלאה 6</t>
  </si>
  <si>
    <t>= 1%</t>
  </si>
  <si>
    <t>סכום בודד בסוף - יוזן כ-FV</t>
  </si>
  <si>
    <t>יישום 5.1 - האם משי יכולה לפרוש לפנסיה?</t>
  </si>
  <si>
    <t>משי בת 20 היום. היא מעוניינת להפקיד בתום כל חודש לפנסיה סכום של 400 ש״ח.</t>
  </si>
  <si>
    <t>ברצונה לצאת לפנסיה מוקדמת בגיל 50, ובכדי לאפשר זאת, היא מעוניינת למשוך</t>
  </si>
  <si>
    <t>קצבה בסכום של 5,000 ש״ח בתום כל חודש (לאחר גיל 50) במשך 35 שנה.</t>
  </si>
  <si>
    <t>בהנחה שהפנסיה מניבה תשואה (ריבית) שנתית בשיעור 10%, נדרש:</t>
  </si>
  <si>
    <t>א. מהו הסכום הכולל שיעמוד לרשותה של משי ערב פרישתה?</t>
  </si>
  <si>
    <t>ב. האם הסכום הנצבר (סעיף א) יספיק לטובת הקצבה הנדרשת?</t>
  </si>
  <si>
    <t>מבוא לפתרון:</t>
  </si>
  <si>
    <t>כאשר אני מפקיד לפנסיה, ומעוניין לדעת מה הקצבה שלי, תהליך העבודה יהיה מורכב מהשלבים הבאים:</t>
  </si>
  <si>
    <t>CMPD - חישוב ערך עתידי ערב הפרישה</t>
  </si>
  <si>
    <t>תחילה (א) - נחשב את הסכום הכולל הנצבר ערב הפרישה - FV - משי בת 20, מפקידה עד גיל 50, כלומר 30 שנה * 12 הפקדות חודשיות בחודש = n=360</t>
  </si>
  <si>
    <t xml:space="preserve">נדרשת ריבית לחודש </t>
  </si>
  <si>
    <r>
      <rPr>
        <sz val="9"/>
        <color theme="0"/>
        <rFont val="David"/>
        <family val="2"/>
        <charset val="177"/>
      </rPr>
      <t>,</t>
    </r>
    <r>
      <rPr>
        <sz val="9"/>
        <color theme="1"/>
        <rFont val="David"/>
        <family val="2"/>
        <charset val="177"/>
      </rPr>
      <t>=((1+10%)^(1/12)-1)*100</t>
    </r>
  </si>
  <si>
    <t>כי אין תשלום / תקבול חד פעמי מיידי</t>
  </si>
  <si>
    <t>בשלב השני (ב) - אתייחס לסכום בפרישה כ-PV ובודק (מחשב / מחלץ) את ה-PMT (הקצבה החודשית שתנבע מכך) &gt;&gt;&gt; FV ל-PV בסימן הפוך - משיכות במשך 35 שנה.</t>
  </si>
  <si>
    <t xml:space="preserve">בתיבת התשובה הסופית: ההפקדות יאפשרו למשי למשוך 6,822.53 ש״ח כל חודש, סכום שגבוה מהקצבה הנדרשת: 5,000 ש״ח. </t>
  </si>
  <si>
    <t>יישום 5.2 - קצבה של צעיר ושל אזרח ותיק</t>
  </si>
  <si>
    <t>מבוא:</t>
  </si>
  <si>
    <t xml:space="preserve">בשאלה הקודמת, סכום ההפקדות היה נתון. לכן, היה מאד הגיוני לחשב FV של ההפקדות ואיתו להמשיך. </t>
  </si>
  <si>
    <t xml:space="preserve">בשאלה הזו, סכום ההפקדות איננו נתון. דווקא סכום המשיכות נתון. </t>
  </si>
  <si>
    <t xml:space="preserve">לכן, פה לא אוכל להתחיל מ-FV הפקדות, אעבוד הפוך, אתחיל מ-PV משיכות ואז אעביר אותו ל-FV הפקדות. </t>
  </si>
  <si>
    <t>השלב הראשון - דווקא להתייחס למשיכות, כי לגביהן יש יותר נתונים</t>
  </si>
  <si>
    <t>כפול 12 משיכות בחודש</t>
  </si>
  <si>
    <t>שנות משיכה: 120-45 = 75</t>
  </si>
  <si>
    <t>בשלב השני - נעבור לצד שבו חסרים נתונים (צד ההפקדות):</t>
  </si>
  <si>
    <t>ה-PV של המשיכות שווה</t>
  </si>
  <si>
    <t>ל-FV של ההפקדות</t>
  </si>
  <si>
    <r>
      <t xml:space="preserve">מפגש 7 - יסודות המימון א - חישובי ריבית: </t>
    </r>
    <r>
      <rPr>
        <b/>
        <sz val="12"/>
        <color theme="1"/>
        <rFont val="David"/>
        <family val="2"/>
        <charset val="177"/>
      </rPr>
      <t>שיעור (%) הריבית האפקטיבית</t>
    </r>
  </si>
  <si>
    <t xml:space="preserve">עד כה, ברוב העסקאות שביצענו הריבית היתה נתונה. </t>
  </si>
  <si>
    <t xml:space="preserve">זה נכון שבמקרים רבים היינו צריכים להתאים את תקופת הריבית - למשל - משנה לחודש, מרבעון לשנה וכן הלאה -  </t>
  </si>
  <si>
    <t>רקע - מה שכבר ״היה״</t>
  </si>
  <si>
    <t>מטרה - לקחת את נושא הריבית צעד קדימה:</t>
  </si>
  <si>
    <t>נניח שעסקה מסוימת, למשל הלוואה, כוללת מגוון רחב של נתונים, כגון:</t>
  </si>
  <si>
    <t>א. עמלות</t>
  </si>
  <si>
    <t>ב. תשלומים מראש</t>
  </si>
  <si>
    <t>ג. ריבית דריבית</t>
  </si>
  <si>
    <t xml:space="preserve">איך אפשר, אם בכלל, לשלב את השפעתם כדי להגיע לריבית ה״כוללת״ (=אפקטיבית). </t>
  </si>
  <si>
    <t>ריבית נתונה</t>
  </si>
  <si>
    <t>ריבית דריבית</t>
  </si>
  <si>
    <t>תשלומים מראש</t>
  </si>
  <si>
    <t>עמלות</t>
  </si>
  <si>
    <t>המושג: ריבית אפקטיבית = ריבית אמיתית / כוללת בעסקה</t>
  </si>
  <si>
    <t>המקרה הפשוט ביותר לחישוב ריבית אפקטיבית - מצב שבו ידוע כמה מקבלים וכמה משלמים - שני תשלומים בלבד</t>
  </si>
  <si>
    <t>היום</t>
  </si>
  <si>
    <t>סך ההחזר</t>
  </si>
  <si>
    <t>קרן</t>
  </si>
  <si>
    <r>
      <t xml:space="preserve">ריבית בש״ח: ההפרש בין </t>
    </r>
    <r>
      <rPr>
        <sz val="12"/>
        <color rgb="FFFF0000"/>
        <rFont val="David"/>
        <family val="2"/>
        <charset val="177"/>
      </rPr>
      <t>סך התשלום בסוף</t>
    </r>
  </si>
  <si>
    <r>
      <t xml:space="preserve">לבין </t>
    </r>
    <r>
      <rPr>
        <sz val="12"/>
        <color rgb="FF00B050"/>
        <rFont val="David"/>
        <family val="2"/>
        <charset val="177"/>
      </rPr>
      <t>סך הקרן בהתחלה</t>
    </r>
  </si>
  <si>
    <t>כדי לקבל ריבית tפקטיבית באחוזים נכפול ב-100: 12% = 0.12 * 100</t>
  </si>
  <si>
    <t>נוסחה מקצרת - לחישוב ריבית בעסקאות פשוטות ״תשלום אחד בהתחלה ותשלום אחד בסוף״:</t>
  </si>
  <si>
    <t>תשלום / תקבול בסוף בערך מוחלט</t>
  </si>
  <si>
    <t>תשלום / תקבול בהתחלה בערך מוחלט</t>
  </si>
  <si>
    <t>כדי לתרגם לאחוזים כופלים ב-100:</t>
  </si>
  <si>
    <t>0.12 * 100 = 12%</t>
  </si>
  <si>
    <t>כאשר</t>
  </si>
  <si>
    <t>עובדים</t>
  </si>
  <si>
    <t>בגישה</t>
  </si>
  <si>
    <t>זו</t>
  </si>
  <si>
    <t xml:space="preserve">הריבית </t>
  </si>
  <si>
    <t xml:space="preserve">המתקבלת </t>
  </si>
  <si>
    <t>היא לתקופת</t>
  </si>
  <si>
    <t xml:space="preserve">העסקה </t>
  </si>
  <si>
    <t>כולה</t>
  </si>
  <si>
    <t>האפקטיבית</t>
  </si>
  <si>
    <t>דוגמת מאי 1 - עסקה פשוטה עם תשלום בהתחלה ובסוף, והבנת המשמעות של ״הריבית לתקופת העסקה כולה״</t>
  </si>
  <si>
    <t xml:space="preserve">מאי מעוניינת ליטול היום הלוואה לטובת רכישת מכונה לחימום נקניק. </t>
  </si>
  <si>
    <t xml:space="preserve">סכום ההלוואה 143,000 ש״ח. </t>
  </si>
  <si>
    <t xml:space="preserve">ההלוואה ל-4 שנים, ותשולם בתשלום אחד של 185,000 ש״ח בתום השנה ה-4. </t>
  </si>
  <si>
    <t xml:space="preserve">בנוסף לתשלום הבודד הנ״ל, תצטרך מאי לשלם ״עמלת סילוק״ בתום השנה ה-4 בסך 3,000 ש״ח. </t>
  </si>
  <si>
    <t>א. מהי הריבית האפקטיבית לתקופת העסקה כולה (ריבית אפקטיבית ל-4 שנים)?</t>
  </si>
  <si>
    <t>ב. מהי הריבית האפקטיבית לשנה אחת?</t>
  </si>
  <si>
    <t>פתרון סעיף א:</t>
  </si>
  <si>
    <t>כאשר בנקודת זמן מסויימת</t>
  </si>
  <si>
    <t>קיימים מספר תשלומים</t>
  </si>
  <si>
    <t>תמיד נסכום את כולם</t>
  </si>
  <si>
    <t>לשם חישוב CF</t>
  </si>
  <si>
    <t>כלומר, אם בתום העסקה משלמים גם 185,000</t>
  </si>
  <si>
    <t>וגם 3,000 ש״ח</t>
  </si>
  <si>
    <t>מבחיתנו התשלום בסוף הוא 188,000</t>
  </si>
  <si>
    <t>נכפול ב-100 כדי לבטא את התוצאה באחוזים:</t>
  </si>
  <si>
    <t>נשאלת השאלה: לאיזו תקופה הריבית שחישבתי?</t>
  </si>
  <si>
    <t>לפי ההגדרה, חישוב הריבית בטכניקה זו (יחס)</t>
  </si>
  <si>
    <t>מוביל לריבית האפקטיבית לתקופת העסקה</t>
  </si>
  <si>
    <t xml:space="preserve">כולה - ריבית אפקטיבית ל-4 שנים במקרה זה. </t>
  </si>
  <si>
    <t xml:space="preserve">זה מה שרצו = זו התשובה לנדרש א. </t>
  </si>
  <si>
    <t>פתרון סעיף ב - הסעיף דורש את הריבית האפקטיבית לשנה אחת בלבד</t>
  </si>
  <si>
    <t xml:space="preserve">כיצד מבצעים המרה של ריבית מתקופה ״ארוכה לקצרה״? </t>
  </si>
  <si>
    <t xml:space="preserve">ריבית אפקטיבית מומרת מתקופה אחת לאחרת (ובפרט - מארוכה לקצרה) באמצעות חזקה עם שבר מתאים. </t>
  </si>
  <si>
    <t>רצוי: ריבית אפקטיבית לשנה 1</t>
  </si>
  <si>
    <t>מצוי:</t>
  </si>
  <si>
    <t>ריבית אפקטיבית ל-4 שנים</t>
  </si>
  <si>
    <t>מעריך החזקה: היחס בין הרצוי 1</t>
  </si>
  <si>
    <t>למצוי 4</t>
  </si>
  <si>
    <t>דוגמת מאי2 - חישוב ריבית אפקטיבית במקרה הפשוט כולל התאמה לשנה</t>
  </si>
  <si>
    <t xml:space="preserve">מאי שוקלת ליטול הלוואה לטובת רכש מכונת נקניק נוספת בסך 400,000 ש״ח. </t>
  </si>
  <si>
    <t xml:space="preserve">מיד במועד העמדת ההלוואה תשלם מאי סכום של 32,000 ש״ח. </t>
  </si>
  <si>
    <t>בסיום העסקה, תשלם מאי את:</t>
  </si>
  <si>
    <t>א. הקרן הבסיסית בסך 400,000 ש״ח ובנוסף</t>
  </si>
  <si>
    <t>ב. עמלת פרעון בסך 30,000 ש״ח ובנוסף</t>
  </si>
  <si>
    <t>ג. דמי אשראי בשיעור 10% מהקרן הבסיסית</t>
  </si>
  <si>
    <t xml:space="preserve">ההלוואה היא ל-6 שנים. </t>
  </si>
  <si>
    <t>נדרש: מהי הריבית האפקטיבית לשנה בעסקה.</t>
  </si>
  <si>
    <t>טיפ לפותר:</t>
  </si>
  <si>
    <t>השתמשו בנוסחה כדי לחשב</t>
  </si>
  <si>
    <t>את הריבית האפקטיבית לתקופת</t>
  </si>
  <si>
    <t>העסקה כולה</t>
  </si>
  <si>
    <t>באמצעות חזקה מתאימה המירו</t>
  </si>
  <si>
    <t>את התוצאה לשנה אחת</t>
  </si>
  <si>
    <t>אפשר לבצע את המכפלה</t>
  </si>
  <si>
    <t>ב-100 בתוך החישוב או אחר כך</t>
  </si>
  <si>
    <t>בשלב הראשון, מחשבים את הריבית האפקטיבית לתקופת העסקה כולה, לפי היחס בין סך התשלום בסוף בערך מוחלט</t>
  </si>
  <si>
    <t xml:space="preserve">לבין סך התקבול בהתחלה בערך מוחלט. </t>
  </si>
  <si>
    <t>סך התשלום בסוף:</t>
  </si>
  <si>
    <t>קרן בסיסית</t>
  </si>
  <si>
    <t>עמלת פרעון</t>
  </si>
  <si>
    <t>דמי אשראי</t>
  </si>
  <si>
    <t xml:space="preserve">10% * 400,000 = </t>
  </si>
  <si>
    <t>CFt</t>
  </si>
  <si>
    <t xml:space="preserve">שימו לב - למרות שנתון שמשלמים גם 32,000 ש״ח מיידית - הרי ש-CFt מוגדר בתור התשלומים בסוף בלבד. </t>
  </si>
  <si>
    <t>תשלום מיידי איננו תשלום בסוף, ולכן איננו חלק מה-CFt.</t>
  </si>
  <si>
    <t>סך התקבול בהתחלה:</t>
  </si>
  <si>
    <t>משולם מיד</t>
  </si>
  <si>
    <t>CF0</t>
  </si>
  <si>
    <t>כאשר נוטלים הלוואה ומיד במועד העמדתה</t>
  </si>
  <si>
    <t>צריך לשלם כסף, הסכום נטו שמקבלים בזמן זה,</t>
  </si>
  <si>
    <t xml:space="preserve">כלומר ה-CF0 יקטן. </t>
  </si>
  <si>
    <t>ריבית אפקטיבית לכל תקופת העסקה 6 שנים</t>
  </si>
  <si>
    <t xml:space="preserve">בשלב השני, נמיר את הריבית לתקופת העסקה כולה (6 שנים) לשנה אחת ע״י חזקה מתאימה שהיא היחס בין הרצוי (שנה) למצוי (שש שנים). </t>
  </si>
  <si>
    <t>ריבית אפקטיבית לשנה אחת = התשובה הסופית לשאלה.</t>
  </si>
  <si>
    <r>
      <t xml:space="preserve">המקרה </t>
    </r>
    <r>
      <rPr>
        <b/>
        <sz val="12"/>
        <color rgb="FFFF0000"/>
        <rFont val="David"/>
        <family val="2"/>
        <charset val="177"/>
      </rPr>
      <t>השני</t>
    </r>
    <r>
      <rPr>
        <b/>
        <sz val="12"/>
        <color theme="1"/>
        <rFont val="David"/>
        <family val="2"/>
        <charset val="177"/>
      </rPr>
      <t xml:space="preserve"> - חישוב ריבית אפקטיבית כאשר </t>
    </r>
    <r>
      <rPr>
        <b/>
        <u/>
        <sz val="12"/>
        <color theme="1"/>
        <rFont val="David"/>
        <family val="2"/>
        <charset val="177"/>
      </rPr>
      <t>הריבית הנקובה נתונה</t>
    </r>
    <r>
      <rPr>
        <b/>
        <sz val="12"/>
        <color theme="1"/>
        <rFont val="David"/>
        <family val="2"/>
        <charset val="177"/>
      </rPr>
      <t xml:space="preserve"> והיא </t>
    </r>
    <r>
      <rPr>
        <b/>
        <u/>
        <sz val="12"/>
        <color theme="1"/>
        <rFont val="David"/>
        <family val="2"/>
        <charset val="177"/>
      </rPr>
      <t>מחושבת כריבית דריבית</t>
    </r>
  </si>
  <si>
    <t>כאשר הריבית בעסקה היא ריבית נקובה ומחושבת מספר פעמים - נוצר תהליך חישובי שנקרא ״ריבית דריבית״</t>
  </si>
  <si>
    <t xml:space="preserve">שמוביל לכך שהריבית האפקטיבית / הכוללת היא גבוהה יותר מהריבית הרשומה בחוזה. </t>
  </si>
  <si>
    <t>מיד נדגים ונראה איך זה עובד.</t>
  </si>
  <si>
    <t>ונתרגל גם אותה.</t>
  </si>
  <si>
    <t>בשלב ראשון נבצע המחשה כדי להבין את ההיגיון (ארוך יחסית) ועל בסיס ההיגיון נבנה נוסחה מקוצרת</t>
  </si>
  <si>
    <r>
      <t>הריבית השנתית ה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היא 10%, והיא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</si>
  <si>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ב. מהי הריבית האפקטיבית השנתית (באחוזים).</t>
  </si>
  <si>
    <t>זה אומר שכל רבעון הבנק ״עוצר״ ומוסיף ריבית של רבעון אחד לקרן = כל רבעון הבנק יוסיף:</t>
  </si>
  <si>
    <t>10%/4 = 2.5%</t>
  </si>
  <si>
    <t>בתום הרבעון הראשון, הבנק יוסיף 2.5 לקרן והיתרה 102.5.</t>
  </si>
  <si>
    <t>בתום הרבעון השני, הבנק יוסיף 2.5% * 102.5 ל-102.5.</t>
  </si>
  <si>
    <t>וכן הלאה...</t>
  </si>
  <si>
    <t>בקצרה:</t>
  </si>
  <si>
    <t xml:space="preserve">100 * (1 + 10%/4) * (1+ 10%/4) * (1 + 10%/4) * (1 + 10%/4) </t>
  </si>
  <si>
    <t>יותר בקצרה:</t>
  </si>
  <si>
    <t xml:space="preserve">100 * (1 + 10%/4)^4 = </t>
  </si>
  <si>
    <t>סך הסכום הכספי שנקבל בסוף:</t>
  </si>
  <si>
    <t>פתרון - סעיף א</t>
  </si>
  <si>
    <t>במלים: כפלנו את הקרן הראשונית ב-1 ועוד ריבית יחסית לתקופת חישוב: 10% לשנה, חלקי 4 - כי החישוב כל רבעון.</t>
  </si>
  <si>
    <t>אחר כך העלינו בחזקת 4, כדי לבצע ריבית דריבית לשנה שלמה.</t>
  </si>
  <si>
    <r>
      <t xml:space="preserve">אם הריבית הנתונה 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לשנה: 10%.</t>
    </r>
  </si>
  <si>
    <r>
      <t xml:space="preserve">ונתון שהיא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</si>
  <si>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הכולל הנצבר בתום התקופה, הנוסחה תהיה:</t>
  </si>
  <si>
    <r>
      <t>אז בעצם: אם אני נתקל בשאלה שבה המלל הספציפי אומר ״</t>
    </r>
    <r>
      <rPr>
        <b/>
        <sz val="12"/>
        <color theme="1"/>
        <rFont val="David"/>
        <family val="2"/>
        <charset val="177"/>
      </rPr>
      <t>ריבית נקובה המחושבת כל</t>
    </r>
    <r>
      <rPr>
        <sz val="12"/>
        <color theme="1"/>
        <rFont val="David"/>
        <family val="2"/>
        <charset val="177"/>
      </rPr>
      <t>״ הרי שכדי לחשב את הסכום</t>
    </r>
  </si>
  <si>
    <t>הסכום הראשוני - הלוואה שאני לוקח/ת היום; או סכום הפקדה שאני מבצעת היום.</t>
  </si>
  <si>
    <t>הריבית הנקובה (החוזית) בלבד - אם הנתונים בשאלה אינם כוללים ריבית נקובה / חוזית לא נשתמש בנוסחה הזו.</t>
  </si>
  <si>
    <t xml:space="preserve">מספר תקופות חישוב הריבית בתקופת הריבית הנקובה הנתונה: </t>
  </si>
  <si>
    <t>הריבית הנקובה הנתונה = לשנה אחת פה = 10%</t>
  </si>
  <si>
    <t xml:space="preserve">אמרו שהריבית מחושבת כל רבעון. </t>
  </si>
  <si>
    <t xml:space="preserve">דרשו כאן - ריבית אפקטיבית לשנה. </t>
  </si>
  <si>
    <t>מספר תקופות חישוב הריבית בתקופה הנדרשת (הריבית האפקטיבית הנדרשת):</t>
  </si>
  <si>
    <t>הריבית מחושבת כל רבעון.</t>
  </si>
  <si>
    <r>
      <t xml:space="preserve">לכן ה-n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הנקובה (שנה)</t>
    </r>
    <r>
      <rPr>
        <sz val="12"/>
        <color theme="1"/>
        <rFont val="David"/>
        <family val="2"/>
        <charset val="177"/>
      </rPr>
      <t xml:space="preserve"> = 4.</t>
    </r>
  </si>
  <si>
    <r>
      <t xml:space="preserve">לכן ה-t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האפקטיבית הנדרשת (שנה)</t>
    </r>
    <r>
      <rPr>
        <sz val="12"/>
        <color theme="1"/>
        <rFont val="David"/>
        <family val="2"/>
        <charset val="177"/>
      </rPr>
      <t xml:space="preserve"> = 4. </t>
    </r>
  </si>
  <si>
    <t>נדרש ב - מהי הריבית האפקטיבית לשנה?</t>
  </si>
  <si>
    <t xml:space="preserve">העסקה כאן היא לשנה אחת. </t>
  </si>
  <si>
    <t xml:space="preserve">בעסקה אני מפקיד מיד 100 כלומר CF0=100, וכפי שהבהרתי בנדרש א, בסוף השנה אקבל: CFt=110.2891 </t>
  </si>
  <si>
    <t>אם אני יודע בדיוק כמה אני מפקיד בהתחלה וכמה אני מקבל בסוף, היחס בין הערכים פחות אחת הוא הריבית האפקטיבית</t>
  </si>
  <si>
    <t>לתקופת העסקה (שנה):</t>
  </si>
  <si>
    <t>טיפ: במקום לעבוד על נדרש א (חישוב הסכום הכולל) רק אז על נדרש ב (חישוב הריבית באחוזים), אפשר לעבוד</t>
  </si>
  <si>
    <t>על הנוסחה הבאה - לוקחת ריבית נקובה באחוזים המחושבת כל ____ והופכת אותה לאפקטיבית שנתית:</t>
  </si>
  <si>
    <t>כלומר - אין צורך חיוני לעבוד על CF אפשר להשתמש בנתונים</t>
  </si>
  <si>
    <t xml:space="preserve">באחוזים בלבד. </t>
  </si>
  <si>
    <t>re</t>
  </si>
  <si>
    <t>ריבית אפקטיבית באחוזים לתקופה הנדרשת</t>
  </si>
  <si>
    <t>R</t>
  </si>
  <si>
    <t>ריבית נקובה באחוזים</t>
  </si>
  <si>
    <t>כמה תקופות חישוב ריבית כלולות בתקופת הריבית הנקובה הנתונה</t>
  </si>
  <si>
    <t>t</t>
  </si>
  <si>
    <t>כמה תקופות חישוב ריבית כלולות בתקופת הריבית האפקטיבית הנדרשת</t>
  </si>
  <si>
    <t>שאלת מאי 3 - חישוב ריבית אפקטיבית בנוסחה המקצרת כאשר הריבית הנתונה נקובה ומחושבת מספר פעמים (ריבית דריבית)</t>
  </si>
  <si>
    <t xml:space="preserve">מאי מעוניינת לרכוש לארוסה מתנה לחתונה מקבוק פרו בעלות 30,000 ש״ח. </t>
  </si>
  <si>
    <t xml:space="preserve">לשם מימון 80% מסכום הרכישה, היא מעוניינת ליטול הלוואה לתקופה של 3 שנים. </t>
  </si>
  <si>
    <t xml:space="preserve">הריבית השנתית הנקובה בהלוואה היא 12%, והיא מחושבת כל חודש. </t>
  </si>
  <si>
    <t>א. מהי הריבית האפקטיבית השנתית?</t>
  </si>
  <si>
    <t>ב. כיצד תשתנה תשובתכם אם הריבית הנקובה החצי שנתית היא 8%, והיא מחושבת כל חודש?</t>
  </si>
  <si>
    <t xml:space="preserve">מבוא / רקע: למרות שיש כאן נתונים כספיים - כלומר, אפשר לחשב את CF0 ואת CFt, הואיל והמצב הוא שיש נתונים באחוזים </t>
  </si>
  <si>
    <t xml:space="preserve">של ריבית נקובה המחושבת כל _____ ניתן וכדאי להשתמש בנוסחת הקיצור כדי לחשב ריבית אפקטיבית שנתית באחוזים. </t>
  </si>
  <si>
    <t>כלומר, יש להשתמש בנוסחה הבאה:</t>
  </si>
  <si>
    <t>לשנה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</si>
  <si>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B050"/>
        <rFont val="David"/>
        <family val="2"/>
        <charset val="177"/>
      </rPr>
      <t>תקופת ריבית נקובה נתונה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</si>
  <si>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70C0"/>
        <rFont val="David"/>
        <family val="2"/>
        <charset val="177"/>
      </rPr>
      <t>תקופת ריבית אפקטיבית נדרשת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</si>
  <si>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לחצי 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</si>
  <si>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תקופת ריבית נקובה נתונה חצי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בחצי שנה</t>
    </r>
    <r>
      <rPr>
        <sz val="12"/>
        <color theme="1"/>
        <rFont val="David"/>
        <family val="2"/>
        <charset val="177"/>
      </rPr>
      <t xml:space="preserve"> = 6</t>
    </r>
  </si>
  <si>
    <r>
      <t xml:space="preserve">ב. כיצד תשתנה תשובתכם </t>
    </r>
    <r>
      <rPr>
        <b/>
        <sz val="12"/>
        <color theme="1"/>
        <rFont val="David"/>
        <family val="2"/>
        <charset val="177"/>
      </rPr>
      <t>לנדרש - ריבית אפקטיבית לשנה</t>
    </r>
    <r>
      <rPr>
        <sz val="12"/>
        <color theme="1"/>
        <rFont val="David"/>
        <family val="2"/>
        <charset val="177"/>
      </rPr>
      <t xml:space="preserve"> - אם הריבית הנקובה החצי שנתית היא 8%, והיא מחושבת כל חודש?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</si>
  <si>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תקופת ריבית אפקטיבית נדרשת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</si>
  <si>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מפגש 8 - יסודות המימון א - לוחות סילוקין, הלוואות ואינפלציה</t>
  </si>
  <si>
    <t xml:space="preserve">החלק הראשון של המפגש - חזרה, תרגול, חידוד - ומבנה ״רמת בחינה״ בנושא חישובי ריבית אפקטיבית </t>
  </si>
  <si>
    <t>ריכוז נוסחאות בסיסיות בנושא חישובי ריבית:</t>
  </si>
  <si>
    <t>המרת ריבית נקובה ב-% המחושבת מספר פעמים (ריבית דריבית) לריבית אפקטיבית ב-%:</t>
  </si>
  <si>
    <t>הריבית האפקטיבית לתקופה הנדרשת</t>
  </si>
  <si>
    <t>ריבית נקובה</t>
  </si>
  <si>
    <t>מספר תקופות חישוב הריבית בתקופת הריבית הנקובה ב-R</t>
  </si>
  <si>
    <t>מספר תקופות חישוב הריבית בתקופת הריבית האפקטיבית הנדרשת ב-re</t>
  </si>
  <si>
    <t>המרה של ריבית ב-% המנוכה מראש לריבית אפקטיבית ב-%:</t>
  </si>
  <si>
    <t>ריבית אפקטיבית לתקופת העסקה</t>
  </si>
  <si>
    <t>d</t>
  </si>
  <si>
    <t>שיעור הניכוי מראש (שיעור הריבית מראש) לתקופת העסקה</t>
  </si>
  <si>
    <t>כאשר ידוע / ניתן לחשב בקלות את הסכום ״בזמן 0״ ואת הסכום ״בתום העסקה״</t>
  </si>
  <si>
    <t>התשלום / התקבול בסוף (בערך מוחלט)</t>
  </si>
  <si>
    <t>התשלום / התקבול ההתחלתי (בערך מוחלט)</t>
  </si>
  <si>
    <t>המרת ריבית אפקטיבית נתונה לריבית אפקטיבית לתקופה אחרת</t>
  </si>
  <si>
    <t>מספר תקופות הריבית האפקטיבית הנתונה בתקופה הנדרשת - התקופה הרצויה חלקי התקופה המצויה</t>
  </si>
  <si>
    <t>ריבית אפקטיבית לתקופה הנדרשת - רצויה</t>
  </si>
  <si>
    <t>ריבית אפקטיבית לתקופה כלשהי - מצוי</t>
  </si>
  <si>
    <t>תרגיל ״מאי הנעדרת והנהדרת״ - חישובי ריבית מסוגים שונים - סגנון בחינה ושילוב נוסחאות</t>
  </si>
  <si>
    <t xml:space="preserve">מאי מעוניינת ליטול הלוואה בסך 100,000 ש״ח לתקופה של חצי שנה. </t>
  </si>
  <si>
    <t>מציעים לה את מסלולי ההלוואה הבאים:</t>
  </si>
  <si>
    <t>ב. מסלול הדורש תשלום ריבית מראש בשיעור 5% (לכל תקופת העסקה).</t>
  </si>
  <si>
    <t>ג. מסלול הדורש ממנה לשלם בתום התקופה (בתום חצי שנה) את הקרן בתוספת עמלת פרעון בסך 13,000 ש״ח.</t>
  </si>
  <si>
    <t>א. ריבית נקובה שנתית בשיעור 12% המחושבת כל חודש.</t>
  </si>
  <si>
    <t>ד. מסלול הדורש עמלת עריכת מסמכים בסך 4,000 ש״ח בתחילת התקופה, וכן נושא ריבית נקובה חצי שנתית בשיעור 3%</t>
  </si>
  <si>
    <t>המחושבת כל חודש ומשולמת במועד הפרעון.</t>
  </si>
  <si>
    <r>
      <t xml:space="preserve">נדרש: על בסיס חישוב הריבית האפקטיבית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בכל חלופה, מהו המסלול שתעדיף מאי?</t>
    </r>
  </si>
  <si>
    <t>ריבית נקובה (או ריבית חוזית) היא הריבית המופיעה בהסכם ההלוואה / ההשקעה. במקרים רבים ריבית זו שונה מהריבית</t>
  </si>
  <si>
    <t xml:space="preserve">האמיתית / הכוללת / האפקטיבית. </t>
  </si>
  <si>
    <t xml:space="preserve">המטרה היא לזהות כיצד (נוסחה / תהליך חישובי) נבצע את ההמרה מריבית נקובה לאפקטיבית. </t>
  </si>
  <si>
    <t>כאשר נתון הנתוני השאלה: ״ריבית נקובה בשיעור ____ המחושבת כל ____״ = חישוב של ריבית דריבית, שכדי לבטא</t>
  </si>
  <si>
    <t>את הריבית האפקטיבית / הכוללת בגינו, נשתמש בנוסחה שמתאימה לריבית דריבית:</t>
  </si>
  <si>
    <t xml:space="preserve">ההלוואה עצמה היא לחצי שנה. </t>
  </si>
  <si>
    <t xml:space="preserve">ריבית נקובה 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</si>
  <si>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הנקובה</t>
    </r>
  </si>
  <si>
    <r>
      <t xml:space="preserve">למרות זאת </t>
    </r>
    <r>
      <rPr>
        <b/>
        <sz val="12"/>
        <color theme="1"/>
        <rFont val="David"/>
        <family val="2"/>
        <charset val="177"/>
      </rPr>
      <t xml:space="preserve">דרשו ריבית אפקטיבית </t>
    </r>
    <r>
      <rPr>
        <b/>
        <sz val="12"/>
        <color rgb="FFFF0000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 xml:space="preserve"> שלמה</t>
    </r>
    <r>
      <rPr>
        <sz val="12"/>
        <color theme="1"/>
        <rFont val="David"/>
        <family val="2"/>
        <charset val="177"/>
      </rPr>
      <t>.</t>
    </r>
  </si>
  <si>
    <t>טיפ: אם תקופת הריבית הנקובה (כאן - שנה) זהה לתקופת הריבית האפקטיבית הנדרשת (שנה)</t>
  </si>
  <si>
    <t xml:space="preserve">המכנה ומעריך החזקה זהים. </t>
  </si>
  <si>
    <t>אם למשל תקופת הריבית הנקובה שנה, וביקשו ריבית אפקטיבית לתקופה נדרשת של חצי שנה</t>
  </si>
  <si>
    <t>המכנה והמעריך היו שונים: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</si>
  <si>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הנדרשת</t>
    </r>
    <r>
      <rPr>
        <sz val="9"/>
        <color theme="1"/>
        <rFont val="David"/>
        <family val="2"/>
        <charset val="177"/>
      </rPr>
      <t xml:space="preserve"> - האפקטיבית</t>
    </r>
  </si>
  <si>
    <r>
      <t xml:space="preserve">בקצרה: המרה </t>
    </r>
    <r>
      <rPr>
        <b/>
        <u/>
        <sz val="12"/>
        <color theme="1"/>
        <rFont val="David"/>
        <family val="2"/>
        <charset val="177"/>
      </rPr>
      <t>מריבית נקובה שנתית 12%</t>
    </r>
    <r>
      <rPr>
        <b/>
        <sz val="12"/>
        <color theme="1"/>
        <rFont val="David"/>
        <family val="2"/>
        <charset val="177"/>
      </rPr>
      <t xml:space="preserve"> </t>
    </r>
    <r>
      <rPr>
        <b/>
        <u/>
        <sz val="12"/>
        <color theme="1"/>
        <rFont val="David"/>
        <family val="2"/>
        <charset val="177"/>
      </rPr>
      <t>המחושבת</t>
    </r>
    <r>
      <rPr>
        <b/>
        <sz val="12"/>
        <color theme="1"/>
        <rFont val="David"/>
        <family val="2"/>
        <charset val="177"/>
      </rPr>
      <t xml:space="preserve"> מספר פעמים (</t>
    </r>
    <r>
      <rPr>
        <b/>
        <u/>
        <sz val="12"/>
        <color theme="1"/>
        <rFont val="David"/>
        <family val="2"/>
        <charset val="177"/>
      </rPr>
      <t>כל חודש</t>
    </r>
    <r>
      <rPr>
        <b/>
        <sz val="12"/>
        <color theme="1"/>
        <rFont val="David"/>
        <family val="2"/>
        <charset val="177"/>
      </rPr>
      <t xml:space="preserve">) לריבית אפקטיבית </t>
    </r>
    <r>
      <rPr>
        <b/>
        <u/>
        <sz val="12"/>
        <color theme="1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>:</t>
    </r>
  </si>
  <si>
    <t>אם זיהיתי שיעור מסוים מסכום העסקה (אחוז מסוים) שעליי לשלם מראש, אזי סכום זה מקטין את הסכום הראשוני,</t>
  </si>
  <si>
    <t>והנוסחה המתאימה עבורו תהיה:</t>
  </si>
  <si>
    <t>הריבית האפקטיבית לתקופת העסקה</t>
  </si>
  <si>
    <t>ב. מסלול הדורש תשלום ריבית מראש בשיעור 5% (לכל תקופת העסקה). כאן תקופת העסקה חצי שנה.</t>
  </si>
  <si>
    <t>אחוז (שיעור) הניכוי מראש (משלמים מראש) בתחילת העסקה</t>
  </si>
  <si>
    <t>תזכורת: נתוני העסקה הם לחצי שנה, לכן הריבית האפקטיבית שחושבה בדרך זו שהיא לתקופת העסקה זוהי</t>
  </si>
  <si>
    <t>ריבית אפקטיבית חצי שנתית.</t>
  </si>
  <si>
    <t xml:space="preserve">אם רוצים (וזה הנדרש) לחשב ריבית אפקטיבית לשנה, נדרשת פעולה נוספת. </t>
  </si>
  <si>
    <t>ריבית אפקטיבית לתקופת העסקה = חצי שנה:</t>
  </si>
  <si>
    <t xml:space="preserve">אופן ההמרה מריבית אפקטיבית לחצי שנה - לריבית אפקטיבית לשנה שאותה דרשו - יבוצע עם נוסחה אחרת - </t>
  </si>
  <si>
    <t>נוסחת החזקה ה״מוכרת״:</t>
  </si>
  <si>
    <t>נדרשת - ריבית אפקטיבית לשנה</t>
  </si>
  <si>
    <t>נתונה / חושב</t>
  </si>
  <si>
    <t>קודם (לחצי שנה)</t>
  </si>
  <si>
    <t xml:space="preserve">מספר </t>
  </si>
  <si>
    <t>תקופות</t>
  </si>
  <si>
    <t>הריבית</t>
  </si>
  <si>
    <t>רצוי: שנה, חלקי מצוי: חצי שנה</t>
  </si>
  <si>
    <t>ריבית אפקטיבית לשנה מסלול 2:</t>
  </si>
  <si>
    <t>הנתונה - חצי שנה</t>
  </si>
  <si>
    <t>בתקופה הנדרשת - שנה, לכן 2</t>
  </si>
  <si>
    <r>
      <t xml:space="preserve">א. ריבית נקובה </t>
    </r>
    <r>
      <rPr>
        <b/>
        <sz val="12"/>
        <color rgb="FFFF0000"/>
        <rFont val="David"/>
        <family val="2"/>
        <charset val="177"/>
      </rPr>
      <t>שנתית</t>
    </r>
    <r>
      <rPr>
        <b/>
        <sz val="12"/>
        <color theme="1"/>
        <rFont val="David"/>
        <family val="2"/>
        <charset val="177"/>
      </rPr>
      <t xml:space="preserve"> בשיעור 12% המחושבת כל חודש.</t>
    </r>
  </si>
  <si>
    <t>כאשר זיהיתי שאלה שבה כל הסכומים כספיים - כלומר אומרים בסכום כספי כמה נקבל, כמה נשלם (הנתונים אינם</t>
  </si>
  <si>
    <t>באחוזים), בדרך כלל הדרך הקלה ביותר לחישוב הריבית האפקטיבית לתקופת העסקה - תתבסס על היחס בין הסכומים:</t>
  </si>
  <si>
    <t>נתוני השאלה: עסקת הלוואה לחצי שנה בסכום של 100,000 ש״ח, הדורשת תשלום בתום התקופה של הקרן בתוספת</t>
  </si>
  <si>
    <t xml:space="preserve">עמלת פרעון בסך 13,000 ש״ח. נדרש: ריבית אפקטיבית שנתית. </t>
  </si>
  <si>
    <t>הסכום הסופי נטו, שמתקבל / משולם בסיום העסקה: קרן 100,000 בתוספת 13,000 = 113,000</t>
  </si>
  <si>
    <t>הסכום הראשוני נטו, שמתקבל / משולם בזמן 0 - קרן נטו 100,000</t>
  </si>
  <si>
    <t>חשוב:מקרה זה (בדומה למקרה של ריבית מראש)</t>
  </si>
  <si>
    <t>מוביל לריבית אפקטיבית לתקופת העסקה</t>
  </si>
  <si>
    <t>כלומר התוצאה כאן היא ריבית אפקטיבית לחצי שנה</t>
  </si>
  <si>
    <t xml:space="preserve">כי ההלוואה היא לחצי שנה. </t>
  </si>
  <si>
    <t>אם דרשו (וכאן - אכן דרשו) להגיע לריבית האפקטיבית השנתית (לריבית אפקטיבית ששונה מתקופת העסקה)</t>
  </si>
  <si>
    <t>נדרש צעד נוסף - להמרה של האפקטיבית החצי שנתית לשנתית כי זו הדרישה:</t>
  </si>
  <si>
    <t>אפקטיבית חצי שנתית</t>
  </si>
  <si>
    <t>ריבית אפקטיבית לשנה מסלול 3:</t>
  </si>
  <si>
    <t>נתונים בקצרה: הלוואה 100,000 ש״ח, משלמים מיד 4,000 ש״ח, ובתום התקופה מחזירים קרן + ריבית נקובה חצי שנתית 3%</t>
  </si>
  <si>
    <t xml:space="preserve">כאשר מדובר במקרה מורכב הכולל שילוב של סכומים שונים, בתחילת תקופה, בתום תקופה, עם אחוזים וגם סכומים </t>
  </si>
  <si>
    <t>כספיים - ההמלצה החמה היא לייצר ציר זמן ועליו להציג את הערכים הכספיים נטו בתחילת התקופה ובסופה.</t>
  </si>
  <si>
    <t>כלומר, אעבוד עם נוסחת CF, פשוט תהיה לי עבודה נוספת כדי לחשב את ערכי CF.</t>
  </si>
  <si>
    <t>קרן הלוואה</t>
  </si>
  <si>
    <t>בניכוי תשלום מיידי</t>
  </si>
  <si>
    <t>תזרים נטו בזמן 0 = CF0</t>
  </si>
  <si>
    <t>המחושבת כל חודש. נדרשת ריבית אפקטיבית לשנה.</t>
  </si>
  <si>
    <t>כדי לחשב את סך התשלום בעתיד, כאשר הריבית הנקובה מחושבת מספר פעמים</t>
  </si>
  <si>
    <t>אעבוד באותו תהליך שדומה לנוסחת ריבית דריבית - ״בלי המינוס אחת״</t>
  </si>
  <si>
    <t>ה-n: מספר תקופות חישוב הריבית בתקופת הריבית הנקובה</t>
  </si>
  <si>
    <t>כאן: ריבית נקובה לחצי שנה, מחושבת כל חודש, =6</t>
  </si>
  <si>
    <t>ה-t: מספר תקופות חישוב הריבית בתקופה הנדרשת</t>
  </si>
  <si>
    <t>המטרה היא לחשב את סך ההחזר אחרי חצי שנה</t>
  </si>
  <si>
    <t>לכן המעריך הוא 6.</t>
  </si>
  <si>
    <t>לאחר שהסכומים בתחילת העסקה (זמן 0) ובסיומה (אחרי חצי שנה)</t>
  </si>
  <si>
    <t xml:space="preserve">ידועים, היחס ביניהם ישקף ריבית אפקטיבית לתקופת העסקה (חצי שנה). </t>
  </si>
  <si>
    <t>שימו לב, תמיד צריך לבדוק על מה הריבית מחושבת.</t>
  </si>
  <si>
    <t>אם הריבית מחושבת על כל הסכום הראשוני נטו,</t>
  </si>
  <si>
    <t>המקרה הפשוט והנפוץ, במקום המילה קרן</t>
  </si>
  <si>
    <t>יהיה C0</t>
  </si>
  <si>
    <t>ריבית אפקטיבית לחצי שנה:</t>
  </si>
  <si>
    <t>כאשר מדובר בעסקת הלוואה, הלווה יעדיף את החלופה שבה הריבית האפקטיבית במונחים שנתיים היא הנמוכה ביותר:</t>
  </si>
  <si>
    <t>תועדף חלופה ב שבה הריבית האפקטיבית היא הנמוכה ביותר.</t>
  </si>
  <si>
    <t xml:space="preserve">תשובה סופית </t>
  </si>
  <si>
    <t>לשאלת מבחן</t>
  </si>
  <si>
    <t>תרגיל ״מאי רפואה שלמה״ - חיזוק המקרה המורכב של ריבית מראש בתוספת צבירה של ריבית דריבית על סכום אחר</t>
  </si>
  <si>
    <t>מאי רפואה שלמה בע״מ (להלן: ״החברה״) נטלה ב-1.1.2025 הלוואה שתפרע כולה (קרן + ריבית צבורה) ב-31.12.2026</t>
  </si>
  <si>
    <t xml:space="preserve">כלומר בחלוף שנתיים שלמות. סכום קרן ההלוואה 500,000 ש״ח. </t>
  </si>
  <si>
    <t>ההלוואה דורשת תשלום מראש של דמי טיפול בשיעור 4% מסכום העסקה, כאשר קרן ההלוואה (המלאה) נושאת ריבית</t>
  </si>
  <si>
    <t>נקובה שנתית בשיעור 12% המחושבת כל חודש.</t>
  </si>
  <si>
    <t xml:space="preserve">א. מהי הריבית האפקטיבית לתקופת העסקה כולה (כלומר, ריבית אפקטיבית לשנתיים). </t>
  </si>
  <si>
    <t>נוסחת עזר (נוסחת ריבית) לחישוב CFt - כאשר קרן הלוואה / השקעה נושאת ריבית נקובה המחושבת מספר פעמים</t>
  </si>
  <si>
    <t>הסכום שעליו נצברת הריבית</t>
  </si>
  <si>
    <t>הריבית הנקובה הנתונה אשר נצברת על הקרן (אם יש כזו)</t>
  </si>
  <si>
    <t>מספר תקופות חישוב הריבית בתקופת הריבית הנקובה הנתונה</t>
  </si>
  <si>
    <t>מספר תקופות חישוב הריבית בתקופת העסקה</t>
  </si>
  <si>
    <t>כאשר אני מזהה שאלה שבה יש גם תשלומים בהתחלה, גם תשלומים בסוף, גם צבירה של ריבית דריבית - עירוב מקרים,</t>
  </si>
  <si>
    <t>בדרך כלל ההמלצה היא לנתח את הסכומים הכספיים בהתחלה ובסוף - CFt ו-CF0.</t>
  </si>
  <si>
    <t>ספציפית - אם זיהיתי עסקה שכוללת ריבית מראש / תשלום מראש, ובנוסף הקרן צוברת ריבית דריבית (ריבית נקובה</t>
  </si>
  <si>
    <t>המחושבת כל):</t>
  </si>
  <si>
    <t>קרן = קרן עסקה מוגדרת (לפני ניכויים)</t>
  </si>
  <si>
    <t>הערך d - שיעור התשלום מראש באחוזים</t>
  </si>
  <si>
    <t>הערך R - ריבית נקובה המשולמת בסוף</t>
  </si>
  <si>
    <t>הערך n - מספר תקופות חישוב הריבית בתקופת הנקובה</t>
  </si>
  <si>
    <t>הערך t - מספר תקופות חישוב הריבית בתקופת העסקה</t>
  </si>
  <si>
    <t>כך מגיעים לריבית האפקטיבית לתקופת</t>
  </si>
  <si>
    <t xml:space="preserve">העסקה כולה. </t>
  </si>
  <si>
    <t xml:space="preserve">תזכורת: הלוואה בסך 500,000 ש״ח, משלמים מיד שיעור של 4%, ובסוף העסקה (אחרי שנתיים) משלמים קרן בתוספת </t>
  </si>
  <si>
    <r>
      <t xml:space="preserve">ריבית נקובה שנתית בשיעור 12% המחושבת כל חודש.  </t>
    </r>
    <r>
      <rPr>
        <b/>
        <u/>
        <sz val="12"/>
        <color theme="1"/>
        <rFont val="David"/>
        <family val="2"/>
        <charset val="177"/>
      </rPr>
      <t>הנדרש הראשון שלנו (א) = ריבית אפקטיבית לתקופת העסקה (שנתיים).</t>
    </r>
    <r>
      <rPr>
        <b/>
        <sz val="12"/>
        <color theme="1"/>
        <rFont val="David"/>
        <family val="2"/>
        <charset val="177"/>
      </rPr>
      <t xml:space="preserve"> </t>
    </r>
  </si>
  <si>
    <t>מדוע n=12? גודל זה משקף את התשובה לשאלה: כמה תקופות חישוב ריבית (חודש)</t>
  </si>
  <si>
    <r>
      <t xml:space="preserve">נכנסות </t>
    </r>
    <r>
      <rPr>
        <u/>
        <sz val="12"/>
        <color theme="1"/>
        <rFont val="David"/>
        <family val="2"/>
        <charset val="177"/>
      </rPr>
      <t>בתקופת הריבית הנקובה</t>
    </r>
    <r>
      <rPr>
        <sz val="12"/>
        <color theme="1"/>
        <rFont val="David"/>
        <family val="2"/>
        <charset val="177"/>
      </rPr>
      <t xml:space="preserve"> (כאן - הריבית הנקובה היא לשנה). </t>
    </r>
  </si>
  <si>
    <t xml:space="preserve">לכן n הוא התשובה לשאלה - כמה חודשים נכנסים בשנה אחת = 12. </t>
  </si>
  <si>
    <t>מדוע t=24? גודל זה משקף את התשובה לשאלה: כמה תקופות חישוב ריבית (חודש)</t>
  </si>
  <si>
    <t xml:space="preserve">נכנסות בתקופת העסקה (כאן - תקופת העסקה היא שנתיים). </t>
  </si>
  <si>
    <t xml:space="preserve">לכן t הוא התשובה לשאלה - כמה חודשים נכנסים בשנתיים = 24. </t>
  </si>
  <si>
    <t>לתקופת העסקה כולה</t>
  </si>
  <si>
    <t>כלומר לשנתיים</t>
  </si>
  <si>
    <t>סעיף ב דרש ריבית אפקטיבית לשנה אחת - בשלב זה כבר יש ריבית אפקטיבית לשנתיים, לכן צריך רק חזקה מתאימה</t>
  </si>
  <si>
    <t>ריבית אפקטיבית לשנה אחת</t>
  </si>
  <si>
    <t>היחס הוא 0.5 ולכן זה מעריך החזקה.</t>
  </si>
  <si>
    <t xml:space="preserve">הסבר נוסף - המעריך בהתאמה האחרונה הוא התשובה לשאלה: מה היחס בין הרצוי (שנה) למצוי שחישבתי קודם (שנתיים). </t>
  </si>
  <si>
    <t>שאלת בית 1</t>
  </si>
  <si>
    <t>שיעורי בית לאחר מפגש 8 - במבחן יכולות להיות שאלות ברמה זו / ברמה שהוצגה במפגש / שילוב</t>
  </si>
  <si>
    <t>שאלת בית 2</t>
  </si>
  <si>
    <t>מסלול</t>
  </si>
  <si>
    <t>המועדפת</t>
  </si>
  <si>
    <t>לפירוט הדרך - לחצו דאבל קליק על התא הרלוונטי</t>
  </si>
  <si>
    <t>שאלת בית 3</t>
  </si>
  <si>
    <t>לווה יכולה לבחור בין החלופות הבאות בנטילת הלוואה ל-8 שנים אשר תוחזר בתשלום אחד של קרן וריבית:</t>
  </si>
  <si>
    <t>א. ריבית שנתית נקובה בשיעור 8% המחושבת כל 3 חודשים.</t>
  </si>
  <si>
    <t>ב. ריבית נקובה חצי שנתית בשיעור 4% המחושבת כל שנה.</t>
  </si>
  <si>
    <t>ג. ריבית נקובה חצי שנתית בשיעור 5% המחושבת כל רבעון.</t>
  </si>
  <si>
    <t>ד. ריבית שנתית נקובה בשיעור 9% המחושבת פעם בשנה.</t>
  </si>
  <si>
    <t xml:space="preserve">נדרש: חשבו את הריבית האפקטיבית השנתית בכל חלופה וציינו את החלופה המועדפת. </t>
  </si>
  <si>
    <t>חלופה</t>
  </si>
  <si>
    <t>ריבית אפק׳</t>
  </si>
  <si>
    <t xml:space="preserve">החלופה המועדפת היא חלופה ב. </t>
  </si>
  <si>
    <t>פתרון</t>
  </si>
  <si>
    <t>שאלת בית 4</t>
  </si>
  <si>
    <t>בונוני מעוניין לבצע הפקדה לפקדון לתקופה של 5 שנים. מציעים לו את החלופות הבאות:</t>
  </si>
  <si>
    <t xml:space="preserve">א. פקדון הנושא ריבית שנתית נקובה בשיעור 10% המחושבת כל חצי שנה. </t>
  </si>
  <si>
    <t>ב. פקדון הנושא ריבית חצי שנתית נקובה בשיעור 4% המחושבת כל חודש.</t>
  </si>
  <si>
    <t xml:space="preserve">ג. פקדון הנושא ריבית המשולמת מראש למשקיע בשיעור 40% לכל 5 השנים. </t>
  </si>
  <si>
    <t>ד. פקדון המקנה למשקיע תקבול חד פעמי בשיעור 10% מיד בסיום ההשקעה והקרן המקורית צוברת ריבית  בהתאם</t>
  </si>
  <si>
    <t>חשבו ריבית אפקטיבית שנתית בכל חלופה. מהו המסלול המועדף?</t>
  </si>
  <si>
    <t>קשה יותר</t>
  </si>
  <si>
    <t>א.</t>
  </si>
  <si>
    <t>ב.</t>
  </si>
  <si>
    <t>ג.</t>
  </si>
  <si>
    <t>שלב ראשון - ריבית אפקטיבית ל-5 שנים</t>
  </si>
  <si>
    <t>שלב שני - התאמה לשנה:</t>
  </si>
  <si>
    <t>ד.</t>
  </si>
  <si>
    <t>שלב שני - התאמה לשנה</t>
  </si>
  <si>
    <t xml:space="preserve">לריבית נקובה רבעונית בשיעור 2% המחושבת כל חודש. </t>
  </si>
  <si>
    <t xml:space="preserve">הואיל ומדובר בפקדון תועדף החלופה הנושאת את הריבית האפקטיבית הגבוהה ביותר, במקרה זה - חלופה ג.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</si>
</sst>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  <numFmt numFmtId="175" formatCode="0.0000000%"/>
    <numFmt numFmtId="178" formatCode="_(* #,##0_);_(* \(#,##0\);_(* &quot;-&quot;??_);_(@_)"/>
  </numFmts>
  <fonts count="4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2"/>
      <color theme="5" tint="0.59999389629810485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  <font>
      <sz val="9"/>
      <color theme="0"/>
      <name val="David"/>
      <family val="2"/>
      <charset val="177"/>
    </font>
    <font>
      <u/>
      <sz val="12"/>
      <color rgb="FF00B050"/>
      <name val="David"/>
      <family val="2"/>
      <charset val="177"/>
    </font>
    <font>
      <sz val="8"/>
      <name val="Aptos Narrow"/>
      <family val="2"/>
      <scheme val="minor"/>
    </font>
    <font>
      <u/>
      <sz val="12"/>
      <color rgb="FF0070C0"/>
      <name val="David"/>
      <family val="2"/>
      <charset val="177"/>
    </font>
    <font>
      <u/>
      <sz val="9"/>
      <color theme="1"/>
      <name val="David"/>
      <family val="2"/>
      <charset val="177"/>
    </font>
    <font>
      <u/>
      <sz val="9"/>
      <color rgb="FFFF0000"/>
      <name val="David"/>
      <family val="2"/>
      <charset val="177"/>
    </font>
    <font>
      <sz val="10"/>
      <color theme="2" tint="-0.249977111117893"/>
      <name val="David"/>
      <family val="2"/>
      <charset val="177"/>
    </font>
    <font>
      <sz val="12"/>
      <color rgb="FF000000"/>
      <name val="David"/>
      <family val="2"/>
      <charset val="177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EFA0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rgb="FFE8FFC5"/>
        <bgColor indexed="64"/>
      </patternFill>
    </fill>
    <fill>
      <patternFill patternType="solid">
        <fgColor rgb="FF73FDD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67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14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0" fontId="2" fillId="0" borderId="19" xfId="0" applyFont="1" applyBorder="1"/>
    <xf numFmtId="0" fontId="2" fillId="6" borderId="19" xfId="0" applyFont="1" applyFill="1" applyBorder="1"/>
    <xf numFmtId="3" fontId="2" fillId="0" borderId="19" xfId="0" applyNumberFormat="1" applyFont="1" applyBorder="1"/>
    <xf numFmtId="0" fontId="2" fillId="20" borderId="0" xfId="0" applyFont="1" applyFill="1"/>
    <xf numFmtId="2" fontId="2" fillId="2" borderId="12" xfId="0" applyNumberFormat="1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9" fontId="2" fillId="0" borderId="0" xfId="0" applyNumberFormat="1" applyFont="1"/>
    <xf numFmtId="0" fontId="2" fillId="21" borderId="0" xfId="0" applyFont="1" applyFill="1"/>
    <xf numFmtId="0" fontId="2" fillId="21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4" fillId="0" borderId="0" xfId="0" applyFont="1"/>
    <xf numFmtId="0" fontId="2" fillId="0" borderId="20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16" fontId="2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22" borderId="0" xfId="0" applyFont="1" applyFill="1"/>
    <xf numFmtId="16" fontId="2" fillId="22" borderId="0" xfId="0" applyNumberFormat="1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2" fillId="23" borderId="0" xfId="0" applyFont="1" applyFill="1"/>
    <xf numFmtId="0" fontId="2" fillId="23" borderId="0" xfId="0" applyFont="1" applyFill="1" applyAlignment="1">
      <alignment horizontal="center"/>
    </xf>
    <xf numFmtId="0" fontId="2" fillId="24" borderId="0" xfId="0" applyFont="1" applyFill="1"/>
    <xf numFmtId="0" fontId="2" fillId="24" borderId="0" xfId="0" applyFont="1" applyFill="1" applyAlignment="1">
      <alignment horizontal="center"/>
    </xf>
    <xf numFmtId="0" fontId="2" fillId="25" borderId="0" xfId="0" applyFont="1" applyFill="1"/>
    <xf numFmtId="0" fontId="2" fillId="25" borderId="0" xfId="0" applyFont="1" applyFill="1" applyAlignment="1">
      <alignment horizontal="center"/>
    </xf>
    <xf numFmtId="0" fontId="2" fillId="26" borderId="0" xfId="0" applyFont="1" applyFill="1"/>
    <xf numFmtId="0" fontId="2" fillId="26" borderId="0" xfId="0" applyFont="1" applyFill="1" applyAlignment="1">
      <alignment horizontal="center"/>
    </xf>
    <xf numFmtId="0" fontId="2" fillId="27" borderId="0" xfId="0" applyFont="1" applyFill="1"/>
    <xf numFmtId="0" fontId="2" fillId="27" borderId="0" xfId="0" applyFont="1" applyFill="1" applyAlignment="1">
      <alignment horizontal="center"/>
    </xf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0" borderId="0" xfId="0" applyNumberFormat="1" applyFont="1" applyFill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13" xfId="0" applyFont="1" applyBorder="1" applyAlignment="1">
      <alignment horizontal="center"/>
    </xf>
    <xf numFmtId="0" fontId="27" fillId="0" borderId="13" xfId="0" applyFont="1" applyBorder="1"/>
    <xf numFmtId="0" fontId="26" fillId="23" borderId="0" xfId="0" applyFont="1" applyFill="1"/>
    <xf numFmtId="0" fontId="20" fillId="23" borderId="0" xfId="0" applyFont="1" applyFill="1"/>
    <xf numFmtId="171" fontId="2" fillId="24" borderId="0" xfId="0" applyNumberFormat="1" applyFont="1" applyFill="1"/>
    <xf numFmtId="167" fontId="3" fillId="0" borderId="0" xfId="1" applyNumberFormat="1" applyFont="1"/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8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8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9" fillId="29" borderId="12" xfId="0" applyNumberFormat="1" applyFont="1" applyFill="1" applyBorder="1" applyAlignment="1">
      <alignment horizontal="center"/>
    </xf>
    <xf numFmtId="0" fontId="2" fillId="30" borderId="0" xfId="0" applyFont="1" applyFill="1"/>
    <xf numFmtId="0" fontId="3" fillId="30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30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30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1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1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31" borderId="0" xfId="0" applyFont="1" applyFill="1"/>
    <xf numFmtId="0" fontId="4" fillId="31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9" borderId="0" xfId="0" applyFont="1" applyFill="1" applyAlignment="1">
      <alignment horizontal="center"/>
    </xf>
    <xf numFmtId="0" fontId="21" fillId="29" borderId="0" xfId="0" applyFont="1" applyFill="1" applyAlignment="1">
      <alignment horizontal="center"/>
    </xf>
    <xf numFmtId="0" fontId="27" fillId="0" borderId="0" xfId="0" applyFont="1" applyAlignment="1">
      <alignment horizontal="center" wrapText="1"/>
    </xf>
    <xf numFmtId="0" fontId="32" fillId="2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32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15" fillId="0" borderId="0" xfId="0" applyFont="1" applyAlignment="1">
      <alignment horizontal="center"/>
    </xf>
    <xf numFmtId="0" fontId="2" fillId="32" borderId="0" xfId="0" applyFont="1" applyFill="1" applyAlignment="1">
      <alignment horizontal="center"/>
    </xf>
    <xf numFmtId="169" fontId="2" fillId="32" borderId="0" xfId="0" applyNumberFormat="1" applyFont="1" applyFill="1"/>
    <xf numFmtId="0" fontId="2" fillId="10" borderId="0" xfId="0" applyFont="1" applyFill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10" borderId="0" xfId="0" applyFont="1" applyFill="1"/>
    <xf numFmtId="0" fontId="2" fillId="29" borderId="0" xfId="0" quotePrefix="1" applyFont="1" applyFill="1"/>
    <xf numFmtId="1" fontId="2" fillId="29" borderId="0" xfId="0" applyNumberFormat="1" applyFont="1" applyFill="1" applyAlignment="1">
      <alignment horizontal="center"/>
    </xf>
    <xf numFmtId="0" fontId="4" fillId="33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2" fontId="2" fillId="24" borderId="0" xfId="0" applyNumberFormat="1" applyFont="1" applyFill="1" applyAlignment="1">
      <alignment horizontal="center"/>
    </xf>
    <xf numFmtId="2" fontId="10" fillId="15" borderId="0" xfId="0" applyNumberFormat="1" applyFont="1" applyFill="1" applyAlignment="1">
      <alignment horizontal="center"/>
    </xf>
    <xf numFmtId="0" fontId="14" fillId="11" borderId="0" xfId="0" applyFont="1" applyFill="1"/>
    <xf numFmtId="0" fontId="2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175" fontId="2" fillId="2" borderId="0" xfId="0" applyNumberFormat="1" applyFont="1" applyFill="1"/>
    <xf numFmtId="172" fontId="2" fillId="2" borderId="0" xfId="1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172" fontId="2" fillId="9" borderId="0" xfId="1" applyNumberFormat="1" applyFont="1" applyFill="1"/>
    <xf numFmtId="0" fontId="3" fillId="0" borderId="12" xfId="0" applyFont="1" applyBorder="1"/>
    <xf numFmtId="0" fontId="2" fillId="0" borderId="3" xfId="0" applyFont="1" applyBorder="1" applyAlignment="1">
      <alignment horizontal="center"/>
    </xf>
    <xf numFmtId="9" fontId="2" fillId="0" borderId="0" xfId="0" applyNumberFormat="1" applyFont="1" applyAlignment="1">
      <alignment horizontal="center"/>
    </xf>
    <xf numFmtId="168" fontId="2" fillId="2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2" borderId="0" xfId="1" applyNumberFormat="1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168" fontId="2" fillId="2" borderId="0" xfId="1" applyNumberFormat="1" applyFont="1" applyFill="1" applyAlignment="1">
      <alignment horizontal="center" vertical="center"/>
    </xf>
    <xf numFmtId="0" fontId="2" fillId="9" borderId="19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3" fontId="2" fillId="2" borderId="0" xfId="0" applyNumberFormat="1" applyFont="1" applyFill="1" applyAlignment="1">
      <alignment horizontal="center" vertical="center"/>
    </xf>
    <xf numFmtId="0" fontId="2" fillId="26" borderId="4" xfId="0" applyFont="1" applyFill="1" applyBorder="1" applyAlignment="1">
      <alignment horizontal="center" vertical="center"/>
    </xf>
    <xf numFmtId="0" fontId="2" fillId="26" borderId="6" xfId="0" applyFont="1" applyFill="1" applyBorder="1" applyAlignment="1">
      <alignment horizontal="center" vertical="center"/>
    </xf>
    <xf numFmtId="0" fontId="2" fillId="26" borderId="9" xfId="0" applyFont="1" applyFill="1" applyBorder="1" applyAlignment="1">
      <alignment horizontal="center" vertical="center"/>
    </xf>
    <xf numFmtId="0" fontId="2" fillId="26" borderId="11" xfId="0" applyFont="1" applyFill="1" applyBorder="1" applyAlignment="1">
      <alignment horizontal="center" vertical="center"/>
    </xf>
    <xf numFmtId="0" fontId="2" fillId="27" borderId="4" xfId="0" applyFont="1" applyFill="1" applyBorder="1" applyAlignment="1">
      <alignment horizontal="center" vertical="center"/>
    </xf>
    <xf numFmtId="0" fontId="2" fillId="27" borderId="6" xfId="0" applyFont="1" applyFill="1" applyBorder="1" applyAlignment="1">
      <alignment horizontal="center" vertical="center"/>
    </xf>
    <xf numFmtId="0" fontId="2" fillId="27" borderId="9" xfId="0" applyFont="1" applyFill="1" applyBorder="1" applyAlignment="1">
      <alignment horizontal="center" vertical="center"/>
    </xf>
    <xf numFmtId="0" fontId="2" fillId="27" borderId="11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2" fontId="2" fillId="25" borderId="0" xfId="0" applyNumberFormat="1" applyFont="1" applyFill="1" applyAlignment="1">
      <alignment horizontal="center" vertical="center"/>
    </xf>
    <xf numFmtId="0" fontId="2" fillId="15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22" borderId="4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/>
    </xf>
    <xf numFmtId="0" fontId="2" fillId="22" borderId="8" xfId="0" applyFont="1" applyFill="1" applyBorder="1" applyAlignment="1">
      <alignment horizontal="center" vertical="center"/>
    </xf>
    <xf numFmtId="0" fontId="2" fillId="22" borderId="9" xfId="0" applyFont="1" applyFill="1" applyBorder="1" applyAlignment="1">
      <alignment horizontal="center" vertical="center"/>
    </xf>
    <xf numFmtId="0" fontId="2" fillId="22" borderId="11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3" borderId="7" xfId="0" applyFont="1" applyFill="1" applyBorder="1" applyAlignment="1">
      <alignment horizontal="center" vertical="center" wrapText="1"/>
    </xf>
    <xf numFmtId="0" fontId="2" fillId="23" borderId="8" xfId="0" applyFont="1" applyFill="1" applyBorder="1" applyAlignment="1">
      <alignment horizontal="center" vertical="center" wrapText="1"/>
    </xf>
    <xf numFmtId="0" fontId="2" fillId="23" borderId="9" xfId="0" applyFont="1" applyFill="1" applyBorder="1" applyAlignment="1">
      <alignment horizontal="center" vertical="center" wrapText="1"/>
    </xf>
    <xf numFmtId="0" fontId="2" fillId="23" borderId="11" xfId="0" applyFont="1" applyFill="1" applyBorder="1" applyAlignment="1">
      <alignment horizontal="center" vertical="center" wrapText="1"/>
    </xf>
    <xf numFmtId="0" fontId="2" fillId="24" borderId="1" xfId="0" applyFont="1" applyFill="1" applyBorder="1" applyAlignment="1">
      <alignment horizontal="center"/>
    </xf>
    <xf numFmtId="0" fontId="2" fillId="24" borderId="3" xfId="0" applyFont="1" applyFill="1" applyBorder="1" applyAlignment="1">
      <alignment horizontal="center"/>
    </xf>
    <xf numFmtId="0" fontId="2" fillId="25" borderId="4" xfId="0" applyFont="1" applyFill="1" applyBorder="1" applyAlignment="1">
      <alignment horizontal="center" vertical="center" wrapText="1"/>
    </xf>
    <xf numFmtId="0" fontId="2" fillId="25" borderId="6" xfId="0" applyFont="1" applyFill="1" applyBorder="1" applyAlignment="1">
      <alignment horizontal="center" vertical="center"/>
    </xf>
    <xf numFmtId="0" fontId="2" fillId="25" borderId="7" xfId="0" applyFont="1" applyFill="1" applyBorder="1" applyAlignment="1">
      <alignment horizontal="center" vertical="center"/>
    </xf>
    <xf numFmtId="0" fontId="2" fillId="25" borderId="8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0" fontId="2" fillId="25" borderId="11" xfId="0" applyFont="1" applyFill="1" applyBorder="1" applyAlignment="1">
      <alignment horizontal="center" vertical="center"/>
    </xf>
    <xf numFmtId="0" fontId="2" fillId="34" borderId="0" xfId="0" applyFont="1" applyFill="1"/>
    <xf numFmtId="0" fontId="2" fillId="2" borderId="2" xfId="0" applyFont="1" applyFill="1" applyBorder="1"/>
    <xf numFmtId="0" fontId="2" fillId="2" borderId="3" xfId="0" applyFont="1" applyFill="1" applyBorder="1"/>
    <xf numFmtId="167" fontId="2" fillId="0" borderId="0" xfId="1" applyNumberFormat="1" applyFont="1" applyAlignment="1">
      <alignment horizontal="center"/>
    </xf>
    <xf numFmtId="167" fontId="2" fillId="2" borderId="0" xfId="1" applyNumberFormat="1" applyFont="1" applyFill="1" applyAlignment="1">
      <alignment horizontal="center"/>
    </xf>
    <xf numFmtId="0" fontId="41" fillId="0" borderId="0" xfId="0" applyFont="1"/>
    <xf numFmtId="167" fontId="2" fillId="0" borderId="0" xfId="1" applyNumberFormat="1" applyFont="1" applyAlignment="1">
      <alignment horizontal="center" vertical="center"/>
    </xf>
    <xf numFmtId="168" fontId="2" fillId="2" borderId="0" xfId="1" applyNumberFormat="1" applyFont="1" applyFill="1" applyAlignment="1">
      <alignment horizontal="center"/>
    </xf>
    <xf numFmtId="9" fontId="2" fillId="0" borderId="0" xfId="0" applyNumberFormat="1" applyFont="1" applyAlignment="1">
      <alignment horizontal="center" vertical="center"/>
    </xf>
    <xf numFmtId="10" fontId="2" fillId="2" borderId="0" xfId="1" applyNumberFormat="1" applyFont="1" applyFill="1" applyAlignment="1">
      <alignment horizontal="center"/>
    </xf>
    <xf numFmtId="3" fontId="2" fillId="3" borderId="0" xfId="0" applyNumberFormat="1" applyFont="1" applyFill="1" applyAlignment="1">
      <alignment horizontal="center"/>
    </xf>
    <xf numFmtId="166" fontId="2" fillId="2" borderId="0" xfId="1" applyNumberFormat="1" applyFont="1" applyFill="1" applyAlignment="1">
      <alignment horizontal="center" vertical="center"/>
    </xf>
    <xf numFmtId="10" fontId="3" fillId="0" borderId="5" xfId="0" applyNumberFormat="1" applyFont="1" applyBorder="1"/>
    <xf numFmtId="10" fontId="3" fillId="0" borderId="0" xfId="0" applyNumberFormat="1" applyFont="1" applyBorder="1"/>
    <xf numFmtId="0" fontId="3" fillId="0" borderId="0" xfId="0" applyFont="1" applyBorder="1"/>
    <xf numFmtId="166" fontId="3" fillId="0" borderId="0" xfId="0" applyNumberFormat="1" applyFont="1" applyBorder="1"/>
    <xf numFmtId="0" fontId="3" fillId="0" borderId="10" xfId="0" applyFont="1" applyBorder="1"/>
    <xf numFmtId="0" fontId="2" fillId="0" borderId="13" xfId="0" applyFont="1" applyBorder="1" applyAlignment="1"/>
    <xf numFmtId="0" fontId="3" fillId="0" borderId="13" xfId="0" applyFont="1" applyBorder="1" applyAlignment="1"/>
    <xf numFmtId="178" fontId="2" fillId="2" borderId="0" xfId="2" applyNumberFormat="1" applyFont="1" applyFill="1"/>
    <xf numFmtId="167" fontId="2" fillId="12" borderId="0" xfId="1" applyNumberFormat="1" applyFont="1" applyFill="1"/>
    <xf numFmtId="0" fontId="5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42" fillId="0" borderId="0" xfId="0" applyFont="1" applyAlignment="1">
      <alignment readingOrder="2"/>
    </xf>
    <xf numFmtId="0" fontId="42" fillId="0" borderId="0" xfId="0" applyFont="1" applyAlignment="1">
      <alignment readingOrder="1"/>
    </xf>
    <xf numFmtId="10" fontId="42" fillId="0" borderId="0" xfId="0" applyNumberFormat="1" applyFont="1" applyAlignment="1">
      <alignment readingOrder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8AD8"/>
      <color rgb="FFD5FC79"/>
      <color rgb="FF73FDD6"/>
      <color rgb="FFD883FF"/>
      <color rgb="FFFFD579"/>
      <color rgb="FFE8FFC5"/>
      <color rgb="FF929000"/>
      <color rgb="FF8E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Relationship Id="rId9" Type="http://schemas.openxmlformats.org/officeDocument/2006/relationships/image" Target="../media/image3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8.png"/><Relationship Id="rId2" Type="http://schemas.openxmlformats.org/officeDocument/2006/relationships/image" Target="../media/image37.png"/><Relationship Id="rId1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2.png"/><Relationship Id="rId1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6964194"/>
          <a:ext cx="1514489" cy="13462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329021"/>
          <a:ext cx="482599" cy="55538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6068" y="33965098"/>
          <a:ext cx="1141052" cy="939190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580819</xdr:colOff>
      <xdr:row>78</xdr:row>
      <xdr:rowOff>112697</xdr:rowOff>
    </xdr:from>
    <xdr:to>
      <xdr:col>3</xdr:col>
      <xdr:colOff>515697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 flipH="1">
          <a:off x="13490048467" y="16028874"/>
          <a:ext cx="758427" cy="1125018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179</xdr:row>
      <xdr:rowOff>140402</xdr:rowOff>
    </xdr:from>
    <xdr:to>
      <xdr:col>4</xdr:col>
      <xdr:colOff>70201</xdr:colOff>
      <xdr:row>184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193</xdr:row>
      <xdr:rowOff>188267</xdr:rowOff>
    </xdr:from>
    <xdr:to>
      <xdr:col>5</xdr:col>
      <xdr:colOff>299950</xdr:colOff>
      <xdr:row>195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193</xdr:row>
      <xdr:rowOff>207412</xdr:rowOff>
    </xdr:from>
    <xdr:to>
      <xdr:col>4</xdr:col>
      <xdr:colOff>654146</xdr:colOff>
      <xdr:row>198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215</xdr:row>
      <xdr:rowOff>51766</xdr:rowOff>
    </xdr:from>
    <xdr:to>
      <xdr:col>4</xdr:col>
      <xdr:colOff>65571</xdr:colOff>
      <xdr:row>220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223</xdr:row>
      <xdr:rowOff>31060</xdr:rowOff>
    </xdr:from>
    <xdr:to>
      <xdr:col>4</xdr:col>
      <xdr:colOff>355462</xdr:colOff>
      <xdr:row>224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223</xdr:row>
      <xdr:rowOff>0</xdr:rowOff>
    </xdr:from>
    <xdr:to>
      <xdr:col>3</xdr:col>
      <xdr:colOff>686766</xdr:colOff>
      <xdr:row>224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460851</xdr:colOff>
      <xdr:row>263</xdr:row>
      <xdr:rowOff>139225</xdr:rowOff>
    </xdr:from>
    <xdr:to>
      <xdr:col>10</xdr:col>
      <xdr:colOff>65399</xdr:colOff>
      <xdr:row>273</xdr:row>
      <xdr:rowOff>188148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5180823" y="53502744"/>
          <a:ext cx="2088104" cy="2071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285</xdr:row>
      <xdr:rowOff>149411</xdr:rowOff>
    </xdr:from>
    <xdr:to>
      <xdr:col>3</xdr:col>
      <xdr:colOff>323020</xdr:colOff>
      <xdr:row>295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285</xdr:row>
      <xdr:rowOff>115454</xdr:rowOff>
    </xdr:from>
    <xdr:to>
      <xdr:col>6</xdr:col>
      <xdr:colOff>692726</xdr:colOff>
      <xdr:row>297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</a:t>
          </a:r>
          <a:r>
            <a:rPr lang="en-US" sz="1100" baseline="0"/>
            <a:t> </a:t>
          </a:r>
          <a:r>
            <a:rPr lang="he-IL" sz="1100" baseline="0"/>
            <a:t>ומוצעות מספר חלופות לרכישה</a:t>
          </a:r>
          <a:r>
            <a:rPr lang="he-IL" sz="1100"/>
            <a:t>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287</xdr:row>
      <xdr:rowOff>101871</xdr:rowOff>
    </xdr:from>
    <xdr:to>
      <xdr:col>7</xdr:col>
      <xdr:colOff>543315</xdr:colOff>
      <xdr:row>287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299</xdr:row>
      <xdr:rowOff>45358</xdr:rowOff>
    </xdr:from>
    <xdr:to>
      <xdr:col>7</xdr:col>
      <xdr:colOff>795804</xdr:colOff>
      <xdr:row>308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319</xdr:row>
      <xdr:rowOff>25918</xdr:rowOff>
    </xdr:from>
    <xdr:to>
      <xdr:col>5</xdr:col>
      <xdr:colOff>425802</xdr:colOff>
      <xdr:row>320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325</xdr:row>
      <xdr:rowOff>51836</xdr:rowOff>
    </xdr:from>
    <xdr:to>
      <xdr:col>3</xdr:col>
      <xdr:colOff>509404</xdr:colOff>
      <xdr:row>332</xdr:row>
      <xdr:rowOff>150599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326</xdr:row>
      <xdr:rowOff>85160</xdr:rowOff>
    </xdr:from>
    <xdr:to>
      <xdr:col>5</xdr:col>
      <xdr:colOff>596122</xdr:colOff>
      <xdr:row>330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377</xdr:row>
      <xdr:rowOff>202573</xdr:rowOff>
    </xdr:from>
    <xdr:to>
      <xdr:col>3</xdr:col>
      <xdr:colOff>654351</xdr:colOff>
      <xdr:row>381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375</xdr:row>
      <xdr:rowOff>125970</xdr:rowOff>
    </xdr:from>
    <xdr:to>
      <xdr:col>6</xdr:col>
      <xdr:colOff>840880</xdr:colOff>
      <xdr:row>382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384</xdr:row>
      <xdr:rowOff>80126</xdr:rowOff>
    </xdr:from>
    <xdr:to>
      <xdr:col>9</xdr:col>
      <xdr:colOff>228360</xdr:colOff>
      <xdr:row>384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386</xdr:row>
      <xdr:rowOff>88139</xdr:rowOff>
    </xdr:from>
    <xdr:to>
      <xdr:col>7</xdr:col>
      <xdr:colOff>416655</xdr:colOff>
      <xdr:row>387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386</xdr:row>
      <xdr:rowOff>60093</xdr:rowOff>
    </xdr:from>
    <xdr:to>
      <xdr:col>4</xdr:col>
      <xdr:colOff>765203</xdr:colOff>
      <xdr:row>387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377</xdr:row>
      <xdr:rowOff>76120</xdr:rowOff>
    </xdr:from>
    <xdr:to>
      <xdr:col>8</xdr:col>
      <xdr:colOff>292461</xdr:colOff>
      <xdr:row>380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377</xdr:row>
      <xdr:rowOff>168264</xdr:rowOff>
    </xdr:from>
    <xdr:to>
      <xdr:col>2</xdr:col>
      <xdr:colOff>677067</xdr:colOff>
      <xdr:row>381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386</xdr:row>
      <xdr:rowOff>200316</xdr:rowOff>
    </xdr:from>
    <xdr:to>
      <xdr:col>4</xdr:col>
      <xdr:colOff>769212</xdr:colOff>
      <xdr:row>389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389</xdr:row>
      <xdr:rowOff>164258</xdr:rowOff>
    </xdr:from>
    <xdr:to>
      <xdr:col>5</xdr:col>
      <xdr:colOff>372588</xdr:colOff>
      <xdr:row>389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387</xdr:row>
      <xdr:rowOff>152240</xdr:rowOff>
    </xdr:from>
    <xdr:to>
      <xdr:col>5</xdr:col>
      <xdr:colOff>376594</xdr:colOff>
      <xdr:row>389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390</xdr:row>
      <xdr:rowOff>196309</xdr:rowOff>
    </xdr:from>
    <xdr:to>
      <xdr:col>1</xdr:col>
      <xdr:colOff>777224</xdr:colOff>
      <xdr:row>391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391</xdr:row>
      <xdr:rowOff>180284</xdr:rowOff>
    </xdr:from>
    <xdr:to>
      <xdr:col>5</xdr:col>
      <xdr:colOff>817288</xdr:colOff>
      <xdr:row>392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389</xdr:row>
      <xdr:rowOff>184290</xdr:rowOff>
    </xdr:from>
    <xdr:to>
      <xdr:col>6</xdr:col>
      <xdr:colOff>24038</xdr:colOff>
      <xdr:row>390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819215</xdr:colOff>
      <xdr:row>67</xdr:row>
      <xdr:rowOff>134369</xdr:rowOff>
    </xdr:from>
    <xdr:to>
      <xdr:col>8</xdr:col>
      <xdr:colOff>0</xdr:colOff>
      <xdr:row>70</xdr:row>
      <xdr:rowOff>190718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512198B4-431B-6469-A03B-B9F0AC674760}"/>
            </a:ext>
          </a:extLst>
        </xdr:cNvPr>
        <xdr:cNvSpPr/>
      </xdr:nvSpPr>
      <xdr:spPr>
        <a:xfrm>
          <a:off x="13486446416" y="13809625"/>
          <a:ext cx="1651434" cy="667509"/>
        </a:xfrm>
        <a:prstGeom prst="wedgeRoundRectCallout">
          <a:avLst>
            <a:gd name="adj1" fmla="val 68143"/>
            <a:gd name="adj2" fmla="val 4237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אפקטיבית = ריבית כוללת מתחשבת במנגנון</a:t>
          </a:r>
          <a:r>
            <a:rPr lang="he-IL" sz="1100" baseline="0"/>
            <a:t> של ״ריבית דריבית״ = חזקה</a:t>
          </a:r>
          <a:endParaRPr lang="en-US" sz="1100"/>
        </a:p>
      </xdr:txBody>
    </xdr:sp>
    <xdr:clientData/>
  </xdr:twoCellAnchor>
  <xdr:oneCellAnchor>
    <xdr:from>
      <xdr:col>1</xdr:col>
      <xdr:colOff>86689</xdr:colOff>
      <xdr:row>77</xdr:row>
      <xdr:rowOff>134454</xdr:rowOff>
    </xdr:from>
    <xdr:ext cx="1877261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(1+12%)</a:t>
              </a:r>
              <a:r>
                <a:rPr lang="he-IL" sz="1100" b="0" i="0">
                  <a:latin typeface="Cambria Math" panose="02040503050406030204" pitchFamily="18" charset="0"/>
                </a:rPr>
                <a:t>〗^(1/12)−1]∗100=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30341</xdr:colOff>
      <xdr:row>71</xdr:row>
      <xdr:rowOff>30341</xdr:rowOff>
    </xdr:from>
    <xdr:to>
      <xdr:col>8</xdr:col>
      <xdr:colOff>34676</xdr:colOff>
      <xdr:row>74</xdr:row>
      <xdr:rowOff>86690</xdr:rowOff>
    </xdr:to>
    <xdr:sp macro="" textlink="">
      <xdr:nvSpPr>
        <xdr:cNvPr id="55" name="Rounded Rectangular Callout 54">
          <a:extLst>
            <a:ext uri="{FF2B5EF4-FFF2-40B4-BE49-F238E27FC236}">
              <a16:creationId xmlns:a16="http://schemas.microsoft.com/office/drawing/2014/main" id="{284F0925-0C1B-1815-9661-66A0605E4B8A}"/>
            </a:ext>
          </a:extLst>
        </xdr:cNvPr>
        <xdr:cNvSpPr/>
      </xdr:nvSpPr>
      <xdr:spPr>
        <a:xfrm>
          <a:off x="13486411740" y="14520478"/>
          <a:ext cx="1651434" cy="667509"/>
        </a:xfrm>
        <a:prstGeom prst="wedgeRoundRectCallout">
          <a:avLst>
            <a:gd name="adj1" fmla="val 54232"/>
            <a:gd name="adj2" fmla="val -355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ריבית</a:t>
          </a:r>
          <a:r>
            <a:rPr lang="he-IL" sz="1100" baseline="0"/>
            <a:t> נקובה = ריבית חוזית = ריבית שהחישוב שלה יחסי (חלוקה)</a:t>
          </a:r>
          <a:endParaRPr lang="en-US" sz="1100"/>
        </a:p>
      </xdr:txBody>
    </xdr:sp>
    <xdr:clientData/>
  </xdr:twoCellAnchor>
  <xdr:twoCellAnchor editAs="oneCell">
    <xdr:from>
      <xdr:col>5</xdr:col>
      <xdr:colOff>657876</xdr:colOff>
      <xdr:row>341</xdr:row>
      <xdr:rowOff>79961</xdr:rowOff>
    </xdr:from>
    <xdr:to>
      <xdr:col>6</xdr:col>
      <xdr:colOff>732837</xdr:colOff>
      <xdr:row>347</xdr:row>
      <xdr:rowOff>191439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B52195C2-16E2-823D-32E6-9712C64E7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7824793" y="69219702"/>
          <a:ext cx="902813" cy="1325033"/>
        </a:xfrm>
        <a:prstGeom prst="rect">
          <a:avLst/>
        </a:prstGeom>
      </xdr:spPr>
    </xdr:pic>
    <xdr:clientData/>
  </xdr:twoCellAnchor>
  <xdr:twoCellAnchor>
    <xdr:from>
      <xdr:col>4</xdr:col>
      <xdr:colOff>45720</xdr:colOff>
      <xdr:row>358</xdr:row>
      <xdr:rowOff>106680</xdr:rowOff>
    </xdr:from>
    <xdr:to>
      <xdr:col>6</xdr:col>
      <xdr:colOff>0</xdr:colOff>
      <xdr:row>360</xdr:row>
      <xdr:rowOff>116840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51F4DE37-DCFB-9BF6-F997-433CF5B56C1C}"/>
            </a:ext>
          </a:extLst>
        </xdr:cNvPr>
        <xdr:cNvCxnSpPr/>
      </xdr:nvCxnSpPr>
      <xdr:spPr>
        <a:xfrm flipV="1">
          <a:off x="13561664520" y="73030080"/>
          <a:ext cx="1610360" cy="4165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519545</xdr:colOff>
      <xdr:row>388</xdr:row>
      <xdr:rowOff>131199</xdr:rowOff>
    </xdr:from>
    <xdr:to>
      <xdr:col>2</xdr:col>
      <xdr:colOff>173182</xdr:colOff>
      <xdr:row>389</xdr:row>
      <xdr:rowOff>104958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8981CC52-55DC-25E3-41CB-FB5545EB29ED}"/>
            </a:ext>
          </a:extLst>
        </xdr:cNvPr>
        <xdr:cNvCxnSpPr/>
      </xdr:nvCxnSpPr>
      <xdr:spPr>
        <a:xfrm flipH="1" flipV="1">
          <a:off x="13497402562" y="79721364"/>
          <a:ext cx="477562" cy="1784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802934</xdr:colOff>
      <xdr:row>391</xdr:row>
      <xdr:rowOff>120702</xdr:rowOff>
    </xdr:from>
    <xdr:to>
      <xdr:col>5</xdr:col>
      <xdr:colOff>524794</xdr:colOff>
      <xdr:row>392</xdr:row>
      <xdr:rowOff>104959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8A359E5-5887-AD88-4976-E88D46E8DA31}"/>
            </a:ext>
          </a:extLst>
        </xdr:cNvPr>
        <xdr:cNvCxnSpPr/>
      </xdr:nvCxnSpPr>
      <xdr:spPr>
        <a:xfrm flipH="1">
          <a:off x="13494579173" y="80324876"/>
          <a:ext cx="1369711" cy="1889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116</xdr:row>
      <xdr:rowOff>164081</xdr:rowOff>
    </xdr:from>
    <xdr:to>
      <xdr:col>4</xdr:col>
      <xdr:colOff>490409</xdr:colOff>
      <xdr:row>123</xdr:row>
      <xdr:rowOff>195058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120</xdr:row>
      <xdr:rowOff>75478</xdr:rowOff>
    </xdr:from>
    <xdr:to>
      <xdr:col>5</xdr:col>
      <xdr:colOff>777752</xdr:colOff>
      <xdr:row>120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116</xdr:row>
      <xdr:rowOff>134547</xdr:rowOff>
    </xdr:from>
    <xdr:to>
      <xdr:col>2</xdr:col>
      <xdr:colOff>528348</xdr:colOff>
      <xdr:row>119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117</xdr:row>
      <xdr:rowOff>11116</xdr:rowOff>
    </xdr:from>
    <xdr:to>
      <xdr:col>2</xdr:col>
      <xdr:colOff>603364</xdr:colOff>
      <xdr:row>118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120</xdr:row>
      <xdr:rowOff>124703</xdr:rowOff>
    </xdr:from>
    <xdr:to>
      <xdr:col>2</xdr:col>
      <xdr:colOff>548037</xdr:colOff>
      <xdr:row>120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119</xdr:row>
      <xdr:rowOff>80031</xdr:rowOff>
    </xdr:from>
    <xdr:to>
      <xdr:col>2</xdr:col>
      <xdr:colOff>268634</xdr:colOff>
      <xdr:row>120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121</xdr:row>
      <xdr:rowOff>105013</xdr:rowOff>
    </xdr:from>
    <xdr:to>
      <xdr:col>2</xdr:col>
      <xdr:colOff>544755</xdr:colOff>
      <xdr:row>124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122</xdr:row>
      <xdr:rowOff>47213</xdr:rowOff>
    </xdr:from>
    <xdr:to>
      <xdr:col>2</xdr:col>
      <xdr:colOff>258790</xdr:colOff>
      <xdr:row>123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247</xdr:row>
      <xdr:rowOff>118139</xdr:rowOff>
    </xdr:from>
    <xdr:to>
      <xdr:col>7</xdr:col>
      <xdr:colOff>525066</xdr:colOff>
      <xdr:row>247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243</xdr:row>
      <xdr:rowOff>183772</xdr:rowOff>
    </xdr:from>
    <xdr:to>
      <xdr:col>7</xdr:col>
      <xdr:colOff>387236</xdr:colOff>
      <xdr:row>245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242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244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248</xdr:row>
      <xdr:rowOff>160801</xdr:rowOff>
    </xdr:from>
    <xdr:to>
      <xdr:col>7</xdr:col>
      <xdr:colOff>413490</xdr:colOff>
      <xdr:row>250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250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248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248</xdr:row>
      <xdr:rowOff>157519</xdr:rowOff>
    </xdr:from>
    <xdr:to>
      <xdr:col>6</xdr:col>
      <xdr:colOff>341294</xdr:colOff>
      <xdr:row>250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250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248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248</xdr:row>
      <xdr:rowOff>144393</xdr:rowOff>
    </xdr:from>
    <xdr:to>
      <xdr:col>5</xdr:col>
      <xdr:colOff>275660</xdr:colOff>
      <xdr:row>249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248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250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248</xdr:row>
      <xdr:rowOff>150957</xdr:rowOff>
    </xdr:from>
    <xdr:to>
      <xdr:col>4</xdr:col>
      <xdr:colOff>164084</xdr:colOff>
      <xdr:row>249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248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271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277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276</xdr:row>
      <xdr:rowOff>91887</xdr:rowOff>
    </xdr:from>
    <xdr:to>
      <xdr:col>6</xdr:col>
      <xdr:colOff>748218</xdr:colOff>
      <xdr:row>278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275</xdr:row>
      <xdr:rowOff>193617</xdr:rowOff>
    </xdr:from>
    <xdr:to>
      <xdr:col>5</xdr:col>
      <xdr:colOff>744935</xdr:colOff>
      <xdr:row>277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276</xdr:row>
      <xdr:rowOff>3282</xdr:rowOff>
    </xdr:from>
    <xdr:to>
      <xdr:col>5</xdr:col>
      <xdr:colOff>49225</xdr:colOff>
      <xdr:row>277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278</xdr:row>
      <xdr:rowOff>62352</xdr:rowOff>
    </xdr:from>
    <xdr:to>
      <xdr:col>4</xdr:col>
      <xdr:colOff>36098</xdr:colOff>
      <xdr:row>278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279</xdr:row>
      <xdr:rowOff>177209</xdr:rowOff>
    </xdr:from>
    <xdr:to>
      <xdr:col>4</xdr:col>
      <xdr:colOff>784315</xdr:colOff>
      <xdr:row>280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283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283</xdr:row>
      <xdr:rowOff>98450</xdr:rowOff>
    </xdr:from>
    <xdr:to>
      <xdr:col>5</xdr:col>
      <xdr:colOff>813850</xdr:colOff>
      <xdr:row>284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284</xdr:row>
      <xdr:rowOff>137830</xdr:rowOff>
    </xdr:from>
    <xdr:to>
      <xdr:col>5</xdr:col>
      <xdr:colOff>183773</xdr:colOff>
      <xdr:row>285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283</xdr:row>
      <xdr:rowOff>82042</xdr:rowOff>
    </xdr:from>
    <xdr:to>
      <xdr:col>4</xdr:col>
      <xdr:colOff>377391</xdr:colOff>
      <xdr:row>284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287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291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294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296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299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301</xdr:row>
      <xdr:rowOff>134547</xdr:rowOff>
    </xdr:from>
    <xdr:to>
      <xdr:col>5</xdr:col>
      <xdr:colOff>118140</xdr:colOff>
      <xdr:row>303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303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300</xdr:row>
      <xdr:rowOff>75478</xdr:rowOff>
    </xdr:from>
    <xdr:to>
      <xdr:col>4</xdr:col>
      <xdr:colOff>708838</xdr:colOff>
      <xdr:row>308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308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321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324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326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338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348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349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350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350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359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363</xdr:row>
      <xdr:rowOff>58057</xdr:rowOff>
    </xdr:from>
    <xdr:to>
      <xdr:col>10</xdr:col>
      <xdr:colOff>486228</xdr:colOff>
      <xdr:row>373</xdr:row>
      <xdr:rowOff>117933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  <xdr:twoCellAnchor>
    <xdr:from>
      <xdr:col>6</xdr:col>
      <xdr:colOff>200036</xdr:colOff>
      <xdr:row>8</xdr:row>
      <xdr:rowOff>69780</xdr:rowOff>
    </xdr:from>
    <xdr:to>
      <xdr:col>7</xdr:col>
      <xdr:colOff>604762</xdr:colOff>
      <xdr:row>12</xdr:row>
      <xdr:rowOff>134908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677EE45F-75D2-4964-790D-86CF814AD1B8}"/>
            </a:ext>
          </a:extLst>
        </xdr:cNvPr>
        <xdr:cNvSpPr/>
      </xdr:nvSpPr>
      <xdr:spPr>
        <a:xfrm>
          <a:off x="13484325018" y="1725897"/>
          <a:ext cx="1228132" cy="8838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מספר אחד באחוזים:</a:t>
          </a:r>
          <a:r>
            <a:rPr lang="he-IL" sz="1100" baseline="0"/>
            <a:t> ריבית אפקטיבית</a:t>
          </a:r>
          <a:endParaRPr lang="en-US" sz="1100"/>
        </a:p>
      </xdr:txBody>
    </xdr:sp>
    <xdr:clientData/>
  </xdr:twoCellAnchor>
  <xdr:twoCellAnchor>
    <xdr:from>
      <xdr:col>7</xdr:col>
      <xdr:colOff>628022</xdr:colOff>
      <xdr:row>7</xdr:row>
      <xdr:rowOff>167472</xdr:rowOff>
    </xdr:from>
    <xdr:to>
      <xdr:col>7</xdr:col>
      <xdr:colOff>818754</xdr:colOff>
      <xdr:row>8</xdr:row>
      <xdr:rowOff>97693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5EE88625-16AC-27C4-A58A-21A95FC249D8}"/>
            </a:ext>
          </a:extLst>
        </xdr:cNvPr>
        <xdr:cNvCxnSpPr/>
      </xdr:nvCxnSpPr>
      <xdr:spPr>
        <a:xfrm>
          <a:off x="13484111026" y="1618901"/>
          <a:ext cx="190732" cy="1349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609414</xdr:colOff>
      <xdr:row>9</xdr:row>
      <xdr:rowOff>93040</xdr:rowOff>
    </xdr:from>
    <xdr:to>
      <xdr:col>8</xdr:col>
      <xdr:colOff>4652</xdr:colOff>
      <xdr:row>9</xdr:row>
      <xdr:rowOff>195385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57FF73FD-1EC9-B8AF-A543-A509BB15A1A0}"/>
            </a:ext>
          </a:extLst>
        </xdr:cNvPr>
        <xdr:cNvCxnSpPr/>
      </xdr:nvCxnSpPr>
      <xdr:spPr>
        <a:xfrm>
          <a:off x="13484101721" y="1953846"/>
          <a:ext cx="218645" cy="1023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623370</xdr:colOff>
      <xdr:row>11</xdr:row>
      <xdr:rowOff>69780</xdr:rowOff>
    </xdr:from>
    <xdr:to>
      <xdr:col>8</xdr:col>
      <xdr:colOff>4651</xdr:colOff>
      <xdr:row>11</xdr:row>
      <xdr:rowOff>134909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113FD5C-7BBA-67E3-0CDC-34428C1B40DA}"/>
            </a:ext>
          </a:extLst>
        </xdr:cNvPr>
        <xdr:cNvCxnSpPr/>
      </xdr:nvCxnSpPr>
      <xdr:spPr>
        <a:xfrm>
          <a:off x="13484101722" y="2339963"/>
          <a:ext cx="204688" cy="651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614066</xdr:colOff>
      <xdr:row>12</xdr:row>
      <xdr:rowOff>88388</xdr:rowOff>
    </xdr:from>
    <xdr:to>
      <xdr:col>7</xdr:col>
      <xdr:colOff>790842</xdr:colOff>
      <xdr:row>13</xdr:row>
      <xdr:rowOff>32565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71DE628-0B38-E54D-566E-CC4976071476}"/>
            </a:ext>
          </a:extLst>
        </xdr:cNvPr>
        <xdr:cNvCxnSpPr/>
      </xdr:nvCxnSpPr>
      <xdr:spPr>
        <a:xfrm flipV="1">
          <a:off x="13484138938" y="2563260"/>
          <a:ext cx="176776" cy="1488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125604</xdr:colOff>
      <xdr:row>22</xdr:row>
      <xdr:rowOff>69781</xdr:rowOff>
    </xdr:from>
    <xdr:to>
      <xdr:col>5</xdr:col>
      <xdr:colOff>693149</xdr:colOff>
      <xdr:row>22</xdr:row>
      <xdr:rowOff>74432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ED1709F5-DEBD-3395-1577-50E3E59ED07A}"/>
            </a:ext>
          </a:extLst>
        </xdr:cNvPr>
        <xdr:cNvCxnSpPr/>
      </xdr:nvCxnSpPr>
      <xdr:spPr>
        <a:xfrm>
          <a:off x="13485883444" y="4424067"/>
          <a:ext cx="303776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22</xdr:row>
      <xdr:rowOff>13956</xdr:rowOff>
    </xdr:from>
    <xdr:to>
      <xdr:col>5</xdr:col>
      <xdr:colOff>390769</xdr:colOff>
      <xdr:row>22</xdr:row>
      <xdr:rowOff>162821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15FD95BD-F55E-F317-D2F5-A98074DBA1A4}"/>
            </a:ext>
          </a:extLst>
        </xdr:cNvPr>
        <xdr:cNvCxnSpPr/>
      </xdr:nvCxnSpPr>
      <xdr:spPr>
        <a:xfrm>
          <a:off x="13486185824" y="4572930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21</xdr:row>
      <xdr:rowOff>204688</xdr:rowOff>
    </xdr:from>
    <xdr:to>
      <xdr:col>3</xdr:col>
      <xdr:colOff>400073</xdr:colOff>
      <xdr:row>22</xdr:row>
      <xdr:rowOff>148865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CA6BF480-8B04-12B1-0C3F-95B21639AD20}"/>
            </a:ext>
          </a:extLst>
        </xdr:cNvPr>
        <xdr:cNvCxnSpPr/>
      </xdr:nvCxnSpPr>
      <xdr:spPr>
        <a:xfrm>
          <a:off x="13487823333" y="4558974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725715</xdr:colOff>
      <xdr:row>19</xdr:row>
      <xdr:rowOff>126629</xdr:rowOff>
    </xdr:from>
    <xdr:ext cx="3453589" cy="4039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בש״ח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ריבית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קרן</m:t>
                        </m:r>
                      </m:den>
                    </m:f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112</m:t>
                        </m:r>
                        <m:r>
                          <a:rPr lang="he-IL" sz="1100" b="0" i="1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num>
                      <m:den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בש״ח ריבית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קרן=(</a:t>
              </a:r>
              <a:r>
                <a:rPr lang="he-IL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112</a:t>
              </a:r>
              <a:r>
                <a:rPr lang="he-IL" sz="11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−</a:t>
              </a:r>
              <a:r>
                <a:rPr lang="he-IL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100)/100</a:t>
              </a:r>
              <a:r>
                <a:rPr lang="he-IL" sz="1100" b="0" i="0">
                  <a:latin typeface="Cambria Math" panose="02040503050406030204" pitchFamily="18" charset="0"/>
                </a:rPr>
                <a:t>=12/100=0.12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24425</xdr:colOff>
      <xdr:row>29</xdr:row>
      <xdr:rowOff>114299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820618</xdr:colOff>
      <xdr:row>30</xdr:row>
      <xdr:rowOff>16608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801079</xdr:colOff>
      <xdr:row>30</xdr:row>
      <xdr:rowOff>202223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435429</xdr:colOff>
      <xdr:row>31</xdr:row>
      <xdr:rowOff>156307</xdr:rowOff>
    </xdr:from>
    <xdr:to>
      <xdr:col>8</xdr:col>
      <xdr:colOff>571500</xdr:colOff>
      <xdr:row>37</xdr:row>
      <xdr:rowOff>24191</xdr:rowOff>
    </xdr:to>
    <xdr:sp macro="" textlink="">
      <xdr:nvSpPr>
        <xdr:cNvPr id="79" name="Down Arrow 78">
          <a:extLst>
            <a:ext uri="{FF2B5EF4-FFF2-40B4-BE49-F238E27FC236}">
              <a16:creationId xmlns:a16="http://schemas.microsoft.com/office/drawing/2014/main" id="{D635A7B3-E760-2CEB-3843-718D8E42F999}"/>
            </a:ext>
          </a:extLst>
        </xdr:cNvPr>
        <xdr:cNvSpPr/>
      </xdr:nvSpPr>
      <xdr:spPr>
        <a:xfrm>
          <a:off x="13567334405" y="6603069"/>
          <a:ext cx="136071" cy="110159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36</xdr:row>
      <xdr:rowOff>69781</xdr:rowOff>
    </xdr:from>
    <xdr:to>
      <xdr:col>5</xdr:col>
      <xdr:colOff>693149</xdr:colOff>
      <xdr:row>36</xdr:row>
      <xdr:rowOff>74432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D7FC248-59BF-2B4D-AA5A-167873FD3F96}"/>
            </a:ext>
          </a:extLst>
        </xdr:cNvPr>
        <xdr:cNvCxnSpPr/>
      </xdr:nvCxnSpPr>
      <xdr:spPr>
        <a:xfrm>
          <a:off x="13520171351" y="4641781"/>
          <a:ext cx="304404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36</xdr:row>
      <xdr:rowOff>13956</xdr:rowOff>
    </xdr:from>
    <xdr:to>
      <xdr:col>5</xdr:col>
      <xdr:colOff>390769</xdr:colOff>
      <xdr:row>36</xdr:row>
      <xdr:rowOff>162821</xdr:rowOff>
    </xdr:to>
    <xdr:cxnSp macro="">
      <xdr:nvCxnSpPr>
        <xdr:cNvPr id="82" name="Straight Connector 81">
          <a:extLst>
            <a:ext uri="{FF2B5EF4-FFF2-40B4-BE49-F238E27FC236}">
              <a16:creationId xmlns:a16="http://schemas.microsoft.com/office/drawing/2014/main" id="{988ED33D-CFE3-C94E-84E4-0403C55C5407}"/>
            </a:ext>
          </a:extLst>
        </xdr:cNvPr>
        <xdr:cNvCxnSpPr/>
      </xdr:nvCxnSpPr>
      <xdr:spPr>
        <a:xfrm>
          <a:off x="13520473731" y="4585956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35</xdr:row>
      <xdr:rowOff>204688</xdr:rowOff>
    </xdr:from>
    <xdr:to>
      <xdr:col>3</xdr:col>
      <xdr:colOff>400073</xdr:colOff>
      <xdr:row>36</xdr:row>
      <xdr:rowOff>148865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E79E231C-E299-AB4B-AFB1-14009EB891F7}"/>
            </a:ext>
          </a:extLst>
        </xdr:cNvPr>
        <xdr:cNvCxnSpPr/>
      </xdr:nvCxnSpPr>
      <xdr:spPr>
        <a:xfrm>
          <a:off x="13522115427" y="4571534"/>
          <a:ext cx="0" cy="14933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791309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0=100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=112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459154</xdr:colOff>
      <xdr:row>37</xdr:row>
      <xdr:rowOff>89875</xdr:rowOff>
    </xdr:from>
    <xdr:ext cx="1652445" cy="3180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112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=0.12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9</xdr:col>
      <xdr:colOff>211667</xdr:colOff>
      <xdr:row>28</xdr:row>
      <xdr:rowOff>120952</xdr:rowOff>
    </xdr:from>
    <xdr:to>
      <xdr:col>9</xdr:col>
      <xdr:colOff>695476</xdr:colOff>
      <xdr:row>41</xdr:row>
      <xdr:rowOff>96762</xdr:rowOff>
    </xdr:to>
    <xdr:sp macro="" textlink="">
      <xdr:nvSpPr>
        <xdr:cNvPr id="88" name="Left Brace 87">
          <a:extLst>
            <a:ext uri="{FF2B5EF4-FFF2-40B4-BE49-F238E27FC236}">
              <a16:creationId xmlns:a16="http://schemas.microsoft.com/office/drawing/2014/main" id="{00BD7480-0FF5-A9CE-E759-8BF16D46B3D3}"/>
            </a:ext>
          </a:extLst>
        </xdr:cNvPr>
        <xdr:cNvSpPr/>
      </xdr:nvSpPr>
      <xdr:spPr>
        <a:xfrm>
          <a:off x="13566381905" y="5950857"/>
          <a:ext cx="483809" cy="264885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56</xdr:row>
      <xdr:rowOff>69781</xdr:rowOff>
    </xdr:from>
    <xdr:to>
      <xdr:col>5</xdr:col>
      <xdr:colOff>693149</xdr:colOff>
      <xdr:row>56</xdr:row>
      <xdr:rowOff>74432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1637B299-E483-1747-BC93-67AD3504CA3C}"/>
            </a:ext>
          </a:extLst>
        </xdr:cNvPr>
        <xdr:cNvCxnSpPr/>
      </xdr:nvCxnSpPr>
      <xdr:spPr>
        <a:xfrm>
          <a:off x="13569698327" y="7544638"/>
          <a:ext cx="3053116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56</xdr:row>
      <xdr:rowOff>13956</xdr:rowOff>
    </xdr:from>
    <xdr:to>
      <xdr:col>5</xdr:col>
      <xdr:colOff>390769</xdr:colOff>
      <xdr:row>56</xdr:row>
      <xdr:rowOff>162821</xdr:rowOff>
    </xdr:to>
    <xdr:cxnSp macro="">
      <xdr:nvCxnSpPr>
        <xdr:cNvPr id="90" name="Straight Connector 89">
          <a:extLst>
            <a:ext uri="{FF2B5EF4-FFF2-40B4-BE49-F238E27FC236}">
              <a16:creationId xmlns:a16="http://schemas.microsoft.com/office/drawing/2014/main" id="{337271C6-BEB4-3945-A5E7-068C32EC8C90}"/>
            </a:ext>
          </a:extLst>
        </xdr:cNvPr>
        <xdr:cNvCxnSpPr/>
      </xdr:nvCxnSpPr>
      <xdr:spPr>
        <a:xfrm>
          <a:off x="13570000707" y="7488813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55</xdr:row>
      <xdr:rowOff>204688</xdr:rowOff>
    </xdr:from>
    <xdr:to>
      <xdr:col>3</xdr:col>
      <xdr:colOff>400073</xdr:colOff>
      <xdr:row>56</xdr:row>
      <xdr:rowOff>148865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B48A8E5D-0993-4B44-889A-25A0842665EE}"/>
            </a:ext>
          </a:extLst>
        </xdr:cNvPr>
        <xdr:cNvCxnSpPr/>
      </xdr:nvCxnSpPr>
      <xdr:spPr>
        <a:xfrm>
          <a:off x="13571648451" y="7473926"/>
          <a:ext cx="0" cy="14979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774330</xdr:colOff>
      <xdr:row>60</xdr:row>
      <xdr:rowOff>59870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34428</xdr:colOff>
      <xdr:row>60</xdr:row>
      <xdr:rowOff>22656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39079</xdr:colOff>
      <xdr:row>61</xdr:row>
      <xdr:rowOff>20795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193523</xdr:colOff>
      <xdr:row>43</xdr:row>
      <xdr:rowOff>102810</xdr:rowOff>
    </xdr:from>
    <xdr:to>
      <xdr:col>7</xdr:col>
      <xdr:colOff>514047</xdr:colOff>
      <xdr:row>52</xdr:row>
      <xdr:rowOff>24190</xdr:rowOff>
    </xdr:to>
    <xdr:sp macro="" textlink="">
      <xdr:nvSpPr>
        <xdr:cNvPr id="97" name="Left Brace 96">
          <a:extLst>
            <a:ext uri="{FF2B5EF4-FFF2-40B4-BE49-F238E27FC236}">
              <a16:creationId xmlns:a16="http://schemas.microsoft.com/office/drawing/2014/main" id="{0191CFB0-7279-3EF5-236B-6A8FBF8B21C4}"/>
            </a:ext>
          </a:extLst>
        </xdr:cNvPr>
        <xdr:cNvSpPr/>
      </xdr:nvSpPr>
      <xdr:spPr>
        <a:xfrm>
          <a:off x="13568220381" y="9017000"/>
          <a:ext cx="320524" cy="17719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677567</xdr:colOff>
      <xdr:row>56</xdr:row>
      <xdr:rowOff>192918</xdr:rowOff>
    </xdr:from>
    <xdr:ext cx="105163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=143,000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_0=143,000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725949</xdr:colOff>
      <xdr:row>56</xdr:row>
      <xdr:rowOff>180823</xdr:rowOff>
    </xdr:from>
    <xdr:ext cx="2352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=185,000+3,000=188,000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_4=185,000+3,000=188,000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725714</xdr:colOff>
      <xdr:row>60</xdr:row>
      <xdr:rowOff>162679</xdr:rowOff>
    </xdr:from>
    <xdr:ext cx="1717107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188,000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143,000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𝑟_𝑒=188,000/143,000−1=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641048</xdr:colOff>
      <xdr:row>76</xdr:row>
      <xdr:rowOff>120346</xdr:rowOff>
    </xdr:from>
    <xdr:ext cx="322191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1+31.4685315%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</a:t>
              </a:r>
              <a:r>
                <a:rPr lang="en-US" sz="11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(1+31.4685315%)</a:t>
              </a:r>
              <a:r>
                <a:rPr lang="he-IL" sz="1100" b="0" i="0">
                  <a:latin typeface="Cambria Math" panose="02040503050406030204" pitchFamily="18" charset="0"/>
                </a:rPr>
                <a:t>〗^(1/4)−1]∗100=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181428</xdr:colOff>
      <xdr:row>78</xdr:row>
      <xdr:rowOff>60476</xdr:rowOff>
    </xdr:from>
    <xdr:to>
      <xdr:col>6</xdr:col>
      <xdr:colOff>181428</xdr:colOff>
      <xdr:row>79</xdr:row>
      <xdr:rowOff>96762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8F3E119F-ABA7-32C5-9FEE-5E4D6005D6B6}"/>
            </a:ext>
          </a:extLst>
        </xdr:cNvPr>
        <xdr:cNvCxnSpPr/>
      </xdr:nvCxnSpPr>
      <xdr:spPr>
        <a:xfrm>
          <a:off x="13569381524" y="1621971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465667</xdr:colOff>
      <xdr:row>78</xdr:row>
      <xdr:rowOff>36286</xdr:rowOff>
    </xdr:from>
    <xdr:to>
      <xdr:col>4</xdr:col>
      <xdr:colOff>465667</xdr:colOff>
      <xdr:row>79</xdr:row>
      <xdr:rowOff>72572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B9166534-2C51-0EF6-0181-250E744506E1}"/>
            </a:ext>
          </a:extLst>
        </xdr:cNvPr>
        <xdr:cNvCxnSpPr/>
      </xdr:nvCxnSpPr>
      <xdr:spPr>
        <a:xfrm>
          <a:off x="13570754333" y="1619552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308428</xdr:colOff>
      <xdr:row>77</xdr:row>
      <xdr:rowOff>151191</xdr:rowOff>
    </xdr:from>
    <xdr:to>
      <xdr:col>3</xdr:col>
      <xdr:colOff>701524</xdr:colOff>
      <xdr:row>80</xdr:row>
      <xdr:rowOff>60476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504631B9-C896-E6BF-6707-2F1A3B313F84}"/>
            </a:ext>
          </a:extLst>
        </xdr:cNvPr>
        <xdr:cNvCxnSpPr/>
      </xdr:nvCxnSpPr>
      <xdr:spPr>
        <a:xfrm>
          <a:off x="13571347000" y="16104810"/>
          <a:ext cx="1221619" cy="5261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45357</xdr:colOff>
      <xdr:row>86</xdr:row>
      <xdr:rowOff>31749</xdr:rowOff>
    </xdr:from>
    <xdr:ext cx="166395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𝑟_𝑒=[(𝐶𝐹_𝑡)/(𝐶𝐹_0 )−1]∗100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734786</xdr:colOff>
      <xdr:row>90</xdr:row>
      <xdr:rowOff>18142</xdr:rowOff>
    </xdr:from>
    <xdr:ext cx="3221917" cy="2424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8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𝑟</a:t>
              </a:r>
              <a:r>
                <a:rPr lang="en-US" sz="8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800" b="0" i="0">
                  <a:latin typeface="Cambria Math" panose="02040503050406030204" pitchFamily="18" charset="0"/>
                </a:rPr>
                <a:t>〖[</a:t>
              </a:r>
              <a:r>
                <a:rPr lang="en-US" sz="800" b="0" i="0">
                  <a:latin typeface="Cambria Math" panose="02040503050406030204" pitchFamily="18" charset="0"/>
                </a:rPr>
                <a:t>(1+𝑟_𝑒 )</a:t>
              </a:r>
              <a:r>
                <a:rPr lang="he-IL" sz="800" b="0" i="0">
                  <a:latin typeface="Cambria Math" panose="02040503050406030204" pitchFamily="18" charset="0"/>
                </a:rPr>
                <a:t>〗^(רצוי</a:t>
              </a:r>
              <a:r>
                <a:rPr lang="en-US" sz="800" b="0" i="0">
                  <a:latin typeface="Cambria Math" panose="02040503050406030204" pitchFamily="18" charset="0"/>
                </a:rPr>
                <a:t>/</a:t>
              </a:r>
              <a:r>
                <a:rPr lang="he-IL" sz="800" b="0" i="0">
                  <a:latin typeface="Cambria Math" panose="02040503050406030204" pitchFamily="18" charset="0"/>
                </a:rPr>
                <a:t>מצוי)−1]∗100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693209</xdr:colOff>
      <xdr:row>110</xdr:row>
      <xdr:rowOff>126999</xdr:rowOff>
    </xdr:from>
    <xdr:ext cx="5905499" cy="3032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0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he-IL" sz="1000" b="0" i="1">
                        <a:latin typeface="Cambria Math" panose="02040503050406030204" pitchFamily="18" charset="0"/>
                      </a:rPr>
                      <m:t>→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27.717391%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en-US" sz="10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0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0" i="0">
                  <a:latin typeface="Cambria Math" panose="02040503050406030204" pitchFamily="18" charset="0"/>
                </a:rPr>
                <a:t>𝑟</a:t>
              </a:r>
              <a:r>
                <a:rPr lang="en-US" sz="10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000" b="0" i="0">
                  <a:latin typeface="Cambria Math" panose="02040503050406030204" pitchFamily="18" charset="0"/>
                </a:rPr>
                <a:t>〖[</a:t>
              </a:r>
              <a:r>
                <a:rPr lang="en-US" sz="1000" b="0" i="0">
                  <a:latin typeface="Cambria Math" panose="02040503050406030204" pitchFamily="18" charset="0"/>
                </a:rPr>
                <a:t>(1+𝑟_𝑒 )</a:t>
              </a:r>
              <a:r>
                <a:rPr lang="he-IL" sz="1000" b="0" i="0">
                  <a:latin typeface="Cambria Math" panose="02040503050406030204" pitchFamily="18" charset="0"/>
                </a:rPr>
                <a:t>〗^(רצוי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מצוי)−1]∗100→〖[</a:t>
              </a:r>
              <a:r>
                <a:rPr lang="en-US" sz="1000" b="0" i="0">
                  <a:latin typeface="Cambria Math" panose="02040503050406030204" pitchFamily="18" charset="0"/>
                </a:rPr>
                <a:t>(1+</a:t>
              </a:r>
              <a:r>
                <a:rPr lang="he-IL" sz="1000" b="0" i="0">
                  <a:latin typeface="Cambria Math" panose="02040503050406030204" pitchFamily="18" charset="0"/>
                </a:rPr>
                <a:t>27.717391%</a:t>
              </a:r>
              <a:r>
                <a:rPr lang="en-US" sz="1000" b="0" i="0">
                  <a:latin typeface="Cambria Math" panose="02040503050406030204" pitchFamily="18" charset="0"/>
                </a:rPr>
                <a:t>)</a:t>
              </a:r>
              <a:r>
                <a:rPr lang="he-IL" sz="1000" b="0" i="0">
                  <a:latin typeface="Cambria Math" panose="02040503050406030204" pitchFamily="18" charset="0"/>
                </a:rPr>
                <a:t>〗^(1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6)−1]∗100</a:t>
              </a:r>
              <a:r>
                <a:rPr lang="en-US" sz="1000" b="0" i="0">
                  <a:latin typeface="Cambria Math" panose="02040503050406030204" pitchFamily="18" charset="0"/>
                </a:rPr>
                <a:t>=</a:t>
              </a:r>
              <a:endParaRPr lang="en-US" sz="1000"/>
            </a:p>
          </xdr:txBody>
        </xdr:sp>
      </mc:Fallback>
    </mc:AlternateContent>
    <xdr:clientData/>
  </xdr:oneCellAnchor>
  <xdr:oneCellAnchor>
    <xdr:from>
      <xdr:col>2</xdr:col>
      <xdr:colOff>435429</xdr:colOff>
      <xdr:row>93</xdr:row>
      <xdr:rowOff>136070</xdr:rowOff>
    </xdr:from>
    <xdr:ext cx="296570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470,000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368,000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[470,000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368,000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376464</xdr:colOff>
      <xdr:row>87</xdr:row>
      <xdr:rowOff>108857</xdr:rowOff>
    </xdr:from>
    <xdr:to>
      <xdr:col>5</xdr:col>
      <xdr:colOff>376464</xdr:colOff>
      <xdr:row>88</xdr:row>
      <xdr:rowOff>90714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557972C3-8E79-D8BB-8250-BE653F224CF1}"/>
            </a:ext>
          </a:extLst>
        </xdr:cNvPr>
        <xdr:cNvCxnSpPr/>
      </xdr:nvCxnSpPr>
      <xdr:spPr>
        <a:xfrm>
          <a:off x="13520488036" y="18002250"/>
          <a:ext cx="0" cy="1859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142875</xdr:colOff>
      <xdr:row>156</xdr:row>
      <xdr:rowOff>3174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𝐶𝐹_0∗(1+𝑅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𝑛)^𝑡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159</xdr:row>
      <xdr:rowOff>8465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15876</xdr:colOff>
      <xdr:row>159</xdr:row>
      <xdr:rowOff>198965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10584</xdr:colOff>
      <xdr:row>161</xdr:row>
      <xdr:rowOff>13756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𝑛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63500</xdr:colOff>
      <xdr:row>165</xdr:row>
      <xdr:rowOff>34923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174625</xdr:colOff>
      <xdr:row>169</xdr:row>
      <xdr:rowOff>188383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∗(1+</a:t>
              </a:r>
              <a:r>
                <a:rPr lang="he-IL" sz="1100" b="0" i="0">
                  <a:latin typeface="Cambria Math" panose="02040503050406030204" pitchFamily="18" charset="0"/>
                </a:rPr>
                <a:t>(10%)/4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180</xdr:row>
      <xdr:rowOff>201083</xdr:rowOff>
    </xdr:from>
    <xdr:ext cx="322262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110.3812891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[110.3812891/100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333375</xdr:colOff>
      <xdr:row>186</xdr:row>
      <xdr:rowOff>93133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767292</xdr:colOff>
      <xdr:row>194</xdr:row>
      <xdr:rowOff>98424</xdr:rowOff>
    </xdr:from>
    <xdr:ext cx="2717696" cy="3916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264584</xdr:colOff>
      <xdr:row>212</xdr:row>
      <xdr:rowOff>31750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139700</xdr:colOff>
      <xdr:row>218</xdr:row>
      <xdr:rowOff>69850</xdr:rowOff>
    </xdr:from>
    <xdr:ext cx="4797322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12.6825%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r>
                <a:rPr lang="he-IL" sz="1100" b="0" i="0">
                  <a:latin typeface="Cambria Math" panose="02040503050406030204" pitchFamily="18" charset="0"/>
                </a:rPr>
                <a:t>12.6825%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304800</xdr:colOff>
      <xdr:row>228</xdr:row>
      <xdr:rowOff>76200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8%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6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</a:t>
              </a:r>
              <a:r>
                <a:rPr lang="he-IL" sz="1100" b="0" i="0">
                  <a:latin typeface="Cambria Math" panose="02040503050406030204" pitchFamily="18" charset="0"/>
                </a:rPr>
                <a:t>(8%)/6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699613</xdr:colOff>
      <xdr:row>7</xdr:row>
      <xdr:rowOff>35649</xdr:rowOff>
    </xdr:from>
    <xdr:ext cx="4797322" cy="3933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739718</xdr:colOff>
      <xdr:row>13</xdr:row>
      <xdr:rowOff>8912</xdr:rowOff>
    </xdr:from>
    <xdr:ext cx="4797322" cy="3225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646139</xdr:colOff>
      <xdr:row>19</xdr:row>
      <xdr:rowOff>75754</xdr:rowOff>
    </xdr:from>
    <xdr:ext cx="4797322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</a:t>
              </a:r>
              <a:r>
                <a:rPr lang="he-IL" sz="1100" b="0" i="0">
                  <a:latin typeface="Cambria Math" panose="02040503050406030204" pitchFamily="18" charset="0"/>
                </a:rPr>
                <a:t>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597121</xdr:colOff>
      <xdr:row>27</xdr:row>
      <xdr:rowOff>71299</xdr:rowOff>
    </xdr:from>
    <xdr:ext cx="4797322" cy="17511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623860</xdr:colOff>
      <xdr:row>63</xdr:row>
      <xdr:rowOff>187160</xdr:rowOff>
    </xdr:from>
    <xdr:ext cx="4797322" cy="3933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17825</xdr:colOff>
      <xdr:row>66</xdr:row>
      <xdr:rowOff>75755</xdr:rowOff>
    </xdr:from>
    <xdr:ext cx="2511321" cy="39376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655054</xdr:colOff>
      <xdr:row>72</xdr:row>
      <xdr:rowOff>115861</xdr:rowOff>
    </xdr:from>
    <xdr:ext cx="4797322" cy="2863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6</m:t>
                            </m:r>
                          </m:sup>
                        </m:sSup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𝑟_𝑒=[(1+(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12%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)/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)^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6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−1]∗100</a:t>
              </a:r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98035</xdr:colOff>
      <xdr:row>78</xdr:row>
      <xdr:rowOff>129228</xdr:rowOff>
    </xdr:from>
    <xdr:ext cx="4797322" cy="3225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106947</xdr:colOff>
      <xdr:row>82</xdr:row>
      <xdr:rowOff>4456</xdr:rowOff>
    </xdr:from>
    <xdr:ext cx="4797322" cy="32464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1−5%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[1/(1−5%)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90</xdr:row>
      <xdr:rowOff>196069</xdr:rowOff>
    </xdr:from>
    <xdr:ext cx="4797322" cy="17511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91</xdr:row>
      <xdr:rowOff>200526</xdr:rowOff>
    </xdr:from>
    <xdr:to>
      <xdr:col>6</xdr:col>
      <xdr:colOff>369860</xdr:colOff>
      <xdr:row>93</xdr:row>
      <xdr:rowOff>102491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2BD2FCCF-AEC3-906D-96A1-652A9F04B5F4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91</xdr:row>
      <xdr:rowOff>196070</xdr:rowOff>
    </xdr:from>
    <xdr:to>
      <xdr:col>5</xdr:col>
      <xdr:colOff>650596</xdr:colOff>
      <xdr:row>93</xdr:row>
      <xdr:rowOff>98035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077C855-DCCB-8CE7-1BA1-4D22C548BAE1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91</xdr:row>
      <xdr:rowOff>120316</xdr:rowOff>
    </xdr:from>
    <xdr:to>
      <xdr:col>5</xdr:col>
      <xdr:colOff>525824</xdr:colOff>
      <xdr:row>93</xdr:row>
      <xdr:rowOff>164877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6E79BF60-2DA4-8110-90B5-1F53916400D2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95</xdr:row>
      <xdr:rowOff>22281</xdr:rowOff>
    </xdr:from>
    <xdr:to>
      <xdr:col>6</xdr:col>
      <xdr:colOff>369860</xdr:colOff>
      <xdr:row>101</xdr:row>
      <xdr:rowOff>164877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B529FE78-9C91-BAEF-C69D-E9A632EEF429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97</xdr:row>
      <xdr:rowOff>62386</xdr:rowOff>
    </xdr:from>
    <xdr:to>
      <xdr:col>5</xdr:col>
      <xdr:colOff>641684</xdr:colOff>
      <xdr:row>101</xdr:row>
      <xdr:rowOff>151508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D7030813-0EF3-FDB2-5257-B5E46A51A1DC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100</xdr:row>
      <xdr:rowOff>17825</xdr:rowOff>
    </xdr:from>
    <xdr:to>
      <xdr:col>5</xdr:col>
      <xdr:colOff>236176</xdr:colOff>
      <xdr:row>102</xdr:row>
      <xdr:rowOff>13368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C0DAEE4A-2213-59CE-D6BF-91F603506E61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102</xdr:row>
      <xdr:rowOff>17824</xdr:rowOff>
    </xdr:from>
    <xdr:ext cx="4797322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1+5.2632%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(1+5.2632%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548106</xdr:colOff>
      <xdr:row>111</xdr:row>
      <xdr:rowOff>196070</xdr:rowOff>
    </xdr:from>
    <xdr:ext cx="4797322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334212</xdr:colOff>
      <xdr:row>116</xdr:row>
      <xdr:rowOff>40106</xdr:rowOff>
    </xdr:from>
    <xdr:ext cx="4797322" cy="335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113,000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113,000/100,000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123</xdr:row>
      <xdr:rowOff>196069</xdr:rowOff>
    </xdr:from>
    <xdr:ext cx="4797322" cy="17511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124</xdr:row>
      <xdr:rowOff>200526</xdr:rowOff>
    </xdr:from>
    <xdr:to>
      <xdr:col>6</xdr:col>
      <xdr:colOff>369860</xdr:colOff>
      <xdr:row>126</xdr:row>
      <xdr:rowOff>102491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E3977753-3469-0749-BBCE-D8CB94BA6750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124</xdr:row>
      <xdr:rowOff>196070</xdr:rowOff>
    </xdr:from>
    <xdr:to>
      <xdr:col>5</xdr:col>
      <xdr:colOff>650596</xdr:colOff>
      <xdr:row>126</xdr:row>
      <xdr:rowOff>98035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150D8BB-0734-BA42-971F-BA7353DE8B76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124</xdr:row>
      <xdr:rowOff>120316</xdr:rowOff>
    </xdr:from>
    <xdr:to>
      <xdr:col>5</xdr:col>
      <xdr:colOff>525824</xdr:colOff>
      <xdr:row>126</xdr:row>
      <xdr:rowOff>164877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F45164D-141C-FC46-B50A-6727BF01A2C9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128</xdr:row>
      <xdr:rowOff>22281</xdr:rowOff>
    </xdr:from>
    <xdr:to>
      <xdr:col>6</xdr:col>
      <xdr:colOff>369860</xdr:colOff>
      <xdr:row>134</xdr:row>
      <xdr:rowOff>164877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AADFC1D8-AB61-F349-848F-6470A57945A5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130</xdr:row>
      <xdr:rowOff>62386</xdr:rowOff>
    </xdr:from>
    <xdr:to>
      <xdr:col>5</xdr:col>
      <xdr:colOff>641684</xdr:colOff>
      <xdr:row>134</xdr:row>
      <xdr:rowOff>151508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7B654E1E-60CD-494E-950D-B3849C1FAA1B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133</xdr:row>
      <xdr:rowOff>17825</xdr:rowOff>
    </xdr:from>
    <xdr:to>
      <xdr:col>5</xdr:col>
      <xdr:colOff>236176</xdr:colOff>
      <xdr:row>135</xdr:row>
      <xdr:rowOff>13368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FCD8284F-1C64-034B-8180-A6F84A267BBE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135</xdr:row>
      <xdr:rowOff>17824</xdr:rowOff>
    </xdr:from>
    <xdr:ext cx="4797322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1+13%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(1+13%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231720</xdr:colOff>
      <xdr:row>148</xdr:row>
      <xdr:rowOff>93579</xdr:rowOff>
    </xdr:from>
    <xdr:to>
      <xdr:col>7</xdr:col>
      <xdr:colOff>712983</xdr:colOff>
      <xdr:row>148</xdr:row>
      <xdr:rowOff>102491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EDE8D632-0AE4-E20D-BEC8-B9C3D70DD86B}"/>
            </a:ext>
          </a:extLst>
        </xdr:cNvPr>
        <xdr:cNvCxnSpPr/>
      </xdr:nvCxnSpPr>
      <xdr:spPr>
        <a:xfrm>
          <a:off x="13500255965" y="28603965"/>
          <a:ext cx="5610280" cy="891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690704</xdr:colOff>
      <xdr:row>148</xdr:row>
      <xdr:rowOff>95359</xdr:rowOff>
    </xdr:from>
    <xdr:ext cx="1688049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100,000∗(1+(3%)/6)^6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352035</xdr:colOff>
      <xdr:row>150</xdr:row>
      <xdr:rowOff>124772</xdr:rowOff>
    </xdr:from>
    <xdr:to>
      <xdr:col>3</xdr:col>
      <xdr:colOff>360947</xdr:colOff>
      <xdr:row>153</xdr:row>
      <xdr:rowOff>182702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80484F66-CD12-872F-48D0-47DAFA3EB1AE}"/>
            </a:ext>
          </a:extLst>
        </xdr:cNvPr>
        <xdr:cNvCxnSpPr/>
      </xdr:nvCxnSpPr>
      <xdr:spPr>
        <a:xfrm>
          <a:off x="13504088246" y="29045123"/>
          <a:ext cx="8912" cy="67287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138140</xdr:colOff>
      <xdr:row>149</xdr:row>
      <xdr:rowOff>66843</xdr:rowOff>
    </xdr:from>
    <xdr:to>
      <xdr:col>3</xdr:col>
      <xdr:colOff>138140</xdr:colOff>
      <xdr:row>152</xdr:row>
      <xdr:rowOff>178245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8FDA447D-866C-D07F-6280-4DAE8FA5A342}"/>
            </a:ext>
          </a:extLst>
        </xdr:cNvPr>
        <xdr:cNvCxnSpPr/>
      </xdr:nvCxnSpPr>
      <xdr:spPr>
        <a:xfrm>
          <a:off x="13504311053" y="28782211"/>
          <a:ext cx="0" cy="7263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668422</xdr:colOff>
      <xdr:row>156</xdr:row>
      <xdr:rowOff>90902</xdr:rowOff>
    </xdr:from>
    <xdr:ext cx="1688049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∗(1+𝑅/𝑛)^𝑡=𝐶𝐹_𝑡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788459</xdr:colOff>
      <xdr:row>158</xdr:row>
      <xdr:rowOff>86445</xdr:rowOff>
    </xdr:from>
    <xdr:ext cx="2308568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103,038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806562</xdr:colOff>
      <xdr:row>161</xdr:row>
      <xdr:rowOff>202308</xdr:rowOff>
    </xdr:from>
    <xdr:ext cx="1523172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227541</xdr:colOff>
      <xdr:row>165</xdr:row>
      <xdr:rowOff>149392</xdr:rowOff>
    </xdr:from>
    <xdr:ext cx="2398526" cy="335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103,038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96,000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96,000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21166</xdr:colOff>
      <xdr:row>168</xdr:row>
      <xdr:rowOff>101766</xdr:rowOff>
    </xdr:from>
    <xdr:ext cx="2398526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1+7.3312%</m:t>
                            </m:r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〖[(1+7.3312%)〗^2−1]∗100=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63500</xdr:colOff>
      <xdr:row>172</xdr:row>
      <xdr:rowOff>21167</xdr:rowOff>
    </xdr:from>
    <xdr:to>
      <xdr:col>5</xdr:col>
      <xdr:colOff>343958</xdr:colOff>
      <xdr:row>177</xdr:row>
      <xdr:rowOff>211667</xdr:rowOff>
    </xdr:to>
    <xdr:sp macro="" textlink="">
      <xdr:nvSpPr>
        <xdr:cNvPr id="58" name="Left Brace 57">
          <a:extLst>
            <a:ext uri="{FF2B5EF4-FFF2-40B4-BE49-F238E27FC236}">
              <a16:creationId xmlns:a16="http://schemas.microsoft.com/office/drawing/2014/main" id="{1CF87E66-C4AD-6FE2-A485-EB05B556E3A2}"/>
            </a:ext>
          </a:extLst>
        </xdr:cNvPr>
        <xdr:cNvSpPr/>
      </xdr:nvSpPr>
      <xdr:spPr>
        <a:xfrm>
          <a:off x="13520674000" y="32845375"/>
          <a:ext cx="280458" cy="11959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492125</xdr:colOff>
      <xdr:row>34</xdr:row>
      <xdr:rowOff>45509</xdr:rowOff>
    </xdr:from>
    <xdr:ext cx="1315404" cy="3518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t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∗(1+𝑅/𝑛)^t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172975</xdr:colOff>
      <xdr:row>195</xdr:row>
      <xdr:rowOff>75381</xdr:rowOff>
    </xdr:from>
    <xdr:ext cx="2004461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∗(1−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113799</xdr:colOff>
      <xdr:row>196</xdr:row>
      <xdr:rowOff>84484</xdr:rowOff>
    </xdr:from>
    <xdr:ext cx="2004461" cy="3518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132007</xdr:colOff>
      <xdr:row>195</xdr:row>
      <xdr:rowOff>45520</xdr:rowOff>
    </xdr:from>
    <xdr:to>
      <xdr:col>3</xdr:col>
      <xdr:colOff>377814</xdr:colOff>
      <xdr:row>198</xdr:row>
      <xdr:rowOff>104696</xdr:rowOff>
    </xdr:to>
    <xdr:sp macro="" textlink="">
      <xdr:nvSpPr>
        <xdr:cNvPr id="62" name="Right Brace 61">
          <a:extLst>
            <a:ext uri="{FF2B5EF4-FFF2-40B4-BE49-F238E27FC236}">
              <a16:creationId xmlns:a16="http://schemas.microsoft.com/office/drawing/2014/main" id="{7573C9CE-7191-459B-1893-7C4EA3D3EBC4}"/>
            </a:ext>
          </a:extLst>
        </xdr:cNvPr>
        <xdr:cNvSpPr/>
      </xdr:nvSpPr>
      <xdr:spPr>
        <a:xfrm>
          <a:off x="13496221720" y="40025484"/>
          <a:ext cx="245807" cy="67369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0</xdr:col>
      <xdr:colOff>792042</xdr:colOff>
      <xdr:row>195</xdr:row>
      <xdr:rowOff>184628</xdr:rowOff>
    </xdr:from>
    <xdr:ext cx="2004461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268567</xdr:colOff>
      <xdr:row>204</xdr:row>
      <xdr:rowOff>11653</xdr:rowOff>
    </xdr:from>
    <xdr:ext cx="4198511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1−4%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r>
                <a:rPr lang="he-IL" sz="1100" b="0" i="0">
                  <a:latin typeface="Cambria Math" panose="02040503050406030204" pitchFamily="18" charset="0"/>
                </a:rPr>
                <a:t>→</a:t>
              </a:r>
              <a:r>
                <a:rPr lang="en-US" sz="1100" b="0" i="0">
                  <a:latin typeface="Cambria Math" panose="02040503050406030204" pitchFamily="18" charset="0"/>
                </a:rPr>
                <a:t>𝐶𝐹_0=500,000∗(1−4%)=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687347</xdr:colOff>
      <xdr:row>205</xdr:row>
      <xdr:rowOff>107245</xdr:rowOff>
    </xdr:from>
    <xdr:ext cx="3752418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∗(1+𝑅/𝑛)^𝑡→𝐶𝐹_𝑡=500,000∗(1+(12%)/12)^24=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350500</xdr:colOff>
      <xdr:row>214</xdr:row>
      <xdr:rowOff>120900</xdr:rowOff>
    </xdr:from>
    <xdr:ext cx="3024103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634,867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480,000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𝑟_𝑒=((𝐶𝐹_𝑡)/(𝐶𝐹_0 )−1)∗100→(</a:t>
              </a:r>
              <a:r>
                <a:rPr lang="he-IL" sz="1100" b="0" i="0">
                  <a:latin typeface="Cambria Math" panose="02040503050406030204" pitchFamily="18" charset="0"/>
                </a:rPr>
                <a:t>634,867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480,000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295878</xdr:colOff>
      <xdr:row>221</xdr:row>
      <xdr:rowOff>134556</xdr:rowOff>
    </xdr:from>
    <xdr:ext cx="3269909" cy="34657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שנתיים</m:t>
                                    </m:r>
                                  </m:sub>
                                </m:sSub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(1+𝑟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שנתיים</a:t>
              </a:r>
              <a:r>
                <a:rPr lang="en-US" sz="1100" b="0" i="0">
                  <a:latin typeface="Cambria Math" panose="02040503050406030204" pitchFamily="18" charset="0"/>
                </a:rPr>
                <a:t> )^(1/2)−1]∗100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277671</xdr:colOff>
      <xdr:row>223</xdr:row>
      <xdr:rowOff>116348</xdr:rowOff>
    </xdr:from>
    <xdr:ext cx="3269909" cy="26795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32.264%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32.264%)^(1/2)−1]∗100=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0</xdr:col>
      <xdr:colOff>58697</xdr:colOff>
      <xdr:row>233</xdr:row>
      <xdr:rowOff>80042</xdr:rowOff>
    </xdr:from>
    <xdr:to>
      <xdr:col>5</xdr:col>
      <xdr:colOff>576302</xdr:colOff>
      <xdr:row>239</xdr:row>
      <xdr:rowOff>131776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605FBB7E-61AE-0D73-FBB5-BE448997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6657774" y="47368866"/>
          <a:ext cx="4695798" cy="1268372"/>
        </a:xfrm>
        <a:prstGeom prst="rect">
          <a:avLst/>
        </a:prstGeom>
      </xdr:spPr>
    </xdr:pic>
    <xdr:clientData/>
  </xdr:twoCellAnchor>
  <xdr:twoCellAnchor editAs="oneCell">
    <xdr:from>
      <xdr:col>0</xdr:col>
      <xdr:colOff>10673</xdr:colOff>
      <xdr:row>239</xdr:row>
      <xdr:rowOff>154748</xdr:rowOff>
    </xdr:from>
    <xdr:to>
      <xdr:col>5</xdr:col>
      <xdr:colOff>284937</xdr:colOff>
      <xdr:row>256</xdr:row>
      <xdr:rowOff>49656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6BB0E6F0-3A44-834C-B752-C6761851C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6949139" y="48660210"/>
          <a:ext cx="4452457" cy="334205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258</xdr:row>
      <xdr:rowOff>74706</xdr:rowOff>
    </xdr:from>
    <xdr:to>
      <xdr:col>6</xdr:col>
      <xdr:colOff>49398</xdr:colOff>
      <xdr:row>266</xdr:row>
      <xdr:rowOff>5057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DA7DAE5-D734-D7D7-FD11-661EBC31B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6272199" y="52432857"/>
          <a:ext cx="5140070" cy="15525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141535</xdr:colOff>
      <xdr:row>266</xdr:row>
      <xdr:rowOff>119461</xdr:rowOff>
    </xdr:from>
    <xdr:to>
      <xdr:col>3</xdr:col>
      <xdr:colOff>631215</xdr:colOff>
      <xdr:row>272</xdr:row>
      <xdr:rowOff>93883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AB7ECD-755E-F14A-BB5F-5B01733C1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062085" y="54297661"/>
          <a:ext cx="2991580" cy="1193621"/>
        </a:xfrm>
        <a:prstGeom prst="rect">
          <a:avLst/>
        </a:prstGeom>
      </xdr:spPr>
    </xdr:pic>
    <xdr:clientData/>
  </xdr:twoCellAnchor>
  <xdr:twoCellAnchor editAs="oneCell">
    <xdr:from>
      <xdr:col>4</xdr:col>
      <xdr:colOff>63500</xdr:colOff>
      <xdr:row>266</xdr:row>
      <xdr:rowOff>32360</xdr:rowOff>
    </xdr:from>
    <xdr:to>
      <xdr:col>7</xdr:col>
      <xdr:colOff>801224</xdr:colOff>
      <xdr:row>272</xdr:row>
      <xdr:rowOff>189671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586337-DAE2-5B42-A89F-7756A93D9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8412276" y="54210560"/>
          <a:ext cx="3366624" cy="1376510"/>
        </a:xfrm>
        <a:prstGeom prst="rect">
          <a:avLst/>
        </a:prstGeom>
      </xdr:spPr>
    </xdr:pic>
    <xdr:clientData/>
  </xdr:twoCellAnchor>
  <xdr:twoCellAnchor editAs="oneCell">
    <xdr:from>
      <xdr:col>8</xdr:col>
      <xdr:colOff>125382</xdr:colOff>
      <xdr:row>325</xdr:row>
      <xdr:rowOff>10526</xdr:rowOff>
    </xdr:from>
    <xdr:to>
      <xdr:col>11</xdr:col>
      <xdr:colOff>54278</xdr:colOff>
      <xdr:row>336</xdr:row>
      <xdr:rowOff>26372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81A355-AE18-454A-AAAB-20990666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857222" y="66228326"/>
          <a:ext cx="2405396" cy="2276446"/>
        </a:xfrm>
        <a:prstGeom prst="rect">
          <a:avLst/>
        </a:prstGeom>
      </xdr:spPr>
    </xdr:pic>
    <xdr:clientData/>
  </xdr:twoCellAnchor>
  <xdr:oneCellAnchor>
    <xdr:from>
      <xdr:col>5</xdr:col>
      <xdr:colOff>291212</xdr:colOff>
      <xdr:row>349</xdr:row>
      <xdr:rowOff>16017</xdr:rowOff>
    </xdr:from>
    <xdr:ext cx="2188023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1610D9E-7A4A-3B48-A7B2-3F447AC92A4F}"/>
                </a:ext>
              </a:extLst>
            </xdr:cNvPr>
            <xdr:cNvSpPr txBox="1"/>
          </xdr:nvSpPr>
          <xdr:spPr>
            <a:xfrm>
              <a:off x="13518537665" y="71174117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1610D9E-7A4A-3B48-A7B2-3F447AC92A4F}"/>
                </a:ext>
              </a:extLst>
            </xdr:cNvPr>
            <xdr:cNvSpPr txBox="1"/>
          </xdr:nvSpPr>
          <xdr:spPr>
            <a:xfrm>
              <a:off x="13518537665" y="71174117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711849</xdr:colOff>
      <xdr:row>351</xdr:row>
      <xdr:rowOff>24104</xdr:rowOff>
    </xdr:from>
    <xdr:ext cx="821049" cy="17407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8D7C9DD-3A4C-0744-8524-80974CB3F87D}"/>
                </a:ext>
              </a:extLst>
            </xdr:cNvPr>
            <xdr:cNvSpPr txBox="1"/>
          </xdr:nvSpPr>
          <xdr:spPr>
            <a:xfrm>
              <a:off x="13523662302" y="7160130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8D7C9DD-3A4C-0744-8524-80974CB3F87D}"/>
                </a:ext>
              </a:extLst>
            </xdr:cNvPr>
            <xdr:cNvSpPr txBox="1"/>
          </xdr:nvSpPr>
          <xdr:spPr>
            <a:xfrm>
              <a:off x="13523662302" y="7160130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642427</xdr:colOff>
      <xdr:row>372</xdr:row>
      <xdr:rowOff>11140</xdr:rowOff>
    </xdr:from>
    <xdr:ext cx="821049" cy="17407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1CAD53A-97B7-F74D-8D23-8783115EC2DE}"/>
                </a:ext>
              </a:extLst>
            </xdr:cNvPr>
            <xdr:cNvSpPr txBox="1"/>
          </xdr:nvSpPr>
          <xdr:spPr>
            <a:xfrm>
              <a:off x="13523731724" y="75880940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1CAD53A-97B7-F74D-8D23-8783115EC2DE}"/>
                </a:ext>
              </a:extLst>
            </xdr:cNvPr>
            <xdr:cNvSpPr txBox="1"/>
          </xdr:nvSpPr>
          <xdr:spPr>
            <a:xfrm>
              <a:off x="13523731724" y="75880940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663966</xdr:colOff>
      <xdr:row>413</xdr:row>
      <xdr:rowOff>26736</xdr:rowOff>
    </xdr:from>
    <xdr:ext cx="821049" cy="17407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62E27B5-14C9-E740-834D-4F86D19AD814}"/>
                </a:ext>
              </a:extLst>
            </xdr:cNvPr>
            <xdr:cNvSpPr txBox="1"/>
          </xdr:nvSpPr>
          <xdr:spPr>
            <a:xfrm>
              <a:off x="13523710185" y="8426583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62E27B5-14C9-E740-834D-4F86D19AD814}"/>
                </a:ext>
              </a:extLst>
            </xdr:cNvPr>
            <xdr:cNvSpPr txBox="1"/>
          </xdr:nvSpPr>
          <xdr:spPr>
            <a:xfrm>
              <a:off x="13523710185" y="8426583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663966</xdr:colOff>
      <xdr:row>413</xdr:row>
      <xdr:rowOff>26736</xdr:rowOff>
    </xdr:from>
    <xdr:ext cx="821049" cy="17407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AD457AA-5CEE-9B40-85B5-3600EF83E510}"/>
                </a:ext>
              </a:extLst>
            </xdr:cNvPr>
            <xdr:cNvSpPr txBox="1"/>
          </xdr:nvSpPr>
          <xdr:spPr>
            <a:xfrm>
              <a:off x="13521208285" y="8426583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AD457AA-5CEE-9B40-85B5-3600EF83E510}"/>
                </a:ext>
              </a:extLst>
            </xdr:cNvPr>
            <xdr:cNvSpPr txBox="1"/>
          </xdr:nvSpPr>
          <xdr:spPr>
            <a:xfrm>
              <a:off x="13521208285" y="8426583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699613</xdr:colOff>
      <xdr:row>7</xdr:row>
      <xdr:rowOff>35649</xdr:rowOff>
    </xdr:from>
    <xdr:ext cx="4797322" cy="3933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F96980F-A7BA-8348-884F-B00D65BA4269}"/>
                </a:ext>
              </a:extLst>
            </xdr:cNvPr>
            <xdr:cNvSpPr txBox="1"/>
          </xdr:nvSpPr>
          <xdr:spPr>
            <a:xfrm>
              <a:off x="13518021865" y="1458049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F96980F-A7BA-8348-884F-B00D65BA4269}"/>
                </a:ext>
              </a:extLst>
            </xdr:cNvPr>
            <xdr:cNvSpPr txBox="1"/>
          </xdr:nvSpPr>
          <xdr:spPr>
            <a:xfrm>
              <a:off x="13518021865" y="1458049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739718</xdr:colOff>
      <xdr:row>13</xdr:row>
      <xdr:rowOff>8912</xdr:rowOff>
    </xdr:from>
    <xdr:ext cx="4797322" cy="3225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779641FC-2B48-FD4F-9CE7-B6F9EA487C90}"/>
                </a:ext>
              </a:extLst>
            </xdr:cNvPr>
            <xdr:cNvSpPr txBox="1"/>
          </xdr:nvSpPr>
          <xdr:spPr>
            <a:xfrm>
              <a:off x="13517981760" y="265051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779641FC-2B48-FD4F-9CE7-B6F9EA487C90}"/>
                </a:ext>
              </a:extLst>
            </xdr:cNvPr>
            <xdr:cNvSpPr txBox="1"/>
          </xdr:nvSpPr>
          <xdr:spPr>
            <a:xfrm>
              <a:off x="13517981760" y="265051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646139</xdr:colOff>
      <xdr:row>19</xdr:row>
      <xdr:rowOff>75754</xdr:rowOff>
    </xdr:from>
    <xdr:ext cx="4797322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6DFF7A2-CDA9-BD4F-B7D9-72024E899261}"/>
                </a:ext>
              </a:extLst>
            </xdr:cNvPr>
            <xdr:cNvSpPr txBox="1"/>
          </xdr:nvSpPr>
          <xdr:spPr>
            <a:xfrm>
              <a:off x="13518075339" y="3936554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6DFF7A2-CDA9-BD4F-B7D9-72024E899261}"/>
                </a:ext>
              </a:extLst>
            </xdr:cNvPr>
            <xdr:cNvSpPr txBox="1"/>
          </xdr:nvSpPr>
          <xdr:spPr>
            <a:xfrm>
              <a:off x="13518075339" y="3936554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</a:t>
              </a:r>
              <a:r>
                <a:rPr lang="he-IL" sz="1100" b="0" i="0">
                  <a:latin typeface="Cambria Math" panose="02040503050406030204" pitchFamily="18" charset="0"/>
                </a:rPr>
                <a:t>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597121</xdr:colOff>
      <xdr:row>27</xdr:row>
      <xdr:rowOff>71299</xdr:rowOff>
    </xdr:from>
    <xdr:ext cx="4797322" cy="17511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3B23B76-F271-8F4E-AE73-E99F8BBB0A85}"/>
                </a:ext>
              </a:extLst>
            </xdr:cNvPr>
            <xdr:cNvSpPr txBox="1"/>
          </xdr:nvSpPr>
          <xdr:spPr>
            <a:xfrm>
              <a:off x="13518124357" y="5557699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3B23B76-F271-8F4E-AE73-E99F8BBB0A85}"/>
                </a:ext>
              </a:extLst>
            </xdr:cNvPr>
            <xdr:cNvSpPr txBox="1"/>
          </xdr:nvSpPr>
          <xdr:spPr>
            <a:xfrm>
              <a:off x="13518124357" y="5557699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623860</xdr:colOff>
      <xdr:row>63</xdr:row>
      <xdr:rowOff>187160</xdr:rowOff>
    </xdr:from>
    <xdr:ext cx="4797322" cy="3933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1090BBB-0C71-8F4C-8754-FCE2EB2B08D8}"/>
                </a:ext>
              </a:extLst>
            </xdr:cNvPr>
            <xdr:cNvSpPr txBox="1"/>
          </xdr:nvSpPr>
          <xdr:spPr>
            <a:xfrm>
              <a:off x="13517272118" y="1301416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1090BBB-0C71-8F4C-8754-FCE2EB2B08D8}"/>
                </a:ext>
              </a:extLst>
            </xdr:cNvPr>
            <xdr:cNvSpPr txBox="1"/>
          </xdr:nvSpPr>
          <xdr:spPr>
            <a:xfrm>
              <a:off x="13517272118" y="1301416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17825</xdr:colOff>
      <xdr:row>66</xdr:row>
      <xdr:rowOff>75755</xdr:rowOff>
    </xdr:from>
    <xdr:ext cx="2511321" cy="39376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7573810E-D4F8-5A42-A2CF-6197C83BF83D}"/>
                </a:ext>
              </a:extLst>
            </xdr:cNvPr>
            <xdr:cNvSpPr txBox="1"/>
          </xdr:nvSpPr>
          <xdr:spPr>
            <a:xfrm>
              <a:off x="13518487754" y="13512355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7573810E-D4F8-5A42-A2CF-6197C83BF83D}"/>
                </a:ext>
              </a:extLst>
            </xdr:cNvPr>
            <xdr:cNvSpPr txBox="1"/>
          </xdr:nvSpPr>
          <xdr:spPr>
            <a:xfrm>
              <a:off x="13518487754" y="13512355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655054</xdr:colOff>
      <xdr:row>72</xdr:row>
      <xdr:rowOff>115861</xdr:rowOff>
    </xdr:from>
    <xdr:ext cx="4797322" cy="2863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F4841F1-5179-FD4B-A221-82838A796F27}"/>
                </a:ext>
              </a:extLst>
            </xdr:cNvPr>
            <xdr:cNvSpPr txBox="1"/>
          </xdr:nvSpPr>
          <xdr:spPr>
            <a:xfrm>
              <a:off x="13518066424" y="14771661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6</m:t>
                            </m:r>
                          </m:sup>
                        </m:sSup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F4841F1-5179-FD4B-A221-82838A796F27}"/>
                </a:ext>
              </a:extLst>
            </xdr:cNvPr>
            <xdr:cNvSpPr txBox="1"/>
          </xdr:nvSpPr>
          <xdr:spPr>
            <a:xfrm>
              <a:off x="13518066424" y="14771661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𝑟_𝑒=[(1+(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12%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)/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)^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6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−1]∗100</a:t>
              </a:r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98035</xdr:colOff>
      <xdr:row>78</xdr:row>
      <xdr:rowOff>129228</xdr:rowOff>
    </xdr:from>
    <xdr:ext cx="4797322" cy="3225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1FD531F4-D1A0-3240-B44A-EA522B0D60D6}"/>
                </a:ext>
              </a:extLst>
            </xdr:cNvPr>
            <xdr:cNvSpPr txBox="1"/>
          </xdr:nvSpPr>
          <xdr:spPr>
            <a:xfrm>
              <a:off x="13517797943" y="16004228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1FD531F4-D1A0-3240-B44A-EA522B0D60D6}"/>
                </a:ext>
              </a:extLst>
            </xdr:cNvPr>
            <xdr:cNvSpPr txBox="1"/>
          </xdr:nvSpPr>
          <xdr:spPr>
            <a:xfrm>
              <a:off x="13517797943" y="16004228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106947</xdr:colOff>
      <xdr:row>82</xdr:row>
      <xdr:rowOff>4456</xdr:rowOff>
    </xdr:from>
    <xdr:ext cx="4797322" cy="32464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61E25759-78BA-1744-ADF7-EDB2DFDC03A9}"/>
                </a:ext>
              </a:extLst>
            </xdr:cNvPr>
            <xdr:cNvSpPr txBox="1"/>
          </xdr:nvSpPr>
          <xdr:spPr>
            <a:xfrm>
              <a:off x="13517789031" y="16692256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1−5%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61E25759-78BA-1744-ADF7-EDB2DFDC03A9}"/>
                </a:ext>
              </a:extLst>
            </xdr:cNvPr>
            <xdr:cNvSpPr txBox="1"/>
          </xdr:nvSpPr>
          <xdr:spPr>
            <a:xfrm>
              <a:off x="13517789031" y="16692256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[1/(1−5%)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90</xdr:row>
      <xdr:rowOff>196069</xdr:rowOff>
    </xdr:from>
    <xdr:ext cx="4797322" cy="17511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2A9F611-9243-C549-8FF9-99FA0A8B21D3}"/>
                </a:ext>
              </a:extLst>
            </xdr:cNvPr>
            <xdr:cNvSpPr txBox="1"/>
          </xdr:nvSpPr>
          <xdr:spPr>
            <a:xfrm>
              <a:off x="13518017408" y="18509469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2A9F611-9243-C549-8FF9-99FA0A8B21D3}"/>
                </a:ext>
              </a:extLst>
            </xdr:cNvPr>
            <xdr:cNvSpPr txBox="1"/>
          </xdr:nvSpPr>
          <xdr:spPr>
            <a:xfrm>
              <a:off x="13518017408" y="18509469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91</xdr:row>
      <xdr:rowOff>200526</xdr:rowOff>
    </xdr:from>
    <xdr:to>
      <xdr:col>6</xdr:col>
      <xdr:colOff>369860</xdr:colOff>
      <xdr:row>93</xdr:row>
      <xdr:rowOff>102491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6024358-1578-A247-ABAD-6DF0F44661AA}"/>
            </a:ext>
          </a:extLst>
        </xdr:cNvPr>
        <xdr:cNvCxnSpPr/>
      </xdr:nvCxnSpPr>
      <xdr:spPr>
        <a:xfrm>
          <a:off x="13519732640" y="18717126"/>
          <a:ext cx="8912" cy="3083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91</xdr:row>
      <xdr:rowOff>196070</xdr:rowOff>
    </xdr:from>
    <xdr:to>
      <xdr:col>5</xdr:col>
      <xdr:colOff>650596</xdr:colOff>
      <xdr:row>93</xdr:row>
      <xdr:rowOff>98035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C9297671-CD05-BD43-8AC2-D535F1F04815}"/>
            </a:ext>
          </a:extLst>
        </xdr:cNvPr>
        <xdr:cNvCxnSpPr/>
      </xdr:nvCxnSpPr>
      <xdr:spPr>
        <a:xfrm>
          <a:off x="13520366304" y="18712670"/>
          <a:ext cx="8912" cy="3083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91</xdr:row>
      <xdr:rowOff>120316</xdr:rowOff>
    </xdr:from>
    <xdr:to>
      <xdr:col>5</xdr:col>
      <xdr:colOff>525824</xdr:colOff>
      <xdr:row>93</xdr:row>
      <xdr:rowOff>164877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1D09AD61-951C-9F44-B41F-E9F312DBDF9F}"/>
            </a:ext>
          </a:extLst>
        </xdr:cNvPr>
        <xdr:cNvCxnSpPr/>
      </xdr:nvCxnSpPr>
      <xdr:spPr>
        <a:xfrm>
          <a:off x="13520491076" y="18636916"/>
          <a:ext cx="923535" cy="4509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95</xdr:row>
      <xdr:rowOff>22281</xdr:rowOff>
    </xdr:from>
    <xdr:to>
      <xdr:col>6</xdr:col>
      <xdr:colOff>369860</xdr:colOff>
      <xdr:row>101</xdr:row>
      <xdr:rowOff>164877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765EF0C9-F77B-0E45-9687-11252E372CE4}"/>
            </a:ext>
          </a:extLst>
        </xdr:cNvPr>
        <xdr:cNvCxnSpPr/>
      </xdr:nvCxnSpPr>
      <xdr:spPr>
        <a:xfrm>
          <a:off x="13519732640" y="19351681"/>
          <a:ext cx="4456" cy="1361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97</xdr:row>
      <xdr:rowOff>62386</xdr:rowOff>
    </xdr:from>
    <xdr:to>
      <xdr:col>5</xdr:col>
      <xdr:colOff>641684</xdr:colOff>
      <xdr:row>101</xdr:row>
      <xdr:rowOff>151508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CD6331B3-E771-9246-B554-5CB041A63069}"/>
            </a:ext>
          </a:extLst>
        </xdr:cNvPr>
        <xdr:cNvCxnSpPr/>
      </xdr:nvCxnSpPr>
      <xdr:spPr>
        <a:xfrm>
          <a:off x="13520375216" y="19798186"/>
          <a:ext cx="13368" cy="90192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100</xdr:row>
      <xdr:rowOff>17825</xdr:rowOff>
    </xdr:from>
    <xdr:to>
      <xdr:col>5</xdr:col>
      <xdr:colOff>236176</xdr:colOff>
      <xdr:row>102</xdr:row>
      <xdr:rowOff>13368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CD28AC56-6BAE-C34E-9E89-27D44FEA1406}"/>
            </a:ext>
          </a:extLst>
        </xdr:cNvPr>
        <xdr:cNvCxnSpPr/>
      </xdr:nvCxnSpPr>
      <xdr:spPr>
        <a:xfrm flipH="1">
          <a:off x="13520780724" y="20363225"/>
          <a:ext cx="696273" cy="40194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102</xdr:row>
      <xdr:rowOff>17824</xdr:rowOff>
    </xdr:from>
    <xdr:ext cx="4797322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BC78AB8B-26E9-0B45-BD62-5C94006D66BB}"/>
                </a:ext>
              </a:extLst>
            </xdr:cNvPr>
            <xdr:cNvSpPr txBox="1"/>
          </xdr:nvSpPr>
          <xdr:spPr>
            <a:xfrm>
              <a:off x="13518168916" y="20769624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1+5.2632%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BC78AB8B-26E9-0B45-BD62-5C94006D66BB}"/>
                </a:ext>
              </a:extLst>
            </xdr:cNvPr>
            <xdr:cNvSpPr txBox="1"/>
          </xdr:nvSpPr>
          <xdr:spPr>
            <a:xfrm>
              <a:off x="13518168916" y="20769624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(1+5.2632%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548106</xdr:colOff>
      <xdr:row>111</xdr:row>
      <xdr:rowOff>196070</xdr:rowOff>
    </xdr:from>
    <xdr:ext cx="4797322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035BE999-03F6-284C-A3F5-36044AB1DA55}"/>
                </a:ext>
              </a:extLst>
            </xdr:cNvPr>
            <xdr:cNvSpPr txBox="1"/>
          </xdr:nvSpPr>
          <xdr:spPr>
            <a:xfrm>
              <a:off x="13517347872" y="22776670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035BE999-03F6-284C-A3F5-36044AB1DA55}"/>
                </a:ext>
              </a:extLst>
            </xdr:cNvPr>
            <xdr:cNvSpPr txBox="1"/>
          </xdr:nvSpPr>
          <xdr:spPr>
            <a:xfrm>
              <a:off x="13517347872" y="22776670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334212</xdr:colOff>
      <xdr:row>116</xdr:row>
      <xdr:rowOff>40106</xdr:rowOff>
    </xdr:from>
    <xdr:ext cx="4797322" cy="335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2CCF67C9-D47A-A64A-9ED6-57316DD69949}"/>
                </a:ext>
              </a:extLst>
            </xdr:cNvPr>
            <xdr:cNvSpPr txBox="1"/>
          </xdr:nvSpPr>
          <xdr:spPr>
            <a:xfrm>
              <a:off x="13517561766" y="23636706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113,000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2CCF67C9-D47A-A64A-9ED6-57316DD69949}"/>
                </a:ext>
              </a:extLst>
            </xdr:cNvPr>
            <xdr:cNvSpPr txBox="1"/>
          </xdr:nvSpPr>
          <xdr:spPr>
            <a:xfrm>
              <a:off x="13517561766" y="23636706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113,000/100,000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123</xdr:row>
      <xdr:rowOff>196069</xdr:rowOff>
    </xdr:from>
    <xdr:ext cx="4797322" cy="17511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8C0E8D1-D9BF-7C4C-953A-892117C07117}"/>
                </a:ext>
              </a:extLst>
            </xdr:cNvPr>
            <xdr:cNvSpPr txBox="1"/>
          </xdr:nvSpPr>
          <xdr:spPr>
            <a:xfrm>
              <a:off x="13518017408" y="25215069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8C0E8D1-D9BF-7C4C-953A-892117C07117}"/>
                </a:ext>
              </a:extLst>
            </xdr:cNvPr>
            <xdr:cNvSpPr txBox="1"/>
          </xdr:nvSpPr>
          <xdr:spPr>
            <a:xfrm>
              <a:off x="13518017408" y="25215069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124</xdr:row>
      <xdr:rowOff>200526</xdr:rowOff>
    </xdr:from>
    <xdr:to>
      <xdr:col>6</xdr:col>
      <xdr:colOff>369860</xdr:colOff>
      <xdr:row>126</xdr:row>
      <xdr:rowOff>102491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4BDBB27E-1591-194D-B43E-7B67526A475A}"/>
            </a:ext>
          </a:extLst>
        </xdr:cNvPr>
        <xdr:cNvCxnSpPr/>
      </xdr:nvCxnSpPr>
      <xdr:spPr>
        <a:xfrm>
          <a:off x="13519732640" y="25422726"/>
          <a:ext cx="8912" cy="3083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124</xdr:row>
      <xdr:rowOff>196070</xdr:rowOff>
    </xdr:from>
    <xdr:to>
      <xdr:col>5</xdr:col>
      <xdr:colOff>650596</xdr:colOff>
      <xdr:row>126</xdr:row>
      <xdr:rowOff>98035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A6DDDDF5-EAED-3A4B-9C1B-7477F7D95668}"/>
            </a:ext>
          </a:extLst>
        </xdr:cNvPr>
        <xdr:cNvCxnSpPr/>
      </xdr:nvCxnSpPr>
      <xdr:spPr>
        <a:xfrm>
          <a:off x="13520366304" y="25418270"/>
          <a:ext cx="8912" cy="3083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124</xdr:row>
      <xdr:rowOff>120316</xdr:rowOff>
    </xdr:from>
    <xdr:to>
      <xdr:col>5</xdr:col>
      <xdr:colOff>525824</xdr:colOff>
      <xdr:row>126</xdr:row>
      <xdr:rowOff>164877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7597E8AF-FFAA-1A45-A453-D4075C214C5D}"/>
            </a:ext>
          </a:extLst>
        </xdr:cNvPr>
        <xdr:cNvCxnSpPr/>
      </xdr:nvCxnSpPr>
      <xdr:spPr>
        <a:xfrm>
          <a:off x="13520491076" y="25342516"/>
          <a:ext cx="923535" cy="4509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128</xdr:row>
      <xdr:rowOff>22281</xdr:rowOff>
    </xdr:from>
    <xdr:to>
      <xdr:col>6</xdr:col>
      <xdr:colOff>369860</xdr:colOff>
      <xdr:row>134</xdr:row>
      <xdr:rowOff>164877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41D629E8-C20B-5744-ACCB-88F3D046CC03}"/>
            </a:ext>
          </a:extLst>
        </xdr:cNvPr>
        <xdr:cNvCxnSpPr/>
      </xdr:nvCxnSpPr>
      <xdr:spPr>
        <a:xfrm>
          <a:off x="13519732640" y="26057281"/>
          <a:ext cx="4456" cy="1361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130</xdr:row>
      <xdr:rowOff>62386</xdr:rowOff>
    </xdr:from>
    <xdr:to>
      <xdr:col>5</xdr:col>
      <xdr:colOff>641684</xdr:colOff>
      <xdr:row>134</xdr:row>
      <xdr:rowOff>151508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67AA9BC3-235E-7B41-A2E1-44948C97B8DE}"/>
            </a:ext>
          </a:extLst>
        </xdr:cNvPr>
        <xdr:cNvCxnSpPr/>
      </xdr:nvCxnSpPr>
      <xdr:spPr>
        <a:xfrm>
          <a:off x="13520375216" y="26503786"/>
          <a:ext cx="13368" cy="90192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133</xdr:row>
      <xdr:rowOff>17825</xdr:rowOff>
    </xdr:from>
    <xdr:to>
      <xdr:col>5</xdr:col>
      <xdr:colOff>236176</xdr:colOff>
      <xdr:row>135</xdr:row>
      <xdr:rowOff>13368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1F298B87-0DC4-3C40-9460-13E46891D7D7}"/>
            </a:ext>
          </a:extLst>
        </xdr:cNvPr>
        <xdr:cNvCxnSpPr/>
      </xdr:nvCxnSpPr>
      <xdr:spPr>
        <a:xfrm flipH="1">
          <a:off x="13520780724" y="27068825"/>
          <a:ext cx="696273" cy="40194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135</xdr:row>
      <xdr:rowOff>17824</xdr:rowOff>
    </xdr:from>
    <xdr:ext cx="4797322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620BEA48-F412-0744-A6C4-3DCCB807EBAB}"/>
                </a:ext>
              </a:extLst>
            </xdr:cNvPr>
            <xdr:cNvSpPr txBox="1"/>
          </xdr:nvSpPr>
          <xdr:spPr>
            <a:xfrm>
              <a:off x="13518168916" y="27475224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1+13%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620BEA48-F412-0744-A6C4-3DCCB807EBAB}"/>
                </a:ext>
              </a:extLst>
            </xdr:cNvPr>
            <xdr:cNvSpPr txBox="1"/>
          </xdr:nvSpPr>
          <xdr:spPr>
            <a:xfrm>
              <a:off x="13518168916" y="27475224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(1+13%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231720</xdr:colOff>
      <xdr:row>148</xdr:row>
      <xdr:rowOff>93579</xdr:rowOff>
    </xdr:from>
    <xdr:to>
      <xdr:col>7</xdr:col>
      <xdr:colOff>712983</xdr:colOff>
      <xdr:row>148</xdr:row>
      <xdr:rowOff>102491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B7999A34-A70A-D348-8D04-C0FFEA4D1097}"/>
            </a:ext>
          </a:extLst>
        </xdr:cNvPr>
        <xdr:cNvCxnSpPr/>
      </xdr:nvCxnSpPr>
      <xdr:spPr>
        <a:xfrm>
          <a:off x="13518500517" y="30192579"/>
          <a:ext cx="5612063" cy="891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690704</xdr:colOff>
      <xdr:row>148</xdr:row>
      <xdr:rowOff>95359</xdr:rowOff>
    </xdr:from>
    <xdr:ext cx="1688049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C837E80-A622-BB41-9A00-3E941B4D6BE5}"/>
                </a:ext>
              </a:extLst>
            </xdr:cNvPr>
            <xdr:cNvSpPr txBox="1"/>
          </xdr:nvSpPr>
          <xdr:spPr>
            <a:xfrm>
              <a:off x="13521140047" y="30194359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C837E80-A622-BB41-9A00-3E941B4D6BE5}"/>
                </a:ext>
              </a:extLst>
            </xdr:cNvPr>
            <xdr:cNvSpPr txBox="1"/>
          </xdr:nvSpPr>
          <xdr:spPr>
            <a:xfrm>
              <a:off x="13521140047" y="30194359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100,000∗(1+(3%)/6)^6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352035</xdr:colOff>
      <xdr:row>150</xdr:row>
      <xdr:rowOff>124772</xdr:rowOff>
    </xdr:from>
    <xdr:to>
      <xdr:col>3</xdr:col>
      <xdr:colOff>360947</xdr:colOff>
      <xdr:row>153</xdr:row>
      <xdr:rowOff>182702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85041926-CAD4-714B-948E-FDEB099BD144}"/>
            </a:ext>
          </a:extLst>
        </xdr:cNvPr>
        <xdr:cNvCxnSpPr/>
      </xdr:nvCxnSpPr>
      <xdr:spPr>
        <a:xfrm>
          <a:off x="13522332353" y="30630172"/>
          <a:ext cx="8912" cy="6675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138140</xdr:colOff>
      <xdr:row>149</xdr:row>
      <xdr:rowOff>66843</xdr:rowOff>
    </xdr:from>
    <xdr:to>
      <xdr:col>3</xdr:col>
      <xdr:colOff>138140</xdr:colOff>
      <xdr:row>152</xdr:row>
      <xdr:rowOff>178245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202DE25E-6988-5E4C-9003-E1CD90BDBFC4}"/>
            </a:ext>
          </a:extLst>
        </xdr:cNvPr>
        <xdr:cNvCxnSpPr/>
      </xdr:nvCxnSpPr>
      <xdr:spPr>
        <a:xfrm>
          <a:off x="13522555160" y="30369043"/>
          <a:ext cx="0" cy="72100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668422</xdr:colOff>
      <xdr:row>156</xdr:row>
      <xdr:rowOff>90902</xdr:rowOff>
    </xdr:from>
    <xdr:ext cx="1688049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176B3083-DEB8-CB47-BDB4-8F7FF2B9FCE4}"/>
                </a:ext>
              </a:extLst>
            </xdr:cNvPr>
            <xdr:cNvSpPr txBox="1"/>
          </xdr:nvSpPr>
          <xdr:spPr>
            <a:xfrm>
              <a:off x="13519485929" y="31815502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176B3083-DEB8-CB47-BDB4-8F7FF2B9FCE4}"/>
                </a:ext>
              </a:extLst>
            </xdr:cNvPr>
            <xdr:cNvSpPr txBox="1"/>
          </xdr:nvSpPr>
          <xdr:spPr>
            <a:xfrm>
              <a:off x="13519485929" y="31815502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∗(1+𝑅/𝑛)^𝑡=𝐶𝐹_𝑡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788459</xdr:colOff>
      <xdr:row>158</xdr:row>
      <xdr:rowOff>86445</xdr:rowOff>
    </xdr:from>
    <xdr:ext cx="2308568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EE5D8F28-A061-814F-8B3D-3E2C1A09D7F6}"/>
                </a:ext>
              </a:extLst>
            </xdr:cNvPr>
            <xdr:cNvSpPr txBox="1"/>
          </xdr:nvSpPr>
          <xdr:spPr>
            <a:xfrm>
              <a:off x="13519596273" y="32217445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103,038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EE5D8F28-A061-814F-8B3D-3E2C1A09D7F6}"/>
                </a:ext>
              </a:extLst>
            </xdr:cNvPr>
            <xdr:cNvSpPr txBox="1"/>
          </xdr:nvSpPr>
          <xdr:spPr>
            <a:xfrm>
              <a:off x="13519596273" y="32217445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806562</xdr:colOff>
      <xdr:row>161</xdr:row>
      <xdr:rowOff>202308</xdr:rowOff>
    </xdr:from>
    <xdr:ext cx="1523172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B9503BF6-1EF2-F743-8FFE-F23F92317512}"/>
                </a:ext>
              </a:extLst>
            </xdr:cNvPr>
            <xdr:cNvSpPr txBox="1"/>
          </xdr:nvSpPr>
          <xdr:spPr>
            <a:xfrm>
              <a:off x="13519512666" y="32942908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B9503BF6-1EF2-F743-8FFE-F23F92317512}"/>
                </a:ext>
              </a:extLst>
            </xdr:cNvPr>
            <xdr:cNvSpPr txBox="1"/>
          </xdr:nvSpPr>
          <xdr:spPr>
            <a:xfrm>
              <a:off x="13519512666" y="32942908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227541</xdr:colOff>
      <xdr:row>165</xdr:row>
      <xdr:rowOff>149392</xdr:rowOff>
    </xdr:from>
    <xdr:ext cx="2398526" cy="335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D410D773-22B3-0745-B07B-0EA999936FF1}"/>
                </a:ext>
              </a:extLst>
            </xdr:cNvPr>
            <xdr:cNvSpPr txBox="1"/>
          </xdr:nvSpPr>
          <xdr:spPr>
            <a:xfrm>
              <a:off x="13519216333" y="3370279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103,038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96,000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D410D773-22B3-0745-B07B-0EA999936FF1}"/>
                </a:ext>
              </a:extLst>
            </xdr:cNvPr>
            <xdr:cNvSpPr txBox="1"/>
          </xdr:nvSpPr>
          <xdr:spPr>
            <a:xfrm>
              <a:off x="13519216333" y="3370279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96,000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21166</xdr:colOff>
      <xdr:row>168</xdr:row>
      <xdr:rowOff>101766</xdr:rowOff>
    </xdr:from>
    <xdr:ext cx="2398526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213B9551-CFAE-6E4B-80C9-5BEFB374500D}"/>
                </a:ext>
              </a:extLst>
            </xdr:cNvPr>
            <xdr:cNvSpPr txBox="1"/>
          </xdr:nvSpPr>
          <xdr:spPr>
            <a:xfrm>
              <a:off x="13519422708" y="34264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1+7.3312%</m:t>
                            </m:r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213B9551-CFAE-6E4B-80C9-5BEFB374500D}"/>
                </a:ext>
              </a:extLst>
            </xdr:cNvPr>
            <xdr:cNvSpPr txBox="1"/>
          </xdr:nvSpPr>
          <xdr:spPr>
            <a:xfrm>
              <a:off x="13519422708" y="34264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〖[(1+7.3312%)〗^2−1]∗100=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63500</xdr:colOff>
      <xdr:row>172</xdr:row>
      <xdr:rowOff>21167</xdr:rowOff>
    </xdr:from>
    <xdr:to>
      <xdr:col>5</xdr:col>
      <xdr:colOff>343958</xdr:colOff>
      <xdr:row>177</xdr:row>
      <xdr:rowOff>211667</xdr:rowOff>
    </xdr:to>
    <xdr:sp macro="" textlink="">
      <xdr:nvSpPr>
        <xdr:cNvPr id="46" name="Left Brace 45">
          <a:extLst>
            <a:ext uri="{FF2B5EF4-FFF2-40B4-BE49-F238E27FC236}">
              <a16:creationId xmlns:a16="http://schemas.microsoft.com/office/drawing/2014/main" id="{E94F9515-C74F-6C4D-A4C4-5B67B20BDA25}"/>
            </a:ext>
          </a:extLst>
        </xdr:cNvPr>
        <xdr:cNvSpPr/>
      </xdr:nvSpPr>
      <xdr:spPr>
        <a:xfrm>
          <a:off x="13520672942" y="35009667"/>
          <a:ext cx="280458" cy="120650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492125</xdr:colOff>
      <xdr:row>34</xdr:row>
      <xdr:rowOff>45509</xdr:rowOff>
    </xdr:from>
    <xdr:ext cx="1315404" cy="3518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E2A43048-8AB4-8042-9181-B0C4FAAA20A3}"/>
                </a:ext>
              </a:extLst>
            </xdr:cNvPr>
            <xdr:cNvSpPr txBox="1"/>
          </xdr:nvSpPr>
          <xdr:spPr>
            <a:xfrm>
              <a:off x="13520034871" y="6954309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t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E2A43048-8AB4-8042-9181-B0C4FAAA20A3}"/>
                </a:ext>
              </a:extLst>
            </xdr:cNvPr>
            <xdr:cNvSpPr txBox="1"/>
          </xdr:nvSpPr>
          <xdr:spPr>
            <a:xfrm>
              <a:off x="13520034871" y="6954309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∗(1+𝑅/𝑛)^t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172975</xdr:colOff>
      <xdr:row>195</xdr:row>
      <xdr:rowOff>75381</xdr:rowOff>
    </xdr:from>
    <xdr:ext cx="2004461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8" name="TextBox 47">
              <a:extLst>
                <a:ext uri="{FF2B5EF4-FFF2-40B4-BE49-F238E27FC236}">
                  <a16:creationId xmlns:a16="http://schemas.microsoft.com/office/drawing/2014/main" id="{B0634134-5700-8742-A6AF-4C959DA8B1E9}"/>
                </a:ext>
              </a:extLst>
            </xdr:cNvPr>
            <xdr:cNvSpPr txBox="1"/>
          </xdr:nvSpPr>
          <xdr:spPr>
            <a:xfrm>
              <a:off x="13520515864" y="39750181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∗(1−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8" name="TextBox 47">
              <a:extLst>
                <a:ext uri="{FF2B5EF4-FFF2-40B4-BE49-F238E27FC236}">
                  <a16:creationId xmlns:a16="http://schemas.microsoft.com/office/drawing/2014/main" id="{B0634134-5700-8742-A6AF-4C959DA8B1E9}"/>
                </a:ext>
              </a:extLst>
            </xdr:cNvPr>
            <xdr:cNvSpPr txBox="1"/>
          </xdr:nvSpPr>
          <xdr:spPr>
            <a:xfrm>
              <a:off x="13520515864" y="39750181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113799</xdr:colOff>
      <xdr:row>196</xdr:row>
      <xdr:rowOff>84484</xdr:rowOff>
    </xdr:from>
    <xdr:ext cx="2004461" cy="3518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28037816-C835-C84A-B3F4-27236151A029}"/>
                </a:ext>
              </a:extLst>
            </xdr:cNvPr>
            <xdr:cNvSpPr txBox="1"/>
          </xdr:nvSpPr>
          <xdr:spPr>
            <a:xfrm>
              <a:off x="13520575040" y="39962484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28037816-C835-C84A-B3F4-27236151A029}"/>
                </a:ext>
              </a:extLst>
            </xdr:cNvPr>
            <xdr:cNvSpPr txBox="1"/>
          </xdr:nvSpPr>
          <xdr:spPr>
            <a:xfrm>
              <a:off x="13520575040" y="39962484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132007</xdr:colOff>
      <xdr:row>195</xdr:row>
      <xdr:rowOff>45520</xdr:rowOff>
    </xdr:from>
    <xdr:to>
      <xdr:col>3</xdr:col>
      <xdr:colOff>377814</xdr:colOff>
      <xdr:row>198</xdr:row>
      <xdr:rowOff>104696</xdr:rowOff>
    </xdr:to>
    <xdr:sp macro="" textlink="">
      <xdr:nvSpPr>
        <xdr:cNvPr id="50" name="Right Brace 49">
          <a:extLst>
            <a:ext uri="{FF2B5EF4-FFF2-40B4-BE49-F238E27FC236}">
              <a16:creationId xmlns:a16="http://schemas.microsoft.com/office/drawing/2014/main" id="{B6B3C32C-5924-FE4A-B89A-F96491B076EA}"/>
            </a:ext>
          </a:extLst>
        </xdr:cNvPr>
        <xdr:cNvSpPr/>
      </xdr:nvSpPr>
      <xdr:spPr>
        <a:xfrm>
          <a:off x="13522315486" y="39720320"/>
          <a:ext cx="245807" cy="668776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0</xdr:col>
      <xdr:colOff>792042</xdr:colOff>
      <xdr:row>195</xdr:row>
      <xdr:rowOff>184628</xdr:rowOff>
    </xdr:from>
    <xdr:ext cx="2004461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1A1FEB1B-2F9E-3942-B9A8-46E5646E8D28}"/>
                </a:ext>
              </a:extLst>
            </xdr:cNvPr>
            <xdr:cNvSpPr txBox="1"/>
          </xdr:nvSpPr>
          <xdr:spPr>
            <a:xfrm>
              <a:off x="13522398697" y="39859428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1A1FEB1B-2F9E-3942-B9A8-46E5646E8D28}"/>
                </a:ext>
              </a:extLst>
            </xdr:cNvPr>
            <xdr:cNvSpPr txBox="1"/>
          </xdr:nvSpPr>
          <xdr:spPr>
            <a:xfrm>
              <a:off x="13522398697" y="39859428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268567</xdr:colOff>
      <xdr:row>204</xdr:row>
      <xdr:rowOff>11653</xdr:rowOff>
    </xdr:from>
    <xdr:ext cx="4198511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F98160BC-4289-DA4A-BEE2-3B80C695EACE}"/>
                </a:ext>
              </a:extLst>
            </xdr:cNvPr>
            <xdr:cNvSpPr txBox="1"/>
          </xdr:nvSpPr>
          <xdr:spPr>
            <a:xfrm>
              <a:off x="13519877222" y="41515253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1−4%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F98160BC-4289-DA4A-BEE2-3B80C695EACE}"/>
                </a:ext>
              </a:extLst>
            </xdr:cNvPr>
            <xdr:cNvSpPr txBox="1"/>
          </xdr:nvSpPr>
          <xdr:spPr>
            <a:xfrm>
              <a:off x="13519877222" y="41515253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r>
                <a:rPr lang="he-IL" sz="1100" b="0" i="0">
                  <a:latin typeface="Cambria Math" panose="02040503050406030204" pitchFamily="18" charset="0"/>
                </a:rPr>
                <a:t>→</a:t>
              </a:r>
              <a:r>
                <a:rPr lang="en-US" sz="1100" b="0" i="0">
                  <a:latin typeface="Cambria Math" panose="02040503050406030204" pitchFamily="18" charset="0"/>
                </a:rPr>
                <a:t>𝐶𝐹_0=500,000∗(1−4%)=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687347</xdr:colOff>
      <xdr:row>205</xdr:row>
      <xdr:rowOff>107245</xdr:rowOff>
    </xdr:from>
    <xdr:ext cx="3752418" cy="3550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39DC6A1-A901-B848-ABDE-A512B35047F5}"/>
                </a:ext>
              </a:extLst>
            </xdr:cNvPr>
            <xdr:cNvSpPr txBox="1"/>
          </xdr:nvSpPr>
          <xdr:spPr>
            <a:xfrm>
              <a:off x="13519904535" y="41814045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39DC6A1-A901-B848-ABDE-A512B35047F5}"/>
                </a:ext>
              </a:extLst>
            </xdr:cNvPr>
            <xdr:cNvSpPr txBox="1"/>
          </xdr:nvSpPr>
          <xdr:spPr>
            <a:xfrm>
              <a:off x="13519904535" y="41814045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∗(1+𝑅/𝑛)^𝑡→𝐶𝐹_𝑡=500,000∗(1+(12%)/12)^24=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350500</xdr:colOff>
      <xdr:row>214</xdr:row>
      <xdr:rowOff>120900</xdr:rowOff>
    </xdr:from>
    <xdr:ext cx="3024103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28EF99EF-28A4-1445-9DD9-E242D03B74F5}"/>
                </a:ext>
              </a:extLst>
            </xdr:cNvPr>
            <xdr:cNvSpPr txBox="1"/>
          </xdr:nvSpPr>
          <xdr:spPr>
            <a:xfrm>
              <a:off x="13520144197" y="436565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634,867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480,000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28EF99EF-28A4-1445-9DD9-E242D03B74F5}"/>
                </a:ext>
              </a:extLst>
            </xdr:cNvPr>
            <xdr:cNvSpPr txBox="1"/>
          </xdr:nvSpPr>
          <xdr:spPr>
            <a:xfrm>
              <a:off x="13520144197" y="436565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𝑟_𝑒=((𝐶𝐹_𝑡)/(𝐶𝐹_0 )−1)∗100→(</a:t>
              </a:r>
              <a:r>
                <a:rPr lang="he-IL" sz="1100" b="0" i="0">
                  <a:latin typeface="Cambria Math" panose="02040503050406030204" pitchFamily="18" charset="0"/>
                </a:rPr>
                <a:t>634,867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480,000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295878</xdr:colOff>
      <xdr:row>221</xdr:row>
      <xdr:rowOff>134556</xdr:rowOff>
    </xdr:from>
    <xdr:ext cx="3269909" cy="34657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33633608-4F0A-174A-908A-40760949BF53}"/>
                </a:ext>
              </a:extLst>
            </xdr:cNvPr>
            <xdr:cNvSpPr txBox="1"/>
          </xdr:nvSpPr>
          <xdr:spPr>
            <a:xfrm>
              <a:off x="13519953013" y="45092556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שנתיים</m:t>
                                    </m:r>
                                  </m:sub>
                                </m:sSub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33633608-4F0A-174A-908A-40760949BF53}"/>
                </a:ext>
              </a:extLst>
            </xdr:cNvPr>
            <xdr:cNvSpPr txBox="1"/>
          </xdr:nvSpPr>
          <xdr:spPr>
            <a:xfrm>
              <a:off x="13519953013" y="45092556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(1+𝑟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שנתיים</a:t>
              </a:r>
              <a:r>
                <a:rPr lang="en-US" sz="1100" b="0" i="0">
                  <a:latin typeface="Cambria Math" panose="02040503050406030204" pitchFamily="18" charset="0"/>
                </a:rPr>
                <a:t> )^(1/2)−1]∗100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277671</xdr:colOff>
      <xdr:row>223</xdr:row>
      <xdr:rowOff>116348</xdr:rowOff>
    </xdr:from>
    <xdr:ext cx="3269909" cy="26795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C6C6EF94-A336-9140-B253-1C4227138D2D}"/>
                </a:ext>
              </a:extLst>
            </xdr:cNvPr>
            <xdr:cNvSpPr txBox="1"/>
          </xdr:nvSpPr>
          <xdr:spPr>
            <a:xfrm>
              <a:off x="13519971220" y="45480748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32.264%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C6C6EF94-A336-9140-B253-1C4227138D2D}"/>
                </a:ext>
              </a:extLst>
            </xdr:cNvPr>
            <xdr:cNvSpPr txBox="1"/>
          </xdr:nvSpPr>
          <xdr:spPr>
            <a:xfrm>
              <a:off x="13519971220" y="45480748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32.264%)^(1/2)−1]∗100=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8758</xdr:colOff>
      <xdr:row>54</xdr:row>
      <xdr:rowOff>91966</xdr:rowOff>
    </xdr:from>
    <xdr:to>
      <xdr:col>6</xdr:col>
      <xdr:colOff>788275</xdr:colOff>
      <xdr:row>54</xdr:row>
      <xdr:rowOff>96345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65135922-5FFC-164A-8190-34929AA880D2}"/>
            </a:ext>
          </a:extLst>
        </xdr:cNvPr>
        <xdr:cNvCxnSpPr/>
      </xdr:nvCxnSpPr>
      <xdr:spPr>
        <a:xfrm>
          <a:off x="13555112897" y="10646104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768644</xdr:colOff>
      <xdr:row>71</xdr:row>
      <xdr:rowOff>117955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CA7DCB-14E7-D59F-4AE5-CF2ED2E5A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7444359" y="13612198"/>
          <a:ext cx="768644" cy="731331"/>
        </a:xfrm>
        <a:prstGeom prst="rect">
          <a:avLst/>
        </a:prstGeom>
      </xdr:spPr>
    </xdr:pic>
    <xdr:clientData/>
  </xdr:twoCellAnchor>
  <xdr:twoCellAnchor>
    <xdr:from>
      <xdr:col>6</xdr:col>
      <xdr:colOff>8758</xdr:colOff>
      <xdr:row>84</xdr:row>
      <xdr:rowOff>91966</xdr:rowOff>
    </xdr:from>
    <xdr:to>
      <xdr:col>6</xdr:col>
      <xdr:colOff>788275</xdr:colOff>
      <xdr:row>84</xdr:row>
      <xdr:rowOff>96345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356074-9397-554B-A238-2BFAC9FECFB8}"/>
            </a:ext>
          </a:extLst>
        </xdr:cNvPr>
        <xdr:cNvCxnSpPr/>
      </xdr:nvCxnSpPr>
      <xdr:spPr>
        <a:xfrm>
          <a:off x="13529863000" y="1078329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8758</xdr:colOff>
      <xdr:row>106</xdr:row>
      <xdr:rowOff>91966</xdr:rowOff>
    </xdr:from>
    <xdr:to>
      <xdr:col>6</xdr:col>
      <xdr:colOff>788275</xdr:colOff>
      <xdr:row>106</xdr:row>
      <xdr:rowOff>96345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9141B9CE-F35F-E14A-B550-5575EDAAB3ED}"/>
            </a:ext>
          </a:extLst>
        </xdr:cNvPr>
        <xdr:cNvCxnSpPr/>
      </xdr:nvCxnSpPr>
      <xdr:spPr>
        <a:xfrm>
          <a:off x="13519250725" y="1696482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289588</xdr:colOff>
      <xdr:row>151</xdr:row>
      <xdr:rowOff>115138</xdr:rowOff>
    </xdr:from>
    <xdr:to>
      <xdr:col>5</xdr:col>
      <xdr:colOff>704780</xdr:colOff>
      <xdr:row>151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160</xdr:row>
      <xdr:rowOff>104670</xdr:rowOff>
    </xdr:from>
    <xdr:to>
      <xdr:col>6</xdr:col>
      <xdr:colOff>739670</xdr:colOff>
      <xdr:row>160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151</xdr:row>
      <xdr:rowOff>10467</xdr:rowOff>
    </xdr:from>
    <xdr:to>
      <xdr:col>8</xdr:col>
      <xdr:colOff>139560</xdr:colOff>
      <xdr:row>151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151</xdr:row>
      <xdr:rowOff>195384</xdr:rowOff>
    </xdr:from>
    <xdr:to>
      <xdr:col>7</xdr:col>
      <xdr:colOff>139561</xdr:colOff>
      <xdr:row>152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153</xdr:row>
      <xdr:rowOff>6977</xdr:rowOff>
    </xdr:from>
    <xdr:to>
      <xdr:col>5</xdr:col>
      <xdr:colOff>289588</xdr:colOff>
      <xdr:row>153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160</xdr:row>
      <xdr:rowOff>195384</xdr:rowOff>
    </xdr:from>
    <xdr:to>
      <xdr:col>5</xdr:col>
      <xdr:colOff>785028</xdr:colOff>
      <xdr:row>161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159</xdr:row>
      <xdr:rowOff>202362</xdr:rowOff>
    </xdr:from>
    <xdr:to>
      <xdr:col>7</xdr:col>
      <xdr:colOff>139561</xdr:colOff>
      <xdr:row>160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161</xdr:row>
      <xdr:rowOff>24422</xdr:rowOff>
    </xdr:from>
    <xdr:to>
      <xdr:col>7</xdr:col>
      <xdr:colOff>143050</xdr:colOff>
      <xdr:row>162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189</xdr:row>
      <xdr:rowOff>115138</xdr:rowOff>
    </xdr:from>
    <xdr:to>
      <xdr:col>5</xdr:col>
      <xdr:colOff>704780</xdr:colOff>
      <xdr:row>189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199</xdr:row>
      <xdr:rowOff>104670</xdr:rowOff>
    </xdr:from>
    <xdr:to>
      <xdr:col>6</xdr:col>
      <xdr:colOff>739670</xdr:colOff>
      <xdr:row>199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189</xdr:row>
      <xdr:rowOff>10467</xdr:rowOff>
    </xdr:from>
    <xdr:to>
      <xdr:col>8</xdr:col>
      <xdr:colOff>139560</xdr:colOff>
      <xdr:row>189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189</xdr:row>
      <xdr:rowOff>195384</xdr:rowOff>
    </xdr:from>
    <xdr:to>
      <xdr:col>7</xdr:col>
      <xdr:colOff>139561</xdr:colOff>
      <xdr:row>190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191</xdr:row>
      <xdr:rowOff>6977</xdr:rowOff>
    </xdr:from>
    <xdr:to>
      <xdr:col>5</xdr:col>
      <xdr:colOff>289588</xdr:colOff>
      <xdr:row>191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199</xdr:row>
      <xdr:rowOff>195384</xdr:rowOff>
    </xdr:from>
    <xdr:to>
      <xdr:col>5</xdr:col>
      <xdr:colOff>785028</xdr:colOff>
      <xdr:row>200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198</xdr:row>
      <xdr:rowOff>202362</xdr:rowOff>
    </xdr:from>
    <xdr:to>
      <xdr:col>7</xdr:col>
      <xdr:colOff>139561</xdr:colOff>
      <xdr:row>199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200</xdr:row>
      <xdr:rowOff>24422</xdr:rowOff>
    </xdr:from>
    <xdr:to>
      <xdr:col>7</xdr:col>
      <xdr:colOff>143050</xdr:colOff>
      <xdr:row>201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201</xdr:row>
      <xdr:rowOff>151630</xdr:rowOff>
    </xdr:from>
    <xdr:to>
      <xdr:col>13</xdr:col>
      <xdr:colOff>556080</xdr:colOff>
      <xdr:row>211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53915</xdr:colOff>
      <xdr:row>2</xdr:row>
      <xdr:rowOff>77877</xdr:rowOff>
    </xdr:from>
    <xdr:to>
      <xdr:col>10</xdr:col>
      <xdr:colOff>475205</xdr:colOff>
      <xdr:row>13</xdr:row>
      <xdr:rowOff>167736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310F54-DD73-36EA-C18E-DAEF3C333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879701" y="497217"/>
          <a:ext cx="2074686" cy="2354293"/>
        </a:xfrm>
        <a:prstGeom prst="rect">
          <a:avLst/>
        </a:prstGeom>
      </xdr:spPr>
    </xdr:pic>
    <xdr:clientData/>
  </xdr:twoCellAnchor>
  <xdr:twoCellAnchor editAs="oneCell">
    <xdr:from>
      <xdr:col>7</xdr:col>
      <xdr:colOff>627742</xdr:colOff>
      <xdr:row>63</xdr:row>
      <xdr:rowOff>185059</xdr:rowOff>
    </xdr:from>
    <xdr:to>
      <xdr:col>9</xdr:col>
      <xdr:colOff>199570</xdr:colOff>
      <xdr:row>69</xdr:row>
      <xdr:rowOff>164013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F9F87C-DAF0-029E-3A37-5CAB35E45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7071858" y="13218888"/>
          <a:ext cx="1226457" cy="1198154"/>
        </a:xfrm>
        <a:prstGeom prst="rect">
          <a:avLst/>
        </a:prstGeom>
      </xdr:spPr>
    </xdr:pic>
    <xdr:clientData/>
  </xdr:twoCellAnchor>
  <xdr:oneCellAnchor>
    <xdr:from>
      <xdr:col>2</xdr:col>
      <xdr:colOff>584971</xdr:colOff>
      <xdr:row>156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l-GR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Σ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584971</xdr:colOff>
      <xdr:row>167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8</xdr:col>
      <xdr:colOff>584971</xdr:colOff>
      <xdr:row>179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186</xdr:row>
      <xdr:rowOff>80013</xdr:rowOff>
    </xdr:from>
    <xdr:ext cx="3237636" cy="3499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BAL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𝐻𝑎𝑑𝑎𝑠h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𝐵𝑎𝑠𝑖𝑠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Zamud=BAL∗(𝑀𝑎𝑑𝑎𝑑_𝐻𝑎𝑑𝑎𝑠ℎ)/(𝑀𝑎𝑑𝑎𝑑_𝐵𝑎𝑠𝑖𝑠 )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188</xdr:row>
      <xdr:rowOff>59021</xdr:rowOff>
    </xdr:from>
    <xdr:ext cx="3237636" cy="3203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=628,994.14∗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109.5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104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Zamud=628,994.14∗109.5/104=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81" t="s">
        <v>1569</v>
      </c>
      <c r="B1" s="281"/>
      <c r="C1" s="281"/>
      <c r="D1" s="281"/>
      <c r="E1" s="281"/>
      <c r="F1" s="281"/>
      <c r="G1" s="281"/>
      <c r="H1" s="281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1528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1529</v>
      </c>
      <c r="G46" s="1" t="s">
        <v>36</v>
      </c>
    </row>
    <row r="47" spans="1:8" x14ac:dyDescent="0.2">
      <c r="B47" s="1" t="s">
        <v>29</v>
      </c>
      <c r="D47" s="1" t="s">
        <v>1530</v>
      </c>
      <c r="G47" s="1" t="s">
        <v>32</v>
      </c>
    </row>
    <row r="48" spans="1:8" x14ac:dyDescent="0.2">
      <c r="B48" s="1" t="s">
        <v>30</v>
      </c>
      <c r="D48" s="1" t="s">
        <v>1531</v>
      </c>
      <c r="G48" s="1" t="s">
        <v>33</v>
      </c>
    </row>
    <row r="49" spans="1:8" x14ac:dyDescent="0.2">
      <c r="B49" s="1" t="s">
        <v>31</v>
      </c>
      <c r="D49" s="1" t="s">
        <v>1532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91" t="s">
        <v>1533</v>
      </c>
    </row>
    <row r="58" spans="1:8" s="191" customFormat="1" x14ac:dyDescent="0.2"/>
    <row r="59" spans="1:8" s="191" customFormat="1" x14ac:dyDescent="0.2">
      <c r="A59" s="192" t="s">
        <v>53</v>
      </c>
    </row>
    <row r="60" spans="1:8" s="191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1534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1535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93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1536</v>
      </c>
      <c r="H111" s="31"/>
      <c r="I111" s="23"/>
    </row>
    <row r="112" spans="1:9" x14ac:dyDescent="0.2">
      <c r="G112" s="24" t="s">
        <v>1537</v>
      </c>
      <c r="I112" s="25"/>
    </row>
    <row r="113" spans="1:9" ht="17" thickBot="1" x14ac:dyDescent="0.25">
      <c r="A113" s="1" t="s">
        <v>83</v>
      </c>
      <c r="G113" s="26" t="s">
        <v>1538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1539</v>
      </c>
    </row>
    <row r="120" spans="1:9" x14ac:dyDescent="0.2">
      <c r="E120" s="1" t="s">
        <v>1541</v>
      </c>
      <c r="F120" s="12">
        <f>4*12</f>
        <v>48</v>
      </c>
      <c r="G120" s="1" t="s">
        <v>45</v>
      </c>
      <c r="H120" s="1" t="s">
        <v>1540</v>
      </c>
    </row>
    <row r="121" spans="1:9" x14ac:dyDescent="0.2">
      <c r="F121" s="12">
        <v>-25000</v>
      </c>
      <c r="G121" s="1" t="s">
        <v>39</v>
      </c>
      <c r="H121" s="1" t="s">
        <v>1542</v>
      </c>
    </row>
    <row r="122" spans="1:9" x14ac:dyDescent="0.2">
      <c r="F122" s="12">
        <v>-500</v>
      </c>
      <c r="G122" s="1" t="s">
        <v>47</v>
      </c>
      <c r="H122" s="1" t="s">
        <v>1543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1544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1545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1546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94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1551</v>
      </c>
      <c r="H189" s="2" t="s">
        <v>1547</v>
      </c>
    </row>
    <row r="190" spans="1:8" x14ac:dyDescent="0.2">
      <c r="H190" s="1" t="s">
        <v>1548</v>
      </c>
    </row>
    <row r="191" spans="1:8" x14ac:dyDescent="0.2">
      <c r="B191" s="1" t="s">
        <v>1552</v>
      </c>
      <c r="E191" s="196" t="s">
        <v>137</v>
      </c>
      <c r="F191" s="195" t="s">
        <v>136</v>
      </c>
      <c r="H191" s="1" t="s">
        <v>1549</v>
      </c>
    </row>
    <row r="192" spans="1:8" x14ac:dyDescent="0.2">
      <c r="H192" s="1" t="s">
        <v>1550</v>
      </c>
    </row>
    <row r="193" spans="1:8" x14ac:dyDescent="0.2">
      <c r="A193" s="283">
        <f>(1+6.539%)^12-1</f>
        <v>1.1384711369525191</v>
      </c>
      <c r="B193" s="282" t="s">
        <v>138</v>
      </c>
      <c r="C193" s="282">
        <f>(1+6.539%)^12-1</f>
        <v>1.1384711369525191</v>
      </c>
    </row>
    <row r="194" spans="1:8" x14ac:dyDescent="0.2">
      <c r="A194" s="283"/>
      <c r="B194" s="282"/>
      <c r="C194" s="282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94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1553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1554</v>
      </c>
      <c r="B225" s="197"/>
      <c r="C225" s="197"/>
      <c r="D225" s="197"/>
      <c r="E225" s="197"/>
      <c r="F225" s="197"/>
      <c r="G225" s="197"/>
      <c r="H225" s="197"/>
    </row>
    <row r="226" spans="1:8" x14ac:dyDescent="0.2">
      <c r="A226" s="1" t="s">
        <v>1555</v>
      </c>
    </row>
    <row r="227" spans="1:8" x14ac:dyDescent="0.2">
      <c r="A227" s="1" t="s">
        <v>1556</v>
      </c>
    </row>
    <row r="228" spans="1:8" x14ac:dyDescent="0.2">
      <c r="A228" s="1" t="s">
        <v>1557</v>
      </c>
    </row>
    <row r="229" spans="1:8" x14ac:dyDescent="0.2">
      <c r="A229" s="1" t="s">
        <v>1558</v>
      </c>
    </row>
    <row r="230" spans="1:8" x14ac:dyDescent="0.2">
      <c r="A230" s="1" t="s">
        <v>1559</v>
      </c>
    </row>
    <row r="231" spans="1:8" x14ac:dyDescent="0.2">
      <c r="A231" s="1" t="s">
        <v>1560</v>
      </c>
    </row>
    <row r="234" spans="1:8" x14ac:dyDescent="0.2">
      <c r="C234" s="199">
        <f>A241*100</f>
        <v>0.40741237836483535</v>
      </c>
      <c r="D234" s="1" t="s">
        <v>42</v>
      </c>
      <c r="E234" s="1" t="s">
        <v>1564</v>
      </c>
    </row>
    <row r="235" spans="1:8" x14ac:dyDescent="0.2">
      <c r="C235" s="1">
        <f>10*12</f>
        <v>120</v>
      </c>
      <c r="D235" s="1" t="s">
        <v>45</v>
      </c>
      <c r="E235" s="1" t="s">
        <v>1563</v>
      </c>
    </row>
    <row r="236" spans="1:8" x14ac:dyDescent="0.2">
      <c r="C236" s="1">
        <v>-400000</v>
      </c>
      <c r="D236" s="1" t="s">
        <v>39</v>
      </c>
      <c r="E236" s="1" t="s">
        <v>1562</v>
      </c>
    </row>
    <row r="237" spans="1:8" x14ac:dyDescent="0.2">
      <c r="C237" s="201">
        <f>PMT(C234/100,C235,C236,C238)</f>
        <v>-28170.20662589727</v>
      </c>
      <c r="D237" s="1" t="s">
        <v>47</v>
      </c>
      <c r="E237" s="1" t="s">
        <v>798</v>
      </c>
    </row>
    <row r="238" spans="1:8" x14ac:dyDescent="0.2">
      <c r="C238" s="86">
        <v>5000000</v>
      </c>
      <c r="D238" s="1" t="s">
        <v>50</v>
      </c>
      <c r="E238" s="1" t="s">
        <v>1561</v>
      </c>
    </row>
    <row r="240" spans="1:8" x14ac:dyDescent="0.2">
      <c r="A240" s="1" t="s">
        <v>1565</v>
      </c>
    </row>
    <row r="241" spans="1:8" x14ac:dyDescent="0.2">
      <c r="A241" s="198">
        <f>C241</f>
        <v>4.0741237836483535E-3</v>
      </c>
      <c r="B241" s="1" t="s">
        <v>1568</v>
      </c>
      <c r="C241" s="200">
        <f>(1+5%)^(1/12)-1</f>
        <v>4.0741237836483535E-3</v>
      </c>
    </row>
    <row r="243" spans="1:8" x14ac:dyDescent="0.2">
      <c r="A243" s="1" t="s">
        <v>1566</v>
      </c>
    </row>
    <row r="244" spans="1:8" x14ac:dyDescent="0.2">
      <c r="A244" s="1" t="s">
        <v>1567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1570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1571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1572</v>
      </c>
    </row>
    <row r="18" spans="1:8" x14ac:dyDescent="0.2">
      <c r="C18" s="1" t="s">
        <v>1573</v>
      </c>
      <c r="F18" s="12" t="s">
        <v>174</v>
      </c>
    </row>
    <row r="19" spans="1:8" x14ac:dyDescent="0.2">
      <c r="C19" s="1" t="s">
        <v>1574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1575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1576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1577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202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202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91" customFormat="1" x14ac:dyDescent="0.2">
      <c r="D87" s="202">
        <f>FV(D84/100,D83,D86,D85)</f>
        <v>505.04948184269637</v>
      </c>
      <c r="E87" s="70" t="s">
        <v>50</v>
      </c>
      <c r="F87" s="203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1578</v>
      </c>
    </row>
    <row r="106" spans="1:8" x14ac:dyDescent="0.2">
      <c r="A106" s="1" t="s">
        <v>1579</v>
      </c>
      <c r="D106" s="12">
        <f>12*3</f>
        <v>36</v>
      </c>
      <c r="E106" s="12" t="s">
        <v>45</v>
      </c>
      <c r="F106" s="1" t="s">
        <v>1580</v>
      </c>
    </row>
    <row r="107" spans="1:8" x14ac:dyDescent="0.2">
      <c r="A107" s="1" t="s">
        <v>1581</v>
      </c>
      <c r="D107" s="12">
        <v>1</v>
      </c>
      <c r="E107" s="12" t="s">
        <v>42</v>
      </c>
      <c r="F107" s="1" t="s">
        <v>1582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1583</v>
      </c>
    </row>
    <row r="110" spans="1:8" x14ac:dyDescent="0.2">
      <c r="A110" s="2" t="s">
        <v>1584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202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202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204" t="s">
        <v>1585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202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206">
        <f>FV(D191/100,D190,D193,D192)</f>
        <v>55897.002444829268</v>
      </c>
      <c r="E194" s="205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1587</v>
      </c>
      <c r="F195" s="12" t="s">
        <v>1586</v>
      </c>
    </row>
    <row r="196" spans="1:8" x14ac:dyDescent="0.2">
      <c r="D196" s="1" t="s">
        <v>1588</v>
      </c>
    </row>
    <row r="198" spans="1:8" x14ac:dyDescent="0.2">
      <c r="A198" s="1" t="s">
        <v>298</v>
      </c>
    </row>
    <row r="200" spans="1:8" x14ac:dyDescent="0.2">
      <c r="A200" s="208" t="s">
        <v>1589</v>
      </c>
      <c r="B200" s="207"/>
      <c r="C200" s="207"/>
      <c r="D200" s="207"/>
      <c r="E200" s="207"/>
      <c r="F200" s="207"/>
      <c r="G200" s="207"/>
    </row>
    <row r="201" spans="1:8" x14ac:dyDescent="0.2">
      <c r="A201" s="1" t="s">
        <v>1590</v>
      </c>
    </row>
    <row r="202" spans="1:8" x14ac:dyDescent="0.2">
      <c r="A202" s="1" t="s">
        <v>1591</v>
      </c>
    </row>
    <row r="203" spans="1:8" x14ac:dyDescent="0.2">
      <c r="A203" s="1" t="s">
        <v>1592</v>
      </c>
    </row>
    <row r="204" spans="1:8" x14ac:dyDescent="0.2">
      <c r="A204" s="1" t="s">
        <v>1593</v>
      </c>
    </row>
    <row r="205" spans="1:8" x14ac:dyDescent="0.2">
      <c r="A205" s="1" t="s">
        <v>1594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1595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1596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1598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209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1597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209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204" t="s">
        <v>1585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210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211">
        <f>FV(C253/100,C252,C255,C254)</f>
        <v>417719.81329510908</v>
      </c>
      <c r="D256" s="210">
        <f>FV(D253/100,D252,D255,D254)</f>
        <v>51058.051641720835</v>
      </c>
      <c r="E256" s="205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212" t="s">
        <v>1599</v>
      </c>
      <c r="B268" s="212"/>
      <c r="C268" s="212"/>
      <c r="D268" s="212"/>
      <c r="E268" s="212"/>
      <c r="F268" s="212"/>
      <c r="G268" s="212"/>
      <c r="H268" s="212"/>
    </row>
    <row r="269" spans="1:8" x14ac:dyDescent="0.2">
      <c r="A269" s="1" t="s">
        <v>1600</v>
      </c>
    </row>
    <row r="270" spans="1:8" x14ac:dyDescent="0.2">
      <c r="A270" s="1" t="s">
        <v>1601</v>
      </c>
    </row>
    <row r="271" spans="1:8" x14ac:dyDescent="0.2">
      <c r="A271" s="1" t="s">
        <v>1602</v>
      </c>
    </row>
    <row r="272" spans="1:8" x14ac:dyDescent="0.2">
      <c r="A272" s="1" t="s">
        <v>1603</v>
      </c>
    </row>
    <row r="273" spans="1:8" x14ac:dyDescent="0.2">
      <c r="A273" s="1" t="s">
        <v>1605</v>
      </c>
    </row>
    <row r="274" spans="1:8" x14ac:dyDescent="0.2">
      <c r="A274" s="1" t="s">
        <v>1604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213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212" t="s">
        <v>1599</v>
      </c>
      <c r="B284" s="212"/>
      <c r="C284" s="212"/>
      <c r="D284" s="212"/>
      <c r="E284" s="212"/>
      <c r="F284" s="212"/>
      <c r="G284" s="212"/>
      <c r="H284" s="212"/>
    </row>
    <row r="285" spans="1:8" x14ac:dyDescent="0.2">
      <c r="A285" s="1" t="s">
        <v>1606</v>
      </c>
    </row>
    <row r="286" spans="1:8" x14ac:dyDescent="0.2">
      <c r="A286" s="1" t="s">
        <v>1607</v>
      </c>
    </row>
    <row r="287" spans="1:8" x14ac:dyDescent="0.2">
      <c r="A287" s="1" t="s">
        <v>1608</v>
      </c>
    </row>
    <row r="288" spans="1:8" x14ac:dyDescent="0.2">
      <c r="A288" s="1" t="s">
        <v>1609</v>
      </c>
    </row>
    <row r="289" spans="1:9" x14ac:dyDescent="0.2">
      <c r="H289" s="1" t="s">
        <v>1610</v>
      </c>
    </row>
    <row r="290" spans="1:9" x14ac:dyDescent="0.2">
      <c r="D290" s="59" t="s">
        <v>291</v>
      </c>
      <c r="E290" s="59" t="s">
        <v>290</v>
      </c>
      <c r="H290" s="1" t="s">
        <v>1611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1612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1613</v>
      </c>
    </row>
    <row r="296" spans="1:9" x14ac:dyDescent="0.2">
      <c r="A296" s="1" t="s">
        <v>1618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1614</v>
      </c>
    </row>
    <row r="298" spans="1:9" x14ac:dyDescent="0.2">
      <c r="A298" s="1" t="s">
        <v>1615</v>
      </c>
    </row>
    <row r="299" spans="1:9" x14ac:dyDescent="0.2">
      <c r="A299" s="1" t="s">
        <v>294</v>
      </c>
    </row>
    <row r="300" spans="1:9" x14ac:dyDescent="0.2">
      <c r="A300" s="1" t="s">
        <v>1616</v>
      </c>
    </row>
    <row r="301" spans="1:9" x14ac:dyDescent="0.2">
      <c r="A301" s="1" t="s">
        <v>1617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1619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81" t="s">
        <v>449</v>
      </c>
      <c r="B1" s="281"/>
      <c r="C1" s="281"/>
      <c r="D1" s="281"/>
      <c r="E1" s="281"/>
      <c r="F1" s="281"/>
      <c r="G1" s="281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1620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1626</v>
      </c>
      <c r="D24" s="284" t="s">
        <v>390</v>
      </c>
      <c r="E24" s="285"/>
    </row>
    <row r="25" spans="1:7" x14ac:dyDescent="0.2">
      <c r="D25" s="286" t="s">
        <v>385</v>
      </c>
      <c r="E25" s="286"/>
    </row>
    <row r="26" spans="1:7" x14ac:dyDescent="0.2">
      <c r="A26" s="1" t="s">
        <v>1625</v>
      </c>
      <c r="D26" s="286" t="s">
        <v>386</v>
      </c>
      <c r="E26" s="286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216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1624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215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1622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1623</v>
      </c>
      <c r="E36" s="217">
        <f>FV(E33/100,E32,E35,E34)</f>
        <v>1036407.6625229202</v>
      </c>
      <c r="F36" s="214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1621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1627</v>
      </c>
    </row>
    <row r="43" spans="1:9" x14ac:dyDescent="0.2">
      <c r="A43" s="1" t="s">
        <v>400</v>
      </c>
      <c r="I43" s="1" t="s">
        <v>1628</v>
      </c>
    </row>
    <row r="44" spans="1:9" x14ac:dyDescent="0.2">
      <c r="A44" s="1" t="s">
        <v>401</v>
      </c>
      <c r="I44" s="1" t="s">
        <v>1629</v>
      </c>
    </row>
    <row r="45" spans="1:9" x14ac:dyDescent="0.2">
      <c r="A45" s="1" t="s">
        <v>402</v>
      </c>
      <c r="I45" s="1" t="s">
        <v>1630</v>
      </c>
    </row>
    <row r="46" spans="1:9" x14ac:dyDescent="0.2">
      <c r="A46" s="1" t="s">
        <v>403</v>
      </c>
      <c r="I46" s="1" t="s">
        <v>1631</v>
      </c>
    </row>
    <row r="47" spans="1:9" x14ac:dyDescent="0.2">
      <c r="I47" s="1" t="s">
        <v>1632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218" t="s">
        <v>406</v>
      </c>
      <c r="D57" s="218" t="s">
        <v>1633</v>
      </c>
      <c r="E57" s="218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223">
        <f>-D63-45000</f>
        <v>-296602.96101395937</v>
      </c>
      <c r="D61" s="221">
        <f>-E63</f>
        <v>-146607.24267146544</v>
      </c>
      <c r="E61" s="219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224">
        <f>FV(C60/100,C59,C62,C61)</f>
        <v>465460.98942108313</v>
      </c>
      <c r="D63" s="222">
        <f>FV(D60/100,D59,D62,D61)</f>
        <v>251602.96101395934</v>
      </c>
      <c r="E63" s="220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860</v>
      </c>
      <c r="I70" s="12" t="s">
        <v>1638</v>
      </c>
      <c r="J70" s="12" t="s">
        <v>851</v>
      </c>
      <c r="K70" s="12" t="s">
        <v>959</v>
      </c>
      <c r="L70" s="12"/>
    </row>
    <row r="71" spans="1:13" x14ac:dyDescent="0.2">
      <c r="A71" s="1" t="s">
        <v>417</v>
      </c>
      <c r="H71" s="12" t="s">
        <v>1634</v>
      </c>
      <c r="I71" s="12" t="s">
        <v>1639</v>
      </c>
      <c r="J71" s="12" t="s">
        <v>1637</v>
      </c>
      <c r="K71" s="12" t="s">
        <v>1634</v>
      </c>
      <c r="L71" s="12"/>
    </row>
    <row r="72" spans="1:13" x14ac:dyDescent="0.2">
      <c r="A72" s="1" t="s">
        <v>418</v>
      </c>
      <c r="H72" s="12" t="s">
        <v>1641</v>
      </c>
      <c r="I72" s="12" t="s">
        <v>316</v>
      </c>
      <c r="J72" s="12" t="s">
        <v>829</v>
      </c>
      <c r="K72" s="12" t="s">
        <v>1635</v>
      </c>
      <c r="L72" s="12"/>
    </row>
    <row r="73" spans="1:13" x14ac:dyDescent="0.2">
      <c r="A73" s="1" t="s">
        <v>419</v>
      </c>
      <c r="H73" s="59" t="s">
        <v>1642</v>
      </c>
      <c r="I73" s="59" t="s">
        <v>1640</v>
      </c>
      <c r="J73" s="59" t="s">
        <v>1434</v>
      </c>
      <c r="K73" s="59" t="s">
        <v>1636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58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798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1645</v>
      </c>
    </row>
    <row r="109" spans="1:10" x14ac:dyDescent="0.2">
      <c r="A109" s="1" t="s">
        <v>443</v>
      </c>
      <c r="J109" s="12" t="s">
        <v>1646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1647</v>
      </c>
    </row>
    <row r="113" spans="1:10" x14ac:dyDescent="0.2">
      <c r="A113" s="59" t="s">
        <v>1644</v>
      </c>
      <c r="B113" s="59" t="s">
        <v>1643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225">
        <f>FV(B116/100,B115,B118,B117)</f>
        <v>193.88462809689082</v>
      </c>
      <c r="C119" s="1" t="s">
        <v>50</v>
      </c>
    </row>
    <row r="120" spans="1:10" x14ac:dyDescent="0.2">
      <c r="A120" s="12" t="s">
        <v>1649</v>
      </c>
      <c r="B120" s="12" t="s">
        <v>1648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226" t="s">
        <v>1650</v>
      </c>
      <c r="B136" s="226"/>
      <c r="C136" s="226"/>
      <c r="D136" s="226"/>
      <c r="E136" s="226"/>
      <c r="F136" s="226"/>
      <c r="G136" s="226"/>
      <c r="H136" s="226"/>
    </row>
    <row r="147" spans="1:10" x14ac:dyDescent="0.2">
      <c r="A147" s="1" t="s">
        <v>1651</v>
      </c>
      <c r="H147" s="1" t="s">
        <v>1658</v>
      </c>
    </row>
    <row r="148" spans="1:10" x14ac:dyDescent="0.2">
      <c r="A148" s="1" t="s">
        <v>1652</v>
      </c>
    </row>
    <row r="149" spans="1:10" x14ac:dyDescent="0.2">
      <c r="A149" s="1" t="s">
        <v>1653</v>
      </c>
    </row>
    <row r="150" spans="1:10" x14ac:dyDescent="0.2">
      <c r="H150" s="1" t="s">
        <v>1654</v>
      </c>
    </row>
    <row r="151" spans="1:10" x14ac:dyDescent="0.2">
      <c r="A151" s="1" t="s">
        <v>1655</v>
      </c>
      <c r="J151" s="1" t="s">
        <v>1656</v>
      </c>
    </row>
    <row r="152" spans="1:10" x14ac:dyDescent="0.2">
      <c r="A152" s="1" t="s">
        <v>1660</v>
      </c>
      <c r="D152" s="12">
        <v>1</v>
      </c>
      <c r="E152" s="1" t="s">
        <v>1568</v>
      </c>
      <c r="F152" s="134">
        <f>(1+4.060401%)^0.25-1</f>
        <v>1.0000000000000009E-2</v>
      </c>
      <c r="H152" s="1" t="s">
        <v>1659</v>
      </c>
      <c r="J152" s="1" t="s">
        <v>1657</v>
      </c>
    </row>
    <row r="154" spans="1:10" x14ac:dyDescent="0.2">
      <c r="D154" s="59" t="s">
        <v>1662</v>
      </c>
      <c r="E154" s="59" t="s">
        <v>1661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80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3" t="s">
        <v>1663</v>
      </c>
      <c r="B163" s="226"/>
      <c r="C163" s="226"/>
      <c r="D163" s="226"/>
      <c r="E163" s="226"/>
      <c r="F163" s="226"/>
      <c r="G163" s="226"/>
      <c r="H163" s="226"/>
    </row>
    <row r="165" spans="1:11" x14ac:dyDescent="0.2">
      <c r="I165" s="1" t="s">
        <v>1664</v>
      </c>
    </row>
    <row r="166" spans="1:11" x14ac:dyDescent="0.2">
      <c r="K166" s="1" t="s">
        <v>1666</v>
      </c>
    </row>
    <row r="168" spans="1:11" x14ac:dyDescent="0.2">
      <c r="I168" s="1" t="s">
        <v>1665</v>
      </c>
    </row>
    <row r="169" spans="1:11" x14ac:dyDescent="0.2">
      <c r="K169" s="1" t="s">
        <v>1667</v>
      </c>
    </row>
    <row r="174" spans="1:11" x14ac:dyDescent="0.2">
      <c r="C174" s="12" t="s">
        <v>437</v>
      </c>
      <c r="D174" s="12" t="s">
        <v>436</v>
      </c>
      <c r="G174" s="1" t="s">
        <v>1670</v>
      </c>
    </row>
    <row r="175" spans="1:11" x14ac:dyDescent="0.2">
      <c r="C175" s="59" t="s">
        <v>1669</v>
      </c>
      <c r="D175" s="59" t="s">
        <v>1668</v>
      </c>
      <c r="G175" s="1" t="s">
        <v>1671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1672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1673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1674</v>
      </c>
      <c r="K179" s="106" t="s">
        <v>1676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1675</v>
      </c>
      <c r="K181" s="1" t="s">
        <v>1677</v>
      </c>
    </row>
    <row r="185" spans="1:11" ht="18" x14ac:dyDescent="0.2">
      <c r="A185" s="132" t="s">
        <v>1925</v>
      </c>
      <c r="B185" s="132"/>
      <c r="C185" s="132"/>
      <c r="D185" s="132"/>
      <c r="E185" s="132"/>
      <c r="F185" s="132"/>
      <c r="G185" s="132"/>
      <c r="H185" s="132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797</v>
      </c>
    </row>
    <row r="198" spans="1:8" x14ac:dyDescent="0.2">
      <c r="C198" s="1" t="s">
        <v>801</v>
      </c>
      <c r="E198" s="1" t="s">
        <v>800</v>
      </c>
    </row>
    <row r="199" spans="1:8" x14ac:dyDescent="0.2">
      <c r="C199" s="1" t="s">
        <v>802</v>
      </c>
    </row>
    <row r="200" spans="1:8" x14ac:dyDescent="0.2">
      <c r="C200" s="59" t="s">
        <v>799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10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798</v>
      </c>
    </row>
    <row r="207" spans="1:8" x14ac:dyDescent="0.2">
      <c r="A207" s="2" t="s">
        <v>803</v>
      </c>
      <c r="B207" s="2"/>
      <c r="C207" s="2"/>
      <c r="D207" s="2"/>
      <c r="E207" s="2"/>
      <c r="F207" s="111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1"/>
    </row>
    <row r="209" spans="1:7" x14ac:dyDescent="0.2">
      <c r="A209" s="2"/>
      <c r="B209" s="2"/>
      <c r="C209" s="2"/>
      <c r="D209" s="2"/>
      <c r="E209" s="2"/>
      <c r="F209" s="111"/>
    </row>
    <row r="210" spans="1:7" x14ac:dyDescent="0.2">
      <c r="A210" s="2"/>
      <c r="B210" s="2"/>
      <c r="C210" s="2"/>
      <c r="D210" s="2"/>
      <c r="E210" s="2"/>
      <c r="F210" s="111"/>
    </row>
    <row r="219" spans="1:7" x14ac:dyDescent="0.2">
      <c r="B219" s="116" t="s">
        <v>629</v>
      </c>
      <c r="C219" s="116" t="s">
        <v>315</v>
      </c>
      <c r="D219" s="116" t="s">
        <v>817</v>
      </c>
      <c r="E219" s="116" t="s">
        <v>813</v>
      </c>
      <c r="F219" s="117" t="s">
        <v>805</v>
      </c>
    </row>
    <row r="220" spans="1:7" x14ac:dyDescent="0.2">
      <c r="B220" s="116" t="s">
        <v>818</v>
      </c>
      <c r="C220" s="116" t="s">
        <v>814</v>
      </c>
      <c r="D220" s="116" t="s">
        <v>814</v>
      </c>
      <c r="E220" s="116" t="s">
        <v>806</v>
      </c>
      <c r="F220" s="116" t="s">
        <v>804</v>
      </c>
    </row>
    <row r="221" spans="1:7" x14ac:dyDescent="0.2">
      <c r="B221" s="112" t="s">
        <v>819</v>
      </c>
      <c r="C221" s="112" t="s">
        <v>816</v>
      </c>
      <c r="D221" s="112" t="s">
        <v>815</v>
      </c>
      <c r="E221" s="112" t="s">
        <v>809</v>
      </c>
      <c r="F221" s="112" t="s">
        <v>812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4"/>
      <c r="G222" s="1" t="s">
        <v>45</v>
      </c>
    </row>
    <row r="223" spans="1:7" x14ac:dyDescent="0.2">
      <c r="B223" s="16">
        <f>((1+10%)^0.25-1)*100</f>
        <v>2.4113689084445111</v>
      </c>
      <c r="C223" s="120">
        <v>10</v>
      </c>
      <c r="D223" s="118">
        <f>E223</f>
        <v>0.94887929345830457</v>
      </c>
      <c r="E223" s="118">
        <f>((1+12%)^(1/12)-1)*100</f>
        <v>0.94887929345830457</v>
      </c>
      <c r="F223" s="115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5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5"/>
      <c r="G225" s="1" t="s">
        <v>47</v>
      </c>
    </row>
    <row r="226" spans="1:8" x14ac:dyDescent="0.2">
      <c r="B226" s="109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3">
        <f>5000*12</f>
        <v>60000</v>
      </c>
      <c r="G226" s="1" t="s">
        <v>50</v>
      </c>
      <c r="H226" s="1" t="s">
        <v>798</v>
      </c>
    </row>
    <row r="229" spans="1:8" x14ac:dyDescent="0.2">
      <c r="B229" s="1" t="s">
        <v>820</v>
      </c>
      <c r="E229" s="1" t="s">
        <v>807</v>
      </c>
    </row>
    <row r="230" spans="1:8" x14ac:dyDescent="0.2">
      <c r="B230" s="1" t="s">
        <v>821</v>
      </c>
      <c r="E230" s="1" t="s">
        <v>808</v>
      </c>
    </row>
    <row r="231" spans="1:8" x14ac:dyDescent="0.2">
      <c r="A231" s="121">
        <f>B223</f>
        <v>2.4113689084445111</v>
      </c>
      <c r="C231" s="1" t="s">
        <v>822</v>
      </c>
      <c r="E231" s="1" t="s">
        <v>810</v>
      </c>
    </row>
    <row r="232" spans="1:8" x14ac:dyDescent="0.2">
      <c r="E232" s="118">
        <f>E223</f>
        <v>0.94887929345830457</v>
      </c>
      <c r="G232" s="1" t="s">
        <v>811</v>
      </c>
    </row>
    <row r="234" spans="1:8" x14ac:dyDescent="0.2">
      <c r="A234" s="1" t="s">
        <v>823</v>
      </c>
    </row>
    <row r="242" spans="1:9" ht="17" thickBot="1" x14ac:dyDescent="0.25">
      <c r="E242" s="116" t="s">
        <v>827</v>
      </c>
      <c r="F242" s="116" t="s">
        <v>824</v>
      </c>
    </row>
    <row r="243" spans="1:9" x14ac:dyDescent="0.2">
      <c r="A243" s="21" t="s">
        <v>841</v>
      </c>
      <c r="B243" s="123"/>
      <c r="E243" s="116" t="s">
        <v>828</v>
      </c>
      <c r="F243" s="116" t="s">
        <v>825</v>
      </c>
      <c r="I243" s="1" t="s">
        <v>846</v>
      </c>
    </row>
    <row r="244" spans="1:9" x14ac:dyDescent="0.2">
      <c r="A244" s="124" t="s">
        <v>842</v>
      </c>
      <c r="B244" s="125"/>
      <c r="E244" s="112" t="s">
        <v>829</v>
      </c>
      <c r="F244" s="112" t="s">
        <v>826</v>
      </c>
      <c r="I244" s="2" t="s">
        <v>847</v>
      </c>
    </row>
    <row r="245" spans="1:9" x14ac:dyDescent="0.2">
      <c r="A245" s="124" t="s">
        <v>843</v>
      </c>
      <c r="B245" s="125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4" t="s">
        <v>844</v>
      </c>
      <c r="B246" s="125"/>
      <c r="C246" s="1" t="s">
        <v>830</v>
      </c>
      <c r="E246" s="118">
        <f>F246</f>
        <v>0.94887929345830457</v>
      </c>
      <c r="F246" s="118">
        <f>((1+12%)^(1/12)-1)*100</f>
        <v>0.94887929345830457</v>
      </c>
      <c r="G246" s="1" t="s">
        <v>42</v>
      </c>
    </row>
    <row r="247" spans="1:9" ht="17" thickBot="1" x14ac:dyDescent="0.25">
      <c r="A247" s="126" t="s">
        <v>845</v>
      </c>
      <c r="B247" s="127"/>
      <c r="C247" s="1" t="s">
        <v>831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832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833</v>
      </c>
      <c r="E249" s="109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834</v>
      </c>
    </row>
    <row r="251" spans="1:9" x14ac:dyDescent="0.2">
      <c r="C251" s="1" t="s">
        <v>835</v>
      </c>
    </row>
    <row r="252" spans="1:9" x14ac:dyDescent="0.2">
      <c r="C252" s="1" t="s">
        <v>836</v>
      </c>
    </row>
    <row r="253" spans="1:9" x14ac:dyDescent="0.2">
      <c r="E253" s="1" t="s">
        <v>837</v>
      </c>
      <c r="G253" s="86">
        <f>F249</f>
        <v>1198304.9862389127</v>
      </c>
    </row>
    <row r="254" spans="1:9" x14ac:dyDescent="0.2">
      <c r="E254" s="1" t="s">
        <v>838</v>
      </c>
      <c r="G254" s="86">
        <v>200000</v>
      </c>
    </row>
    <row r="255" spans="1:9" x14ac:dyDescent="0.2">
      <c r="E255" s="1" t="s">
        <v>839</v>
      </c>
      <c r="G255" s="122">
        <f>G253+G254</f>
        <v>1398304.9862389127</v>
      </c>
      <c r="H255" s="1" t="s">
        <v>840</v>
      </c>
    </row>
    <row r="267" spans="1:8" x14ac:dyDescent="0.2">
      <c r="B267" s="128" t="s">
        <v>850</v>
      </c>
      <c r="C267" s="128" t="s">
        <v>850</v>
      </c>
      <c r="D267" s="128" t="s">
        <v>850</v>
      </c>
      <c r="F267" s="117" t="s">
        <v>850</v>
      </c>
      <c r="G267" s="128" t="s">
        <v>856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849</v>
      </c>
      <c r="B271" s="12"/>
      <c r="C271" s="12">
        <v>-150000</v>
      </c>
      <c r="D271" s="12" t="s">
        <v>851</v>
      </c>
      <c r="E271" s="12">
        <v>-80000</v>
      </c>
      <c r="F271" s="12" t="s">
        <v>854</v>
      </c>
      <c r="G271" s="12"/>
      <c r="H271" s="12" t="s">
        <v>848</v>
      </c>
    </row>
    <row r="272" spans="1:8" x14ac:dyDescent="0.2">
      <c r="C272" s="12" t="s">
        <v>387</v>
      </c>
      <c r="E272" s="12" t="s">
        <v>387</v>
      </c>
      <c r="F272" s="12" t="s">
        <v>855</v>
      </c>
    </row>
    <row r="274" spans="1:7" x14ac:dyDescent="0.2">
      <c r="B274" s="116" t="s">
        <v>860</v>
      </c>
      <c r="C274" s="116" t="s">
        <v>863</v>
      </c>
      <c r="D274" s="116" t="s">
        <v>860</v>
      </c>
      <c r="E274" s="116" t="s">
        <v>859</v>
      </c>
      <c r="F274" s="116" t="s">
        <v>368</v>
      </c>
    </row>
    <row r="275" spans="1:7" x14ac:dyDescent="0.2">
      <c r="B275" s="116" t="s">
        <v>861</v>
      </c>
      <c r="C275" s="116" t="s">
        <v>864</v>
      </c>
      <c r="D275" s="116" t="s">
        <v>861</v>
      </c>
      <c r="E275" s="116" t="s">
        <v>857</v>
      </c>
      <c r="F275" s="116" t="s">
        <v>852</v>
      </c>
    </row>
    <row r="276" spans="1:7" x14ac:dyDescent="0.2">
      <c r="B276" s="129" t="s">
        <v>866</v>
      </c>
      <c r="C276" s="112" t="s">
        <v>865</v>
      </c>
      <c r="D276" s="129" t="s">
        <v>862</v>
      </c>
      <c r="E276" s="112" t="s">
        <v>858</v>
      </c>
      <c r="F276" s="112" t="s">
        <v>853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8">
        <f>C278</f>
        <v>1.4673846168659299</v>
      </c>
      <c r="C278" s="118">
        <f>((1+6%)^(1/4)-1)*100</f>
        <v>1.4673846168659299</v>
      </c>
      <c r="D278" s="118">
        <f>E278</f>
        <v>1.2272234429039353</v>
      </c>
      <c r="E278" s="118">
        <f>((1+5%)^(1/4)-1)*100</f>
        <v>1.2272234429039353</v>
      </c>
      <c r="F278" s="120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9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867</v>
      </c>
    </row>
    <row r="293" spans="1:7" x14ac:dyDescent="0.2">
      <c r="A293" s="1" t="s">
        <v>873</v>
      </c>
      <c r="D293" s="12" t="s">
        <v>814</v>
      </c>
      <c r="E293" s="12" t="s">
        <v>870</v>
      </c>
      <c r="F293" s="12" t="s">
        <v>868</v>
      </c>
    </row>
    <row r="294" spans="1:7" x14ac:dyDescent="0.2">
      <c r="A294" s="1" t="s">
        <v>874</v>
      </c>
      <c r="D294" s="59" t="s">
        <v>872</v>
      </c>
      <c r="E294" s="59" t="s">
        <v>871</v>
      </c>
      <c r="F294" s="59" t="s">
        <v>869</v>
      </c>
    </row>
    <row r="295" spans="1:7" x14ac:dyDescent="0.2">
      <c r="A295" s="1" t="s">
        <v>875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20">
        <v>6</v>
      </c>
      <c r="E296" s="118">
        <f>((1+5%)^(1/12)-1)*100</f>
        <v>0.40741237836483535</v>
      </c>
      <c r="F296" s="118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10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876</v>
      </c>
    </row>
    <row r="309" spans="1:8" x14ac:dyDescent="0.2">
      <c r="H309" s="1" t="s">
        <v>884</v>
      </c>
    </row>
    <row r="310" spans="1:8" x14ac:dyDescent="0.2">
      <c r="F310" s="12" t="s">
        <v>868</v>
      </c>
    </row>
    <row r="311" spans="1:8" x14ac:dyDescent="0.2">
      <c r="F311" s="59" t="s">
        <v>869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878</v>
      </c>
      <c r="E313" s="1" t="s">
        <v>877</v>
      </c>
      <c r="F313" s="130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879</v>
      </c>
      <c r="F314" s="18">
        <v>0</v>
      </c>
      <c r="G314" s="1" t="s">
        <v>39</v>
      </c>
    </row>
    <row r="315" spans="1:8" x14ac:dyDescent="0.2">
      <c r="A315" s="1" t="s">
        <v>880</v>
      </c>
      <c r="F315" s="18">
        <v>-1000</v>
      </c>
      <c r="G315" s="1" t="s">
        <v>47</v>
      </c>
    </row>
    <row r="316" spans="1:8" ht="17" thickBot="1" x14ac:dyDescent="0.25">
      <c r="A316" s="1" t="s">
        <v>881</v>
      </c>
      <c r="F316" s="18">
        <v>14000</v>
      </c>
      <c r="G316" s="1" t="s">
        <v>50</v>
      </c>
    </row>
    <row r="317" spans="1:8" ht="17" thickBot="1" x14ac:dyDescent="0.25">
      <c r="B317" s="131">
        <f>(1+2.7599%)^12-1</f>
        <v>0.38638571727340021</v>
      </c>
      <c r="D317" s="1" t="s">
        <v>882</v>
      </c>
    </row>
    <row r="319" spans="1:8" x14ac:dyDescent="0.2">
      <c r="A319" s="2" t="s">
        <v>883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opLeftCell="A356" zoomScale="270" zoomScaleNormal="270" workbookViewId="0">
      <selection activeCell="F347" sqref="F347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1678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6" t="s">
        <v>1679</v>
      </c>
      <c r="B19" s="96"/>
      <c r="C19" s="96"/>
      <c r="D19" s="96"/>
      <c r="E19" s="96"/>
      <c r="F19" s="96"/>
      <c r="G19" s="96"/>
      <c r="H19" s="96"/>
    </row>
    <row r="20" spans="1:8" x14ac:dyDescent="0.2">
      <c r="A20" s="1" t="s">
        <v>1680</v>
      </c>
    </row>
    <row r="21" spans="1:8" x14ac:dyDescent="0.2">
      <c r="A21" s="1" t="s">
        <v>1681</v>
      </c>
    </row>
    <row r="22" spans="1:8" x14ac:dyDescent="0.2">
      <c r="A22" s="1" t="s">
        <v>1682</v>
      </c>
    </row>
    <row r="23" spans="1:8" x14ac:dyDescent="0.2">
      <c r="A23" s="1" t="s">
        <v>1683</v>
      </c>
    </row>
    <row r="25" spans="1:8" x14ac:dyDescent="0.2">
      <c r="A25" s="1" t="s">
        <v>711</v>
      </c>
    </row>
    <row r="26" spans="1:8" x14ac:dyDescent="0.2">
      <c r="A26" s="1" t="s">
        <v>1685</v>
      </c>
    </row>
    <row r="27" spans="1:8" x14ac:dyDescent="0.2">
      <c r="A27" s="1" t="s">
        <v>1684</v>
      </c>
    </row>
    <row r="28" spans="1:8" x14ac:dyDescent="0.2">
      <c r="F28" s="1" t="s">
        <v>1692</v>
      </c>
    </row>
    <row r="29" spans="1:8" x14ac:dyDescent="0.2">
      <c r="A29" s="58" t="s">
        <v>1687</v>
      </c>
      <c r="B29" s="58"/>
      <c r="C29" s="58"/>
      <c r="D29" s="58" t="s">
        <v>1690</v>
      </c>
      <c r="F29" s="58"/>
      <c r="G29" s="58"/>
      <c r="H29" s="58" t="s">
        <v>1691</v>
      </c>
    </row>
    <row r="30" spans="1:8" x14ac:dyDescent="0.2">
      <c r="A30" s="1" t="s">
        <v>1686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1688</v>
      </c>
      <c r="C33" s="12">
        <v>-200000</v>
      </c>
      <c r="D33" s="1" t="s">
        <v>39</v>
      </c>
      <c r="G33" s="91">
        <v>-200000</v>
      </c>
      <c r="H33" s="1" t="s">
        <v>39</v>
      </c>
      <c r="I33" s="40" t="s">
        <v>798</v>
      </c>
    </row>
    <row r="34" spans="1:9" x14ac:dyDescent="0.2">
      <c r="A34" s="1" t="s">
        <v>1689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1693</v>
      </c>
      <c r="C35" s="91">
        <f>200000*1.03^4</f>
        <v>225101.76199999999</v>
      </c>
      <c r="D35" s="1" t="s">
        <v>50</v>
      </c>
      <c r="E35" s="40" t="s">
        <v>798</v>
      </c>
      <c r="G35" s="12">
        <v>225102</v>
      </c>
      <c r="H35" s="1" t="s">
        <v>50</v>
      </c>
      <c r="I35" s="1" t="s">
        <v>1583</v>
      </c>
    </row>
    <row r="37" spans="1:9" x14ac:dyDescent="0.2">
      <c r="A37" s="2" t="s">
        <v>1694</v>
      </c>
    </row>
    <row r="38" spans="1:9" x14ac:dyDescent="0.2">
      <c r="A38" s="1" t="s">
        <v>1695</v>
      </c>
    </row>
    <row r="40" spans="1:9" x14ac:dyDescent="0.2">
      <c r="A40" s="2" t="s">
        <v>1704</v>
      </c>
    </row>
    <row r="41" spans="1:9" x14ac:dyDescent="0.2">
      <c r="A41" s="1" t="s">
        <v>1698</v>
      </c>
    </row>
    <row r="43" spans="1:9" x14ac:dyDescent="0.2">
      <c r="A43" s="1" t="s">
        <v>1700</v>
      </c>
    </row>
    <row r="44" spans="1:9" x14ac:dyDescent="0.2">
      <c r="A44" s="1" t="s">
        <v>1699</v>
      </c>
    </row>
    <row r="45" spans="1:9" x14ac:dyDescent="0.2">
      <c r="A45" s="1" t="s">
        <v>1701</v>
      </c>
    </row>
    <row r="46" spans="1:9" ht="17" thickBot="1" x14ac:dyDescent="0.25"/>
    <row r="47" spans="1:9" x14ac:dyDescent="0.2">
      <c r="A47" s="30" t="s">
        <v>1696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1697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227" t="s">
        <v>1702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1703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1705</v>
      </c>
    </row>
    <row r="75" spans="1:8" x14ac:dyDescent="0.2">
      <c r="A75" s="1" t="s">
        <v>1706</v>
      </c>
    </row>
    <row r="76" spans="1:8" x14ac:dyDescent="0.2">
      <c r="A76" s="1" t="s">
        <v>1707</v>
      </c>
    </row>
    <row r="77" spans="1:8" x14ac:dyDescent="0.2">
      <c r="A77" s="1" t="s">
        <v>1708</v>
      </c>
    </row>
    <row r="78" spans="1:8" x14ac:dyDescent="0.2">
      <c r="A78" s="1" t="s">
        <v>1709</v>
      </c>
    </row>
    <row r="80" spans="1:8" x14ac:dyDescent="0.2">
      <c r="A80" s="2" t="s">
        <v>1710</v>
      </c>
      <c r="F80" s="1" t="s">
        <v>1712</v>
      </c>
    </row>
    <row r="81" spans="1:8" x14ac:dyDescent="0.2">
      <c r="A81" s="1" t="s">
        <v>1711</v>
      </c>
      <c r="F81" s="2" t="s">
        <v>1713</v>
      </c>
    </row>
    <row r="82" spans="1:8" ht="17" thickBot="1" x14ac:dyDescent="0.25"/>
    <row r="83" spans="1:8" x14ac:dyDescent="0.2">
      <c r="C83" s="228" t="s">
        <v>292</v>
      </c>
      <c r="D83" s="228" t="s">
        <v>291</v>
      </c>
      <c r="E83" s="228" t="s">
        <v>290</v>
      </c>
      <c r="F83" s="59" t="s">
        <v>177</v>
      </c>
    </row>
    <row r="84" spans="1:8" x14ac:dyDescent="0.2">
      <c r="C84" s="190" t="s">
        <v>179</v>
      </c>
      <c r="D84" s="190" t="s">
        <v>179</v>
      </c>
      <c r="E84" s="190" t="s">
        <v>179</v>
      </c>
      <c r="F84" s="12" t="s">
        <v>178</v>
      </c>
    </row>
    <row r="85" spans="1:8" x14ac:dyDescent="0.2">
      <c r="C85" s="190">
        <f>10*4</f>
        <v>40</v>
      </c>
      <c r="D85" s="190">
        <f>10*12</f>
        <v>120</v>
      </c>
      <c r="E85" s="190">
        <v>10</v>
      </c>
      <c r="F85" s="12" t="s">
        <v>45</v>
      </c>
    </row>
    <row r="86" spans="1:8" x14ac:dyDescent="0.2">
      <c r="C86" s="190">
        <v>1</v>
      </c>
      <c r="D86" s="190">
        <v>0.5</v>
      </c>
      <c r="E86" s="190">
        <v>4</v>
      </c>
      <c r="F86" s="12" t="s">
        <v>42</v>
      </c>
    </row>
    <row r="87" spans="1:8" x14ac:dyDescent="0.2">
      <c r="C87" s="229">
        <f t="shared" ref="C87:D87" si="0">PV(C86/100,C85,C88,C89)</f>
        <v>-335826.56943021901</v>
      </c>
      <c r="D87" s="229">
        <f t="shared" si="0"/>
        <v>-274816.36668208335</v>
      </c>
      <c r="E87" s="229">
        <f>PV(E86/100,E85,E88,E89)</f>
        <v>-337782.08441289928</v>
      </c>
      <c r="F87" s="12" t="s">
        <v>39</v>
      </c>
      <c r="G87" s="1" t="s">
        <v>798</v>
      </c>
    </row>
    <row r="88" spans="1:8" x14ac:dyDescent="0.2">
      <c r="C88" s="190">
        <v>0</v>
      </c>
      <c r="D88" s="190">
        <v>0</v>
      </c>
      <c r="E88" s="190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1717</v>
      </c>
      <c r="D91" s="2" t="s">
        <v>1717</v>
      </c>
      <c r="E91" s="2" t="s">
        <v>1714</v>
      </c>
    </row>
    <row r="92" spans="1:8" x14ac:dyDescent="0.2">
      <c r="C92" s="2" t="s">
        <v>1719</v>
      </c>
      <c r="D92" s="2" t="s">
        <v>1718</v>
      </c>
      <c r="E92" s="2" t="s">
        <v>1715</v>
      </c>
    </row>
    <row r="93" spans="1:8" x14ac:dyDescent="0.2">
      <c r="C93" s="230">
        <f>-C87</f>
        <v>335826.56943021901</v>
      </c>
      <c r="D93" s="230">
        <f>-D87</f>
        <v>274816.36668208335</v>
      </c>
      <c r="E93" s="2" t="s">
        <v>1716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1702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1720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1721</v>
      </c>
    </row>
    <row r="111" spans="1:8" x14ac:dyDescent="0.2">
      <c r="A111" s="1" t="s">
        <v>1722</v>
      </c>
    </row>
    <row r="112" spans="1:8" x14ac:dyDescent="0.2">
      <c r="A112" s="1" t="s">
        <v>1723</v>
      </c>
    </row>
    <row r="113" spans="1:8" x14ac:dyDescent="0.2">
      <c r="A113" s="1" t="s">
        <v>1724</v>
      </c>
    </row>
    <row r="115" spans="1:8" x14ac:dyDescent="0.2">
      <c r="C115" s="1" t="s">
        <v>1726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1727</v>
      </c>
      <c r="D117" s="12">
        <f>10*12</f>
        <v>120</v>
      </c>
      <c r="E117" s="12" t="s">
        <v>45</v>
      </c>
      <c r="F117" s="157" t="s">
        <v>1725</v>
      </c>
    </row>
    <row r="118" spans="1:8" x14ac:dyDescent="0.2">
      <c r="C118" s="1" t="s">
        <v>1729</v>
      </c>
      <c r="D118" s="12">
        <f>(1.08^(1/12)-1)*100</f>
        <v>0.64340301100034303</v>
      </c>
      <c r="E118" s="12" t="s">
        <v>42</v>
      </c>
      <c r="F118" s="157" t="s">
        <v>1728</v>
      </c>
    </row>
    <row r="119" spans="1:8" x14ac:dyDescent="0.2">
      <c r="D119" s="80">
        <f>PV(D118/100,D117,D120,D121)</f>
        <v>-250297.17116836525</v>
      </c>
      <c r="E119" s="12" t="s">
        <v>39</v>
      </c>
      <c r="F119" s="231" t="s">
        <v>798</v>
      </c>
    </row>
    <row r="120" spans="1:8" x14ac:dyDescent="0.2">
      <c r="D120" s="12">
        <v>3000</v>
      </c>
      <c r="E120" s="12" t="s">
        <v>47</v>
      </c>
      <c r="F120" s="157" t="s">
        <v>1730</v>
      </c>
    </row>
    <row r="121" spans="1:8" x14ac:dyDescent="0.2">
      <c r="D121" s="12">
        <v>0</v>
      </c>
      <c r="E121" s="12" t="s">
        <v>50</v>
      </c>
      <c r="F121" s="1" t="s">
        <v>1731</v>
      </c>
    </row>
    <row r="122" spans="1:8" x14ac:dyDescent="0.2">
      <c r="D122" s="12"/>
      <c r="E122" s="12"/>
    </row>
    <row r="123" spans="1:8" x14ac:dyDescent="0.2">
      <c r="A123" s="1" t="s">
        <v>1732</v>
      </c>
    </row>
    <row r="125" spans="1:8" x14ac:dyDescent="0.2">
      <c r="A125" s="77" t="s">
        <v>1733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1742</v>
      </c>
    </row>
    <row r="127" spans="1:8" x14ac:dyDescent="0.2">
      <c r="A127" s="1" t="s">
        <v>1734</v>
      </c>
    </row>
    <row r="128" spans="1:8" x14ac:dyDescent="0.2">
      <c r="A128" s="1" t="s">
        <v>1735</v>
      </c>
    </row>
    <row r="129" spans="1:8" x14ac:dyDescent="0.2">
      <c r="A129" s="1" t="s">
        <v>1736</v>
      </c>
    </row>
    <row r="131" spans="1:8" x14ac:dyDescent="0.2">
      <c r="A131" s="1" t="s">
        <v>1737</v>
      </c>
      <c r="D131" s="58"/>
      <c r="E131" s="58"/>
      <c r="F131" s="58" t="s">
        <v>177</v>
      </c>
    </row>
    <row r="132" spans="1:8" x14ac:dyDescent="0.2">
      <c r="A132" s="1" t="s">
        <v>1738</v>
      </c>
      <c r="E132" s="12" t="s">
        <v>179</v>
      </c>
      <c r="F132" s="1" t="s">
        <v>178</v>
      </c>
    </row>
    <row r="133" spans="1:8" x14ac:dyDescent="0.2">
      <c r="A133" s="1" t="s">
        <v>1739</v>
      </c>
      <c r="E133" s="12">
        <f>4*12</f>
        <v>48</v>
      </c>
      <c r="F133" s="1" t="s">
        <v>45</v>
      </c>
    </row>
    <row r="134" spans="1:8" x14ac:dyDescent="0.2">
      <c r="A134" s="1" t="s">
        <v>1740</v>
      </c>
      <c r="E134" s="12">
        <v>1</v>
      </c>
      <c r="F134" s="1" t="s">
        <v>42</v>
      </c>
    </row>
    <row r="135" spans="1:8" x14ac:dyDescent="0.2">
      <c r="A135" s="1" t="s">
        <v>1741</v>
      </c>
      <c r="E135" s="42">
        <f>PV(E134/100,E133,E136,E137)</f>
        <v>-238250.10906248679</v>
      </c>
      <c r="F135" s="1" t="s">
        <v>39</v>
      </c>
      <c r="G135" s="233" t="s">
        <v>798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1702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1702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1702</v>
      </c>
      <c r="G173" s="82"/>
      <c r="H173" s="82"/>
    </row>
    <row r="174" spans="1:8" x14ac:dyDescent="0.2">
      <c r="A174" s="1" t="s">
        <v>502</v>
      </c>
      <c r="H174" s="287" t="s">
        <v>506</v>
      </c>
    </row>
    <row r="175" spans="1:8" x14ac:dyDescent="0.2">
      <c r="A175" s="1" t="s">
        <v>503</v>
      </c>
      <c r="H175" s="288"/>
    </row>
    <row r="176" spans="1:8" x14ac:dyDescent="0.2">
      <c r="A176" s="1" t="s">
        <v>504</v>
      </c>
      <c r="H176" s="288"/>
    </row>
    <row r="177" spans="1:8" ht="17" thickBot="1" x14ac:dyDescent="0.25">
      <c r="A177" s="1" t="s">
        <v>505</v>
      </c>
      <c r="H177" s="289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1702</v>
      </c>
      <c r="H200" s="82"/>
    </row>
    <row r="201" spans="1:8" x14ac:dyDescent="0.2">
      <c r="A201" s="1" t="s">
        <v>518</v>
      </c>
      <c r="H201" s="287" t="s">
        <v>506</v>
      </c>
    </row>
    <row r="202" spans="1:8" x14ac:dyDescent="0.2">
      <c r="A202" s="1" t="s">
        <v>519</v>
      </c>
      <c r="H202" s="288"/>
    </row>
    <row r="203" spans="1:8" x14ac:dyDescent="0.2">
      <c r="A203" s="1" t="s">
        <v>520</v>
      </c>
      <c r="H203" s="288"/>
    </row>
    <row r="204" spans="1:8" ht="17" thickBot="1" x14ac:dyDescent="0.25">
      <c r="A204" s="1" t="s">
        <v>521</v>
      </c>
      <c r="H204" s="289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1702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1702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1744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1745</v>
      </c>
    </row>
    <row r="261" spans="1:8" x14ac:dyDescent="0.2">
      <c r="A261" s="1" t="s">
        <v>1746</v>
      </c>
    </row>
    <row r="262" spans="1:8" x14ac:dyDescent="0.2">
      <c r="A262" s="1" t="s">
        <v>1747</v>
      </c>
    </row>
    <row r="263" spans="1:8" x14ac:dyDescent="0.2">
      <c r="A263" s="1" t="s">
        <v>1748</v>
      </c>
    </row>
    <row r="264" spans="1:8" x14ac:dyDescent="0.2">
      <c r="A264" s="1" t="s">
        <v>1749</v>
      </c>
    </row>
    <row r="265" spans="1:8" x14ac:dyDescent="0.2">
      <c r="A265" s="1" t="s">
        <v>1750</v>
      </c>
    </row>
    <row r="266" spans="1:8" x14ac:dyDescent="0.2">
      <c r="A266" s="1" t="s">
        <v>1751</v>
      </c>
    </row>
    <row r="268" spans="1:8" x14ac:dyDescent="0.2">
      <c r="A268" s="1" t="s">
        <v>27</v>
      </c>
    </row>
    <row r="270" spans="1:8" x14ac:dyDescent="0.2">
      <c r="A270" s="2" t="s">
        <v>1752</v>
      </c>
    </row>
    <row r="271" spans="1:8" x14ac:dyDescent="0.2">
      <c r="A271" s="1" t="s">
        <v>1753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1755</v>
      </c>
      <c r="D275" s="12">
        <v>60</v>
      </c>
      <c r="E275" s="1" t="s">
        <v>45</v>
      </c>
      <c r="F275" s="1" t="s">
        <v>1754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1756</v>
      </c>
    </row>
    <row r="277" spans="1:10" x14ac:dyDescent="0.2">
      <c r="D277" s="80">
        <f>PV(D276/100,D275,D278,D279)</f>
        <v>260003.35845961256</v>
      </c>
      <c r="E277" s="1" t="s">
        <v>39</v>
      </c>
      <c r="F277" s="234" t="s">
        <v>798</v>
      </c>
    </row>
    <row r="278" spans="1:10" x14ac:dyDescent="0.2">
      <c r="D278" s="12">
        <v>-4000</v>
      </c>
      <c r="E278" s="1" t="s">
        <v>47</v>
      </c>
      <c r="F278" s="1" t="s">
        <v>1763</v>
      </c>
    </row>
    <row r="279" spans="1:10" x14ac:dyDescent="0.2">
      <c r="D279" s="12">
        <v>-70000</v>
      </c>
      <c r="E279" s="1" t="s">
        <v>50</v>
      </c>
      <c r="F279" s="1" t="s">
        <v>1764</v>
      </c>
    </row>
    <row r="280" spans="1:10" x14ac:dyDescent="0.2">
      <c r="F280" s="1" t="s">
        <v>1765</v>
      </c>
    </row>
    <row r="281" spans="1:10" ht="17" thickBot="1" x14ac:dyDescent="0.25"/>
    <row r="282" spans="1:10" x14ac:dyDescent="0.2">
      <c r="F282" s="21" t="s">
        <v>1766</v>
      </c>
      <c r="G282" s="31"/>
      <c r="H282" s="31"/>
      <c r="I282" s="31"/>
      <c r="J282" s="23"/>
    </row>
    <row r="283" spans="1:10" x14ac:dyDescent="0.2">
      <c r="F283" s="24" t="s">
        <v>1767</v>
      </c>
      <c r="J283" s="25"/>
    </row>
    <row r="284" spans="1:10" x14ac:dyDescent="0.2">
      <c r="A284" s="1" t="s">
        <v>1757</v>
      </c>
      <c r="B284" s="1" t="s">
        <v>1758</v>
      </c>
      <c r="F284" s="24" t="s">
        <v>1768</v>
      </c>
      <c r="J284" s="25"/>
    </row>
    <row r="285" spans="1:10" x14ac:dyDescent="0.2">
      <c r="A285" s="1" t="s">
        <v>1759</v>
      </c>
      <c r="B285" s="1" t="s">
        <v>1760</v>
      </c>
      <c r="F285" s="24" t="s">
        <v>1769</v>
      </c>
      <c r="J285" s="25"/>
    </row>
    <row r="286" spans="1:10" x14ac:dyDescent="0.2">
      <c r="A286" s="1" t="s">
        <v>1761</v>
      </c>
      <c r="B286" s="1" t="s">
        <v>1762</v>
      </c>
      <c r="F286" s="24" t="s">
        <v>1770</v>
      </c>
      <c r="J286" s="25"/>
    </row>
    <row r="287" spans="1:10" ht="17" thickBot="1" x14ac:dyDescent="0.25">
      <c r="F287" s="126" t="s">
        <v>1771</v>
      </c>
      <c r="G287" s="27"/>
      <c r="H287" s="27"/>
      <c r="I287" s="27"/>
      <c r="J287" s="28"/>
    </row>
    <row r="290" spans="1:9" x14ac:dyDescent="0.2">
      <c r="A290" s="77" t="s">
        <v>1772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1781</v>
      </c>
    </row>
    <row r="292" spans="1:9" x14ac:dyDescent="0.2">
      <c r="A292" s="1" t="s">
        <v>1773</v>
      </c>
      <c r="I292" s="1" t="s">
        <v>1782</v>
      </c>
    </row>
    <row r="293" spans="1:9" x14ac:dyDescent="0.2">
      <c r="A293" s="1" t="s">
        <v>1774</v>
      </c>
      <c r="I293" s="1" t="s">
        <v>1783</v>
      </c>
    </row>
    <row r="294" spans="1:9" x14ac:dyDescent="0.2">
      <c r="A294" s="1" t="s">
        <v>1775</v>
      </c>
      <c r="I294" s="1" t="s">
        <v>1784</v>
      </c>
    </row>
    <row r="295" spans="1:9" x14ac:dyDescent="0.2">
      <c r="A295" s="1" t="s">
        <v>1776</v>
      </c>
      <c r="I295" s="1" t="s">
        <v>1785</v>
      </c>
    </row>
    <row r="296" spans="1:9" x14ac:dyDescent="0.2">
      <c r="D296" s="1" t="s">
        <v>1791</v>
      </c>
      <c r="E296" s="1" t="s">
        <v>1792</v>
      </c>
      <c r="I296" s="1" t="s">
        <v>1787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1788</v>
      </c>
    </row>
    <row r="298" spans="1:9" x14ac:dyDescent="0.2">
      <c r="A298" s="1" t="s">
        <v>382</v>
      </c>
      <c r="D298" s="12"/>
      <c r="G298" s="12"/>
      <c r="I298" s="1" t="s">
        <v>1789</v>
      </c>
    </row>
    <row r="299" spans="1:9" x14ac:dyDescent="0.2">
      <c r="D299" s="12"/>
      <c r="E299" s="29">
        <v>-219552.82440000001</v>
      </c>
      <c r="G299" s="235" t="s">
        <v>1798</v>
      </c>
      <c r="I299" s="1" t="s">
        <v>1790</v>
      </c>
    </row>
    <row r="300" spans="1:9" x14ac:dyDescent="0.2">
      <c r="C300" s="12" t="s">
        <v>1777</v>
      </c>
      <c r="D300" s="12"/>
      <c r="E300" s="1" t="s">
        <v>1793</v>
      </c>
    </row>
    <row r="301" spans="1:9" x14ac:dyDescent="0.2">
      <c r="C301" s="12" t="s">
        <v>386</v>
      </c>
      <c r="E301" s="1" t="s">
        <v>1596</v>
      </c>
      <c r="F301" s="1" t="s">
        <v>1794</v>
      </c>
      <c r="I301" s="2" t="s">
        <v>1799</v>
      </c>
    </row>
    <row r="302" spans="1:9" x14ac:dyDescent="0.2">
      <c r="C302" s="12" t="s">
        <v>1778</v>
      </c>
      <c r="F302" s="1" t="s">
        <v>386</v>
      </c>
      <c r="I302" s="2" t="s">
        <v>1800</v>
      </c>
    </row>
    <row r="303" spans="1:9" x14ac:dyDescent="0.2">
      <c r="C303" s="12" t="s">
        <v>1779</v>
      </c>
      <c r="F303" s="1" t="s">
        <v>1795</v>
      </c>
    </row>
    <row r="304" spans="1:9" x14ac:dyDescent="0.2">
      <c r="F304" s="1" t="s">
        <v>1796</v>
      </c>
    </row>
    <row r="306" spans="1:9" x14ac:dyDescent="0.2">
      <c r="D306" s="1" t="s">
        <v>1780</v>
      </c>
      <c r="F306" s="1" t="s">
        <v>1797</v>
      </c>
    </row>
    <row r="308" spans="1:9" x14ac:dyDescent="0.2">
      <c r="A308" s="1" t="s">
        <v>1801</v>
      </c>
    </row>
    <row r="309" spans="1:9" x14ac:dyDescent="0.2">
      <c r="A309" s="1" t="s">
        <v>1802</v>
      </c>
    </row>
    <row r="310" spans="1:9" x14ac:dyDescent="0.2">
      <c r="A310" s="1" t="s">
        <v>1803</v>
      </c>
    </row>
    <row r="312" spans="1:9" x14ac:dyDescent="0.2">
      <c r="D312" s="12" t="s">
        <v>608</v>
      </c>
      <c r="E312" s="12" t="s">
        <v>607</v>
      </c>
      <c r="I312" s="1" t="s">
        <v>1805</v>
      </c>
    </row>
    <row r="313" spans="1:9" x14ac:dyDescent="0.2">
      <c r="D313" s="12" t="s">
        <v>1810</v>
      </c>
      <c r="E313" s="12" t="s">
        <v>1804</v>
      </c>
      <c r="I313" s="1" t="s">
        <v>1806</v>
      </c>
    </row>
    <row r="314" spans="1:9" x14ac:dyDescent="0.2">
      <c r="D314" s="59" t="s">
        <v>1811</v>
      </c>
      <c r="E314" s="59" t="s">
        <v>1809</v>
      </c>
      <c r="F314" s="58" t="s">
        <v>177</v>
      </c>
      <c r="I314" s="1" t="s">
        <v>1808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1807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798</v>
      </c>
      <c r="D318" s="235">
        <v>-172912</v>
      </c>
      <c r="E318" s="91">
        <v>-219552.82440000001</v>
      </c>
      <c r="F318" s="1" t="s">
        <v>39</v>
      </c>
      <c r="G318" s="1" t="s">
        <v>798</v>
      </c>
      <c r="I318" s="1" t="s">
        <v>1812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1813</v>
      </c>
    </row>
    <row r="320" spans="1:9" x14ac:dyDescent="0.2">
      <c r="D320" s="91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1814</v>
      </c>
    </row>
    <row r="323" spans="1:10" x14ac:dyDescent="0.2">
      <c r="A323" s="77" t="s">
        <v>1815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1827</v>
      </c>
    </row>
    <row r="325" spans="1:10" x14ac:dyDescent="0.2">
      <c r="A325" s="1" t="s">
        <v>1816</v>
      </c>
    </row>
    <row r="327" spans="1:10" x14ac:dyDescent="0.2">
      <c r="A327" s="1" t="s">
        <v>1817</v>
      </c>
      <c r="F327" s="1" t="s">
        <v>1818</v>
      </c>
    </row>
    <row r="328" spans="1:10" x14ac:dyDescent="0.2">
      <c r="A328" s="116" t="s">
        <v>1831</v>
      </c>
      <c r="B328" s="116" t="s">
        <v>1819</v>
      </c>
      <c r="F328" s="116" t="s">
        <v>1831</v>
      </c>
      <c r="G328" s="116" t="s">
        <v>1819</v>
      </c>
      <c r="I328" s="1" t="s">
        <v>1836</v>
      </c>
    </row>
    <row r="329" spans="1:10" x14ac:dyDescent="0.2">
      <c r="A329" s="116" t="s">
        <v>1832</v>
      </c>
      <c r="B329" s="116" t="s">
        <v>1820</v>
      </c>
      <c r="F329" s="116" t="s">
        <v>1832</v>
      </c>
      <c r="G329" s="116" t="s">
        <v>1820</v>
      </c>
      <c r="I329" s="1" t="s">
        <v>1837</v>
      </c>
    </row>
    <row r="330" spans="1:10" x14ac:dyDescent="0.2">
      <c r="A330" s="116" t="s">
        <v>1833</v>
      </c>
      <c r="B330" s="116" t="s">
        <v>1821</v>
      </c>
      <c r="F330" s="116" t="s">
        <v>1833</v>
      </c>
      <c r="G330" s="116" t="s">
        <v>1821</v>
      </c>
      <c r="I330" s="1">
        <v>14</v>
      </c>
      <c r="J330" s="1" t="s">
        <v>1838</v>
      </c>
    </row>
    <row r="331" spans="1:10" x14ac:dyDescent="0.2">
      <c r="A331" s="116" t="s">
        <v>1834</v>
      </c>
      <c r="B331" s="116" t="s">
        <v>1786</v>
      </c>
      <c r="F331" s="116" t="s">
        <v>1834</v>
      </c>
      <c r="G331" s="116" t="s">
        <v>1786</v>
      </c>
      <c r="I331" s="2" t="s">
        <v>1839</v>
      </c>
    </row>
    <row r="332" spans="1:10" x14ac:dyDescent="0.2">
      <c r="A332" s="112">
        <v>0</v>
      </c>
      <c r="B332" s="112" t="s">
        <v>1822</v>
      </c>
      <c r="F332" s="112">
        <v>0</v>
      </c>
      <c r="G332" s="112" t="s">
        <v>1822</v>
      </c>
      <c r="I332" s="2" t="s">
        <v>1840</v>
      </c>
    </row>
    <row r="333" spans="1:10" x14ac:dyDescent="0.2">
      <c r="C333" s="1" t="s">
        <v>177</v>
      </c>
      <c r="H333" s="1" t="s">
        <v>177</v>
      </c>
      <c r="I333" s="2" t="s">
        <v>1841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232" t="s">
        <v>1830</v>
      </c>
      <c r="B335" s="237" t="s">
        <v>1823</v>
      </c>
      <c r="C335" s="1" t="s">
        <v>45</v>
      </c>
      <c r="E335" s="1" t="s">
        <v>1842</v>
      </c>
      <c r="F335" s="12">
        <v>13</v>
      </c>
      <c r="G335" s="240">
        <f>5*4</f>
        <v>20</v>
      </c>
      <c r="H335" s="1" t="s">
        <v>45</v>
      </c>
    </row>
    <row r="336" spans="1:10" ht="25" x14ac:dyDescent="0.2">
      <c r="A336" s="12" t="s">
        <v>41</v>
      </c>
      <c r="B336" s="237" t="s">
        <v>1824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1835</v>
      </c>
      <c r="B337" s="238" t="s">
        <v>51</v>
      </c>
      <c r="C337" s="1" t="s">
        <v>39</v>
      </c>
      <c r="F337" s="242">
        <v>-12639</v>
      </c>
      <c r="G337" s="241">
        <v>-16351.433000000001</v>
      </c>
      <c r="H337" s="1" t="s">
        <v>39</v>
      </c>
    </row>
    <row r="338" spans="1:8" x14ac:dyDescent="0.2">
      <c r="A338" s="12" t="s">
        <v>1829</v>
      </c>
      <c r="B338" s="236" t="s">
        <v>1825</v>
      </c>
      <c r="C338" s="1" t="s">
        <v>47</v>
      </c>
      <c r="F338" s="12">
        <v>0</v>
      </c>
      <c r="G338" s="182">
        <v>1000</v>
      </c>
      <c r="H338" s="1" t="s">
        <v>47</v>
      </c>
    </row>
    <row r="339" spans="1:8" x14ac:dyDescent="0.2">
      <c r="A339" s="239" t="s">
        <v>1828</v>
      </c>
      <c r="B339" s="236" t="s">
        <v>1826</v>
      </c>
      <c r="C339" s="1" t="s">
        <v>50</v>
      </c>
      <c r="F339" s="235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1842</v>
      </c>
    </row>
    <row r="347" spans="1:8" x14ac:dyDescent="0.2">
      <c r="A347" s="82" t="s">
        <v>1743</v>
      </c>
      <c r="B347" s="82"/>
      <c r="C347" s="82"/>
      <c r="D347" s="82"/>
      <c r="E347" s="82"/>
      <c r="F347" s="82"/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274" zoomScale="240" zoomScaleNormal="240" workbookViewId="0">
      <selection activeCell="B232" sqref="B232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9">
        <v>45887</v>
      </c>
    </row>
    <row r="3" spans="1:8" x14ac:dyDescent="0.2">
      <c r="A3" s="89" t="s">
        <v>581</v>
      </c>
      <c r="B3" s="88"/>
      <c r="C3" s="88"/>
      <c r="D3" s="88"/>
      <c r="E3" s="88"/>
      <c r="F3" s="88"/>
      <c r="G3" s="88"/>
      <c r="H3" s="88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1843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1844</v>
      </c>
    </row>
    <row r="24" spans="1:8" x14ac:dyDescent="0.2">
      <c r="A24" s="1" t="s">
        <v>1845</v>
      </c>
    </row>
    <row r="25" spans="1:8" x14ac:dyDescent="0.2">
      <c r="A25" s="1" t="s">
        <v>1846</v>
      </c>
    </row>
    <row r="27" spans="1:8" x14ac:dyDescent="0.2">
      <c r="A27" s="1" t="s">
        <v>1847</v>
      </c>
    </row>
    <row r="28" spans="1:8" x14ac:dyDescent="0.2">
      <c r="A28" s="1" t="s">
        <v>1848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1849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47">
        <f>D63</f>
        <v>2.4113689084445111</v>
      </c>
      <c r="E33" s="12">
        <v>10</v>
      </c>
      <c r="F33" s="12">
        <v>12</v>
      </c>
      <c r="G33" s="178">
        <f>E45</f>
        <v>0.94887929345830457</v>
      </c>
      <c r="H33" s="1" t="s">
        <v>42</v>
      </c>
    </row>
    <row r="34" spans="1:9" x14ac:dyDescent="0.2">
      <c r="D34" s="245">
        <f>-E36</f>
        <v>-151669.27459626895</v>
      </c>
      <c r="E34" s="244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46">
        <f>FV(D33/100,D32,D35,D34)</f>
        <v>191718.33427128696</v>
      </c>
      <c r="E36" s="245">
        <f>FV(E33/100,E32,E35,E34)</f>
        <v>151669.27459626895</v>
      </c>
      <c r="F36" s="244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798</v>
      </c>
    </row>
    <row r="38" spans="1:9" x14ac:dyDescent="0.2">
      <c r="A38" s="1" t="s">
        <v>1850</v>
      </c>
    </row>
    <row r="39" spans="1:9" x14ac:dyDescent="0.2">
      <c r="A39" s="1" t="s">
        <v>1851</v>
      </c>
    </row>
    <row r="40" spans="1:9" x14ac:dyDescent="0.2">
      <c r="A40" s="1" t="s">
        <v>1852</v>
      </c>
    </row>
    <row r="41" spans="1:9" x14ac:dyDescent="0.2">
      <c r="A41" s="1" t="s">
        <v>1853</v>
      </c>
    </row>
    <row r="42" spans="1:9" x14ac:dyDescent="0.2">
      <c r="A42" s="1" t="s">
        <v>1854</v>
      </c>
    </row>
    <row r="43" spans="1:9" x14ac:dyDescent="0.2">
      <c r="A43" s="1" t="s">
        <v>1855</v>
      </c>
      <c r="E43" s="106" t="s">
        <v>1857</v>
      </c>
      <c r="G43" s="1" t="s">
        <v>1856</v>
      </c>
    </row>
    <row r="44" spans="1:9" x14ac:dyDescent="0.2">
      <c r="E44" s="106" t="s">
        <v>1859</v>
      </c>
      <c r="G44" s="1" t="s">
        <v>1858</v>
      </c>
    </row>
    <row r="45" spans="1:9" x14ac:dyDescent="0.2">
      <c r="E45" s="243">
        <f>(1.12^(1/12)-1)*100</f>
        <v>0.94887929345830457</v>
      </c>
    </row>
    <row r="47" spans="1:9" x14ac:dyDescent="0.2">
      <c r="A47" s="1" t="s">
        <v>1860</v>
      </c>
    </row>
    <row r="48" spans="1:9" x14ac:dyDescent="0.2">
      <c r="A48" s="1" t="s">
        <v>1861</v>
      </c>
    </row>
    <row r="49" spans="1:6" x14ac:dyDescent="0.2">
      <c r="A49" s="1" t="s">
        <v>1862</v>
      </c>
    </row>
    <row r="50" spans="1:6" x14ac:dyDescent="0.2">
      <c r="A50" s="1" t="s">
        <v>1863</v>
      </c>
    </row>
    <row r="52" spans="1:6" x14ac:dyDescent="0.2">
      <c r="A52" s="1" t="s">
        <v>1865</v>
      </c>
    </row>
    <row r="53" spans="1:6" x14ac:dyDescent="0.2">
      <c r="A53" s="1" t="s">
        <v>1864</v>
      </c>
    </row>
    <row r="54" spans="1:6" x14ac:dyDescent="0.2">
      <c r="A54" s="1" t="s">
        <v>1866</v>
      </c>
    </row>
    <row r="55" spans="1:6" x14ac:dyDescent="0.2">
      <c r="A55" s="1" t="s">
        <v>1867</v>
      </c>
    </row>
    <row r="58" spans="1:6" x14ac:dyDescent="0.2">
      <c r="A58" s="1" t="s">
        <v>1868</v>
      </c>
    </row>
    <row r="59" spans="1:6" x14ac:dyDescent="0.2">
      <c r="A59" s="1" t="s">
        <v>1869</v>
      </c>
    </row>
    <row r="60" spans="1:6" x14ac:dyDescent="0.2">
      <c r="A60" s="1" t="s">
        <v>1870</v>
      </c>
    </row>
    <row r="61" spans="1:6" x14ac:dyDescent="0.2">
      <c r="A61" s="1" t="s">
        <v>1871</v>
      </c>
    </row>
    <row r="62" spans="1:6" x14ac:dyDescent="0.2">
      <c r="A62" s="1" t="s">
        <v>1872</v>
      </c>
    </row>
    <row r="63" spans="1:6" x14ac:dyDescent="0.2">
      <c r="D63" s="226">
        <f>(1.1^0.25-1)*100</f>
        <v>2.4113689084445111</v>
      </c>
      <c r="F63" s="1" t="s">
        <v>1873</v>
      </c>
    </row>
    <row r="65" spans="1:8" x14ac:dyDescent="0.2">
      <c r="A65" s="90" t="s">
        <v>589</v>
      </c>
      <c r="B65" s="90"/>
      <c r="C65" s="90"/>
      <c r="D65" s="90"/>
      <c r="E65" s="90"/>
      <c r="F65" s="90"/>
      <c r="G65" s="90"/>
      <c r="H65" s="90" t="s">
        <v>1702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1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2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90" t="s">
        <v>598</v>
      </c>
      <c r="B97" s="90"/>
      <c r="C97" s="90"/>
      <c r="D97" s="90"/>
      <c r="E97" s="90"/>
      <c r="F97" s="90"/>
      <c r="G97" s="90"/>
      <c r="H97" s="90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1874</v>
      </c>
    </row>
    <row r="105" spans="1:8" x14ac:dyDescent="0.2">
      <c r="A105" s="1" t="s">
        <v>1875</v>
      </c>
    </row>
    <row r="106" spans="1:8" x14ac:dyDescent="0.2">
      <c r="A106" s="195" t="s">
        <v>1876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3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2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90" t="s">
        <v>617</v>
      </c>
      <c r="B134" s="90"/>
      <c r="C134" s="90"/>
      <c r="D134" s="90"/>
      <c r="E134" s="90"/>
      <c r="F134" s="90"/>
      <c r="G134" s="90"/>
      <c r="H134" s="90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1888</v>
      </c>
      <c r="D157" s="12" t="s">
        <v>318</v>
      </c>
      <c r="E157" s="248" t="s">
        <v>1884</v>
      </c>
      <c r="F157" s="248" t="s">
        <v>634</v>
      </c>
      <c r="G157" s="116" t="s">
        <v>1877</v>
      </c>
    </row>
    <row r="158" spans="1:10" x14ac:dyDescent="0.2">
      <c r="C158" s="12" t="s">
        <v>595</v>
      </c>
      <c r="D158" s="12" t="s">
        <v>1881</v>
      </c>
      <c r="E158" s="248" t="s">
        <v>1885</v>
      </c>
      <c r="F158" s="248" t="s">
        <v>1881</v>
      </c>
      <c r="G158" s="116" t="s">
        <v>1878</v>
      </c>
    </row>
    <row r="159" spans="1:10" x14ac:dyDescent="0.2">
      <c r="C159" s="12" t="s">
        <v>852</v>
      </c>
      <c r="D159" s="12" t="s">
        <v>595</v>
      </c>
      <c r="E159" s="248" t="s">
        <v>1886</v>
      </c>
      <c r="F159" s="248" t="s">
        <v>1882</v>
      </c>
      <c r="G159" s="116" t="s">
        <v>1879</v>
      </c>
    </row>
    <row r="160" spans="1:10" x14ac:dyDescent="0.2">
      <c r="C160" s="12"/>
      <c r="D160" s="12" t="s">
        <v>1889</v>
      </c>
      <c r="E160" s="116" t="s">
        <v>1887</v>
      </c>
      <c r="F160" s="116" t="s">
        <v>1883</v>
      </c>
      <c r="G160" s="116" t="s">
        <v>1880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50">
        <f t="shared" ref="C165:E165" si="0">PV(C163/100,C164,C166,C167)</f>
        <v>-2027343.5010258981</v>
      </c>
      <c r="D165" s="249">
        <f t="shared" si="0"/>
        <v>-2900659.7948851213</v>
      </c>
      <c r="E165" s="249">
        <f t="shared" si="0"/>
        <v>-2819528.9773331205</v>
      </c>
      <c r="F165" s="249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2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90" t="s">
        <v>643</v>
      </c>
      <c r="B176" s="90"/>
      <c r="C176" s="90"/>
      <c r="D176" s="90"/>
      <c r="E176" s="90"/>
      <c r="F176" s="90"/>
      <c r="G176" s="90"/>
      <c r="H176" s="90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4">
        <f t="shared" ref="C195" si="3">PV(C193/100,C194,C196,C197)</f>
        <v>-1398655.68540707</v>
      </c>
      <c r="D195" s="93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2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90" t="s">
        <v>652</v>
      </c>
      <c r="B200" s="90"/>
      <c r="C200" s="90"/>
      <c r="D200" s="90"/>
      <c r="E200" s="90"/>
      <c r="F200" s="90"/>
      <c r="G200" s="90"/>
      <c r="H200" s="90"/>
    </row>
    <row r="201" spans="1:8" x14ac:dyDescent="0.2">
      <c r="A201" s="1" t="s">
        <v>653</v>
      </c>
    </row>
    <row r="202" spans="1:8" x14ac:dyDescent="0.2">
      <c r="A202" s="1" t="s">
        <v>1890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5">
        <f t="shared" ref="C233" si="5">PV(C231/100,C232,C234,C235)</f>
        <v>-358137.62890877103</v>
      </c>
      <c r="D233" s="93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2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1891</v>
      </c>
    </row>
    <row r="239" spans="1:8" x14ac:dyDescent="0.2">
      <c r="A239" s="1" t="s">
        <v>1892</v>
      </c>
    </row>
    <row r="240" spans="1:8" x14ac:dyDescent="0.2">
      <c r="A240" s="1" t="s">
        <v>1893</v>
      </c>
    </row>
    <row r="241" spans="1:8" x14ac:dyDescent="0.2">
      <c r="A241" s="1" t="s">
        <v>1894</v>
      </c>
    </row>
    <row r="242" spans="1:8" x14ac:dyDescent="0.2">
      <c r="A242" s="1" t="s">
        <v>1895</v>
      </c>
    </row>
    <row r="243" spans="1:8" x14ac:dyDescent="0.2">
      <c r="A243" s="1" t="s">
        <v>1896</v>
      </c>
    </row>
    <row r="244" spans="1:8" x14ac:dyDescent="0.2">
      <c r="A244" s="1" t="s">
        <v>1897</v>
      </c>
      <c r="G244" s="1" t="str">
        <f ca="1">_xlfn.FORMULATEXT(E231)</f>
        <v>=((1+12.6825%)^(1/12)-1)*100</v>
      </c>
      <c r="H244" s="251">
        <f>E231</f>
        <v>0.99999977493334669</v>
      </c>
    </row>
    <row r="245" spans="1:8" x14ac:dyDescent="0.2">
      <c r="A245" s="1" t="s">
        <v>1898</v>
      </c>
      <c r="E245" s="134">
        <f>E233</f>
        <v>-270967.55585912394</v>
      </c>
    </row>
    <row r="247" spans="1:8" x14ac:dyDescent="0.2">
      <c r="A247" s="1" t="s">
        <v>1899</v>
      </c>
    </row>
    <row r="248" spans="1:8" x14ac:dyDescent="0.2">
      <c r="A248" s="1" t="s">
        <v>1900</v>
      </c>
    </row>
    <row r="249" spans="1:8" x14ac:dyDescent="0.2">
      <c r="A249" s="1" t="s">
        <v>1914</v>
      </c>
    </row>
    <row r="250" spans="1:8" x14ac:dyDescent="0.2">
      <c r="A250" s="1" t="s">
        <v>1901</v>
      </c>
    </row>
    <row r="251" spans="1:8" x14ac:dyDescent="0.2">
      <c r="A251" s="1" t="s">
        <v>1902</v>
      </c>
      <c r="G251" s="1" t="s">
        <v>1903</v>
      </c>
      <c r="H251" s="226">
        <f>D231</f>
        <v>3.0301</v>
      </c>
    </row>
    <row r="252" spans="1:8" x14ac:dyDescent="0.2">
      <c r="A252" s="1" t="s">
        <v>1904</v>
      </c>
    </row>
    <row r="253" spans="1:8" x14ac:dyDescent="0.2">
      <c r="A253" s="1" t="s">
        <v>1905</v>
      </c>
    </row>
    <row r="255" spans="1:8" x14ac:dyDescent="0.2">
      <c r="A255" s="1" t="s">
        <v>1906</v>
      </c>
    </row>
    <row r="256" spans="1:8" x14ac:dyDescent="0.2">
      <c r="A256" s="1" t="s">
        <v>1907</v>
      </c>
    </row>
    <row r="257" spans="1:8" x14ac:dyDescent="0.2">
      <c r="A257" s="1" t="s">
        <v>1908</v>
      </c>
    </row>
    <row r="258" spans="1:8" x14ac:dyDescent="0.2">
      <c r="A258" s="1" t="s">
        <v>1909</v>
      </c>
    </row>
    <row r="260" spans="1:8" x14ac:dyDescent="0.2">
      <c r="G260" s="1" t="s">
        <v>1910</v>
      </c>
      <c r="H260" s="226">
        <v>5</v>
      </c>
    </row>
    <row r="261" spans="1:8" x14ac:dyDescent="0.2">
      <c r="A261" s="1" t="s">
        <v>1911</v>
      </c>
    </row>
    <row r="262" spans="1:8" x14ac:dyDescent="0.2">
      <c r="A262" s="1" t="s">
        <v>1912</v>
      </c>
    </row>
    <row r="263" spans="1:8" x14ac:dyDescent="0.2">
      <c r="E263" s="134">
        <f>C233</f>
        <v>-358137.62890877103</v>
      </c>
    </row>
    <row r="265" spans="1:8" x14ac:dyDescent="0.2">
      <c r="A265" s="1" t="s">
        <v>1913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K407"/>
  <sheetViews>
    <sheetView rightToLeft="1" topLeftCell="A350" zoomScale="242" zoomScaleNormal="250" workbookViewId="0">
      <selection activeCell="D164" sqref="D164"/>
    </sheetView>
  </sheetViews>
  <sheetFormatPr baseColWidth="10" defaultRowHeight="16" x14ac:dyDescent="0.2"/>
  <cols>
    <col min="1" max="6" width="10.83203125" style="1"/>
    <col min="7" max="7" width="11.1640625" style="1" bestFit="1" customWidth="1"/>
    <col min="8" max="16384" width="10.83203125" style="1"/>
  </cols>
  <sheetData>
    <row r="1" spans="1:9" x14ac:dyDescent="0.2">
      <c r="A1" s="1" t="s">
        <v>672</v>
      </c>
      <c r="H1" s="139">
        <v>45887</v>
      </c>
      <c r="I1" s="29"/>
    </row>
    <row r="2" spans="1:9" x14ac:dyDescent="0.2">
      <c r="H2" s="29" t="s">
        <v>1915</v>
      </c>
      <c r="I2" s="29"/>
    </row>
    <row r="3" spans="1:9" x14ac:dyDescent="0.2">
      <c r="A3" s="29" t="s">
        <v>1917</v>
      </c>
      <c r="B3" s="29"/>
      <c r="C3" s="29"/>
      <c r="D3" s="29"/>
      <c r="E3" s="29"/>
      <c r="F3" s="29"/>
      <c r="G3" s="29"/>
      <c r="H3" s="29" t="s">
        <v>1916</v>
      </c>
      <c r="I3" s="29"/>
    </row>
    <row r="4" spans="1:9" x14ac:dyDescent="0.2">
      <c r="A4" s="1" t="s">
        <v>673</v>
      </c>
    </row>
    <row r="5" spans="1:9" x14ac:dyDescent="0.2">
      <c r="A5" s="1" t="s">
        <v>1918</v>
      </c>
    </row>
    <row r="7" spans="1:9" x14ac:dyDescent="0.2">
      <c r="A7" s="96" t="s">
        <v>1919</v>
      </c>
      <c r="B7" s="96"/>
      <c r="C7" s="96"/>
      <c r="D7" s="96"/>
      <c r="E7" s="96"/>
      <c r="F7" s="96"/>
      <c r="G7" s="96"/>
      <c r="H7" s="96" t="s">
        <v>1966</v>
      </c>
    </row>
    <row r="8" spans="1:9" x14ac:dyDescent="0.2">
      <c r="A8" s="1" t="s">
        <v>674</v>
      </c>
    </row>
    <row r="9" spans="1:9" x14ac:dyDescent="0.2">
      <c r="A9" s="1" t="s">
        <v>675</v>
      </c>
    </row>
    <row r="10" spans="1:9" x14ac:dyDescent="0.2">
      <c r="A10" s="1" t="s">
        <v>676</v>
      </c>
    </row>
    <row r="12" spans="1:9" x14ac:dyDescent="0.2">
      <c r="A12" s="1" t="s">
        <v>677</v>
      </c>
    </row>
    <row r="13" spans="1:9" x14ac:dyDescent="0.2">
      <c r="A13" s="1" t="s">
        <v>678</v>
      </c>
    </row>
    <row r="15" spans="1:9" x14ac:dyDescent="0.2">
      <c r="A15" s="1" t="s">
        <v>27</v>
      </c>
    </row>
    <row r="17" spans="1:8" x14ac:dyDescent="0.2">
      <c r="A17" s="78" t="s">
        <v>677</v>
      </c>
      <c r="F17" s="75" t="s">
        <v>687</v>
      </c>
      <c r="G17" s="75"/>
    </row>
    <row r="18" spans="1:8" x14ac:dyDescent="0.2">
      <c r="A18" s="1" t="s">
        <v>679</v>
      </c>
    </row>
    <row r="19" spans="1:8" x14ac:dyDescent="0.2">
      <c r="A19" s="1" t="s">
        <v>680</v>
      </c>
    </row>
    <row r="20" spans="1:8" x14ac:dyDescent="0.2">
      <c r="A20" s="2" t="s">
        <v>681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682</v>
      </c>
    </row>
    <row r="26" spans="1:8" x14ac:dyDescent="0.2">
      <c r="H26" s="12" t="s">
        <v>683</v>
      </c>
    </row>
    <row r="30" spans="1:8" x14ac:dyDescent="0.2">
      <c r="A30" s="1" t="s">
        <v>1920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8" t="s">
        <v>1921</v>
      </c>
      <c r="E32" s="12">
        <v>36</v>
      </c>
      <c r="F32" s="1" t="s">
        <v>45</v>
      </c>
    </row>
    <row r="33" spans="1:8" x14ac:dyDescent="0.2">
      <c r="A33" s="1" t="s">
        <v>1922</v>
      </c>
      <c r="E33" s="12">
        <v>1</v>
      </c>
      <c r="F33" s="1" t="s">
        <v>42</v>
      </c>
    </row>
    <row r="34" spans="1:8" x14ac:dyDescent="0.2">
      <c r="A34" s="1" t="s">
        <v>685</v>
      </c>
      <c r="E34" s="12">
        <v>300000</v>
      </c>
      <c r="F34" s="1" t="s">
        <v>39</v>
      </c>
    </row>
    <row r="35" spans="1:8" x14ac:dyDescent="0.2">
      <c r="A35" s="1" t="s">
        <v>686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684</v>
      </c>
      <c r="E36" s="12">
        <v>0</v>
      </c>
      <c r="F36" s="1" t="s">
        <v>50</v>
      </c>
    </row>
    <row r="38" spans="1:8" x14ac:dyDescent="0.2">
      <c r="A38" s="78" t="s">
        <v>678</v>
      </c>
      <c r="G38" s="1" t="s">
        <v>692</v>
      </c>
    </row>
    <row r="39" spans="1:8" x14ac:dyDescent="0.2">
      <c r="A39" s="1" t="s">
        <v>688</v>
      </c>
    </row>
    <row r="41" spans="1:8" x14ac:dyDescent="0.2">
      <c r="A41" s="1" t="s">
        <v>1923</v>
      </c>
      <c r="F41" s="97">
        <f>9964*36</f>
        <v>358704</v>
      </c>
      <c r="H41" s="1" t="s">
        <v>689</v>
      </c>
    </row>
    <row r="42" spans="1:8" x14ac:dyDescent="0.2">
      <c r="A42" s="1" t="s">
        <v>1924</v>
      </c>
      <c r="F42" s="97">
        <f>E34</f>
        <v>300000</v>
      </c>
    </row>
    <row r="43" spans="1:8" x14ac:dyDescent="0.2">
      <c r="A43" s="1" t="s">
        <v>690</v>
      </c>
      <c r="F43" s="98">
        <f>F41-F42</f>
        <v>58704</v>
      </c>
      <c r="H43" s="1" t="s">
        <v>691</v>
      </c>
    </row>
    <row r="44" spans="1:8" ht="17" thickBot="1" x14ac:dyDescent="0.25"/>
    <row r="45" spans="1:8" x14ac:dyDescent="0.2">
      <c r="A45" s="30" t="s">
        <v>693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694</v>
      </c>
      <c r="H46" s="25"/>
    </row>
    <row r="47" spans="1:8" ht="17" thickBot="1" x14ac:dyDescent="0.25">
      <c r="A47" s="26" t="s">
        <v>695</v>
      </c>
      <c r="B47" s="27"/>
      <c r="C47" s="27"/>
      <c r="D47" s="27"/>
      <c r="E47" s="27"/>
      <c r="F47" s="27"/>
      <c r="G47" s="27"/>
      <c r="H47" s="28"/>
    </row>
    <row r="49" spans="1:9" x14ac:dyDescent="0.2">
      <c r="A49" s="96" t="s">
        <v>696</v>
      </c>
      <c r="B49" s="96"/>
      <c r="C49" s="96"/>
      <c r="D49" s="96"/>
      <c r="E49" s="96"/>
      <c r="F49" s="96"/>
      <c r="G49" s="96"/>
      <c r="H49" s="96" t="s">
        <v>1966</v>
      </c>
    </row>
    <row r="50" spans="1:9" x14ac:dyDescent="0.2">
      <c r="A50" s="1" t="s">
        <v>697</v>
      </c>
    </row>
    <row r="51" spans="1:9" x14ac:dyDescent="0.2">
      <c r="A51" s="1" t="s">
        <v>698</v>
      </c>
    </row>
    <row r="52" spans="1:9" x14ac:dyDescent="0.2">
      <c r="A52" s="1" t="s">
        <v>699</v>
      </c>
    </row>
    <row r="53" spans="1:9" x14ac:dyDescent="0.2">
      <c r="A53" s="1" t="s">
        <v>700</v>
      </c>
    </row>
    <row r="55" spans="1:9" x14ac:dyDescent="0.2">
      <c r="A55" s="1" t="s">
        <v>701</v>
      </c>
      <c r="E55" s="1" t="s">
        <v>706</v>
      </c>
      <c r="G55" s="1" t="s">
        <v>704</v>
      </c>
    </row>
    <row r="57" spans="1:9" x14ac:dyDescent="0.2">
      <c r="E57" s="12" t="s">
        <v>179</v>
      </c>
      <c r="F57" s="1" t="s">
        <v>178</v>
      </c>
    </row>
    <row r="58" spans="1:9" x14ac:dyDescent="0.2">
      <c r="A58" s="1" t="s">
        <v>702</v>
      </c>
      <c r="E58" s="12">
        <f>4*12</f>
        <v>48</v>
      </c>
      <c r="F58" s="1" t="s">
        <v>45</v>
      </c>
    </row>
    <row r="59" spans="1:9" x14ac:dyDescent="0.2">
      <c r="A59" s="1" t="s">
        <v>703</v>
      </c>
      <c r="E59" s="12">
        <v>1</v>
      </c>
      <c r="F59" s="1" t="s">
        <v>42</v>
      </c>
    </row>
    <row r="60" spans="1:9" x14ac:dyDescent="0.2">
      <c r="A60" s="1" t="s">
        <v>685</v>
      </c>
      <c r="E60" s="12">
        <v>1000000</v>
      </c>
      <c r="F60" s="1" t="s">
        <v>39</v>
      </c>
    </row>
    <row r="61" spans="1:9" x14ac:dyDescent="0.2">
      <c r="A61" s="1" t="s">
        <v>686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9" x14ac:dyDescent="0.2">
      <c r="A62" s="1" t="s">
        <v>705</v>
      </c>
      <c r="E62" s="12">
        <v>-300000</v>
      </c>
      <c r="F62" s="1" t="s">
        <v>50</v>
      </c>
    </row>
    <row r="64" spans="1:9" x14ac:dyDescent="0.2">
      <c r="A64" s="96" t="s">
        <v>707</v>
      </c>
      <c r="B64" s="96"/>
      <c r="C64" s="96"/>
      <c r="D64" s="96"/>
      <c r="E64" s="96"/>
      <c r="F64" s="96"/>
      <c r="G64" s="96"/>
      <c r="H64" s="96" t="s">
        <v>1967</v>
      </c>
      <c r="I64" s="14" t="s">
        <v>1926</v>
      </c>
    </row>
    <row r="65" spans="1:9" x14ac:dyDescent="0.2">
      <c r="A65" s="1" t="s">
        <v>708</v>
      </c>
    </row>
    <row r="66" spans="1:9" x14ac:dyDescent="0.2">
      <c r="A66" s="1" t="s">
        <v>709</v>
      </c>
    </row>
    <row r="67" spans="1:9" x14ac:dyDescent="0.2">
      <c r="A67" s="1" t="s">
        <v>1927</v>
      </c>
    </row>
    <row r="68" spans="1:9" x14ac:dyDescent="0.2">
      <c r="A68" s="1" t="s">
        <v>710</v>
      </c>
    </row>
    <row r="69" spans="1:9" x14ac:dyDescent="0.2">
      <c r="I69" s="1" t="s">
        <v>1396</v>
      </c>
    </row>
    <row r="70" spans="1:9" x14ac:dyDescent="0.2">
      <c r="A70" s="1" t="s">
        <v>711</v>
      </c>
      <c r="I70" s="1" t="s">
        <v>1929</v>
      </c>
    </row>
    <row r="71" spans="1:9" x14ac:dyDescent="0.2">
      <c r="A71" s="1" t="s">
        <v>1928</v>
      </c>
    </row>
    <row r="72" spans="1:9" x14ac:dyDescent="0.2">
      <c r="A72" s="1" t="s">
        <v>713</v>
      </c>
    </row>
    <row r="74" spans="1:9" x14ac:dyDescent="0.2">
      <c r="A74" s="1" t="s">
        <v>27</v>
      </c>
    </row>
    <row r="76" spans="1:9" x14ac:dyDescent="0.2">
      <c r="A76" s="78" t="s">
        <v>712</v>
      </c>
      <c r="G76" s="1" t="s">
        <v>731</v>
      </c>
    </row>
    <row r="77" spans="1:9" x14ac:dyDescent="0.2">
      <c r="E77" s="12" t="s">
        <v>179</v>
      </c>
      <c r="F77" s="1" t="s">
        <v>178</v>
      </c>
    </row>
    <row r="78" spans="1:9" x14ac:dyDescent="0.2">
      <c r="E78" s="12">
        <f>3*12</f>
        <v>36</v>
      </c>
      <c r="F78" s="1" t="s">
        <v>45</v>
      </c>
      <c r="G78" s="1" t="s">
        <v>1930</v>
      </c>
    </row>
    <row r="79" spans="1:9" x14ac:dyDescent="0.2">
      <c r="A79" s="254">
        <f>((1+12%)^(1/12)-1)*100</f>
        <v>0.94887929345830457</v>
      </c>
      <c r="E79" s="253">
        <v>0.94889999999999997</v>
      </c>
      <c r="F79" s="1" t="s">
        <v>42</v>
      </c>
      <c r="G79" s="1" t="s">
        <v>1931</v>
      </c>
    </row>
    <row r="80" spans="1:9" x14ac:dyDescent="0.2">
      <c r="E80" s="12">
        <v>30000</v>
      </c>
      <c r="F80" s="1" t="s">
        <v>39</v>
      </c>
      <c r="G80" s="1" t="s">
        <v>1932</v>
      </c>
    </row>
    <row r="81" spans="3:8" x14ac:dyDescent="0.2">
      <c r="E81" s="80">
        <f>PMT(E79/100,E78,E80,E82)</f>
        <v>-987.66585807718332</v>
      </c>
      <c r="F81" s="1" t="s">
        <v>47</v>
      </c>
      <c r="G81" s="40" t="s">
        <v>51</v>
      </c>
      <c r="H81" s="1" t="s">
        <v>1934</v>
      </c>
    </row>
    <row r="82" spans="3:8" x14ac:dyDescent="0.2">
      <c r="E82" s="12">
        <v>0</v>
      </c>
      <c r="F82" s="1" t="s">
        <v>50</v>
      </c>
      <c r="G82" s="1" t="s">
        <v>1933</v>
      </c>
    </row>
    <row r="85" spans="3:8" x14ac:dyDescent="0.2">
      <c r="D85" s="1" t="s">
        <v>714</v>
      </c>
    </row>
    <row r="86" spans="3:8" x14ac:dyDescent="0.2">
      <c r="D86" s="1" t="s">
        <v>715</v>
      </c>
    </row>
    <row r="87" spans="3:8" x14ac:dyDescent="0.2">
      <c r="D87" s="1" t="s">
        <v>716</v>
      </c>
    </row>
    <row r="88" spans="3:8" x14ac:dyDescent="0.2">
      <c r="D88" s="1" t="s">
        <v>717</v>
      </c>
    </row>
    <row r="89" spans="3:8" x14ac:dyDescent="0.2">
      <c r="D89" s="1" t="s">
        <v>718</v>
      </c>
    </row>
    <row r="90" spans="3:8" x14ac:dyDescent="0.2">
      <c r="D90" s="1" t="s">
        <v>719</v>
      </c>
    </row>
    <row r="91" spans="3:8" x14ac:dyDescent="0.2">
      <c r="D91" s="1" t="s">
        <v>720</v>
      </c>
    </row>
    <row r="95" spans="3:8" x14ac:dyDescent="0.2">
      <c r="F95" s="1" t="s">
        <v>721</v>
      </c>
    </row>
    <row r="96" spans="3:8" x14ac:dyDescent="0.2">
      <c r="C96" s="1" t="s">
        <v>724</v>
      </c>
      <c r="F96" s="1" t="s">
        <v>722</v>
      </c>
    </row>
    <row r="97" spans="1:7" x14ac:dyDescent="0.2">
      <c r="C97" s="1" t="s">
        <v>725</v>
      </c>
    </row>
    <row r="98" spans="1:7" x14ac:dyDescent="0.2">
      <c r="C98" s="1" t="s">
        <v>726</v>
      </c>
      <c r="E98" s="1" t="s">
        <v>723</v>
      </c>
    </row>
    <row r="99" spans="1:7" x14ac:dyDescent="0.2">
      <c r="C99" s="1" t="s">
        <v>727</v>
      </c>
    </row>
    <row r="101" spans="1:7" x14ac:dyDescent="0.2">
      <c r="A101" s="1" t="s">
        <v>728</v>
      </c>
    </row>
    <row r="103" spans="1:7" x14ac:dyDescent="0.2">
      <c r="D103" s="99">
        <f>(1+12%)^(1/12)-1</f>
        <v>9.4887929345830457E-3</v>
      </c>
    </row>
    <row r="105" spans="1:7" x14ac:dyDescent="0.2">
      <c r="A105" s="1" t="s">
        <v>512</v>
      </c>
      <c r="F105" s="1" t="s">
        <v>729</v>
      </c>
    </row>
    <row r="106" spans="1:7" x14ac:dyDescent="0.2">
      <c r="F106" s="1" t="s">
        <v>730</v>
      </c>
    </row>
    <row r="108" spans="1:7" x14ac:dyDescent="0.2">
      <c r="A108" s="78" t="s">
        <v>1935</v>
      </c>
      <c r="G108" s="1" t="s">
        <v>737</v>
      </c>
    </row>
    <row r="109" spans="1:7" x14ac:dyDescent="0.2">
      <c r="E109" s="12" t="s">
        <v>179</v>
      </c>
      <c r="F109" s="1" t="s">
        <v>178</v>
      </c>
    </row>
    <row r="110" spans="1:7" x14ac:dyDescent="0.2">
      <c r="A110" s="1" t="s">
        <v>1936</v>
      </c>
      <c r="E110" s="12">
        <f>3*12</f>
        <v>36</v>
      </c>
      <c r="F110" s="1" t="s">
        <v>45</v>
      </c>
      <c r="G110" s="1" t="s">
        <v>1940</v>
      </c>
    </row>
    <row r="111" spans="1:7" x14ac:dyDescent="0.2">
      <c r="B111" s="96"/>
      <c r="C111" s="96" t="s">
        <v>1937</v>
      </c>
      <c r="E111" s="255">
        <v>1</v>
      </c>
      <c r="F111" s="1" t="s">
        <v>42</v>
      </c>
      <c r="G111" s="1" t="s">
        <v>1943</v>
      </c>
    </row>
    <row r="112" spans="1:7" x14ac:dyDescent="0.2">
      <c r="A112" s="1" t="s">
        <v>1938</v>
      </c>
      <c r="E112" s="70">
        <v>30000</v>
      </c>
      <c r="F112" s="1" t="s">
        <v>39</v>
      </c>
      <c r="G112" s="1" t="s">
        <v>1941</v>
      </c>
    </row>
    <row r="113" spans="1:8" x14ac:dyDescent="0.2">
      <c r="A113" s="1" t="s">
        <v>1939</v>
      </c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  <c r="G114" s="1" t="s">
        <v>1942</v>
      </c>
    </row>
    <row r="117" spans="1:8" x14ac:dyDescent="0.2">
      <c r="D117" s="1" t="s">
        <v>732</v>
      </c>
    </row>
    <row r="118" spans="1:8" x14ac:dyDescent="0.2">
      <c r="D118" s="1" t="s">
        <v>736</v>
      </c>
    </row>
    <row r="119" spans="1:8" x14ac:dyDescent="0.2">
      <c r="D119" s="1" t="s">
        <v>733</v>
      </c>
    </row>
    <row r="120" spans="1:8" x14ac:dyDescent="0.2">
      <c r="D120" s="1" t="s">
        <v>734</v>
      </c>
    </row>
    <row r="121" spans="1:8" x14ac:dyDescent="0.2">
      <c r="F121" s="1" t="s">
        <v>735</v>
      </c>
    </row>
    <row r="123" spans="1:8" x14ac:dyDescent="0.2">
      <c r="A123" s="96" t="s">
        <v>738</v>
      </c>
      <c r="B123" s="96"/>
      <c r="C123" s="96"/>
      <c r="D123" s="96"/>
      <c r="E123" s="96"/>
      <c r="F123" s="96"/>
      <c r="G123" s="96"/>
      <c r="H123" s="96"/>
    </row>
    <row r="125" spans="1:8" x14ac:dyDescent="0.2">
      <c r="D125" s="1" t="s">
        <v>739</v>
      </c>
    </row>
    <row r="126" spans="1:8" x14ac:dyDescent="0.2">
      <c r="D126" s="1" t="s">
        <v>1948</v>
      </c>
    </row>
    <row r="127" spans="1:8" x14ac:dyDescent="0.2">
      <c r="D127" s="1" t="s">
        <v>740</v>
      </c>
    </row>
    <row r="132" spans="1:8" x14ac:dyDescent="0.2">
      <c r="D132" s="1" t="s">
        <v>1944</v>
      </c>
    </row>
    <row r="134" spans="1:8" x14ac:dyDescent="0.2">
      <c r="D134" s="1" t="s">
        <v>741</v>
      </c>
      <c r="G134" s="1" t="s">
        <v>177</v>
      </c>
    </row>
    <row r="135" spans="1:8" x14ac:dyDescent="0.2">
      <c r="F135" s="12" t="s">
        <v>179</v>
      </c>
      <c r="G135" s="1" t="s">
        <v>178</v>
      </c>
    </row>
    <row r="136" spans="1:8" x14ac:dyDescent="0.2">
      <c r="D136" s="1" t="s">
        <v>1945</v>
      </c>
      <c r="F136" s="12">
        <v>36</v>
      </c>
      <c r="G136" s="1" t="s">
        <v>45</v>
      </c>
    </row>
    <row r="137" spans="1:8" ht="17" thickBot="1" x14ac:dyDescent="0.25">
      <c r="F137" s="100">
        <f>RATE(F136,F139,F138,F140)</f>
        <v>1.5430128008203127E-4</v>
      </c>
      <c r="G137" s="1" t="s">
        <v>42</v>
      </c>
      <c r="H137" s="40" t="s">
        <v>51</v>
      </c>
    </row>
    <row r="138" spans="1:8" ht="17" thickBot="1" x14ac:dyDescent="0.25">
      <c r="D138" s="102" t="s">
        <v>751</v>
      </c>
      <c r="E138" s="6"/>
      <c r="F138" s="103">
        <v>7000</v>
      </c>
      <c r="G138" s="7" t="s">
        <v>39</v>
      </c>
    </row>
    <row r="139" spans="1:8" x14ac:dyDescent="0.2">
      <c r="D139" s="1" t="s">
        <v>1946</v>
      </c>
      <c r="F139" s="12">
        <v>-195</v>
      </c>
      <c r="G139" s="1" t="s">
        <v>47</v>
      </c>
    </row>
    <row r="140" spans="1:8" x14ac:dyDescent="0.2">
      <c r="D140" s="1" t="s">
        <v>1947</v>
      </c>
      <c r="F140" s="12">
        <v>0</v>
      </c>
      <c r="G140" s="1" t="s">
        <v>50</v>
      </c>
    </row>
    <row r="141" spans="1:8" x14ac:dyDescent="0.2">
      <c r="F141" s="12"/>
    </row>
    <row r="142" spans="1:8" x14ac:dyDescent="0.2">
      <c r="A142" s="1" t="s">
        <v>1949</v>
      </c>
      <c r="F142" s="12"/>
    </row>
    <row r="143" spans="1:8" x14ac:dyDescent="0.2">
      <c r="D143" s="1">
        <f>((1+F137)^12-1)*100</f>
        <v>0.18531875559002486</v>
      </c>
      <c r="F143" s="12"/>
      <c r="G143" s="1" t="s">
        <v>1950</v>
      </c>
    </row>
    <row r="144" spans="1:8" x14ac:dyDescent="0.2">
      <c r="F144" s="12"/>
    </row>
    <row r="145" spans="1:8" x14ac:dyDescent="0.2">
      <c r="A145" s="1" t="s">
        <v>1951</v>
      </c>
      <c r="F145" s="12"/>
    </row>
    <row r="146" spans="1:8" x14ac:dyDescent="0.2">
      <c r="A146" s="1" t="s">
        <v>1952</v>
      </c>
      <c r="F146" s="12"/>
    </row>
    <row r="147" spans="1:8" x14ac:dyDescent="0.2">
      <c r="A147" s="1" t="s">
        <v>1953</v>
      </c>
      <c r="F147" s="12"/>
    </row>
    <row r="148" spans="1:8" x14ac:dyDescent="0.2">
      <c r="A148" s="1" t="s">
        <v>1954</v>
      </c>
    </row>
    <row r="149" spans="1:8" x14ac:dyDescent="0.2">
      <c r="A149" s="1" t="s">
        <v>1955</v>
      </c>
    </row>
    <row r="150" spans="1:8" x14ac:dyDescent="0.2">
      <c r="A150" s="1" t="s">
        <v>1956</v>
      </c>
    </row>
    <row r="152" spans="1:8" x14ac:dyDescent="0.2">
      <c r="D152" s="1" t="s">
        <v>742</v>
      </c>
      <c r="G152" s="1" t="s">
        <v>177</v>
      </c>
    </row>
    <row r="153" spans="1:8" x14ac:dyDescent="0.2">
      <c r="F153" s="12" t="s">
        <v>179</v>
      </c>
      <c r="G153" s="1" t="s">
        <v>178</v>
      </c>
    </row>
    <row r="154" spans="1:8" x14ac:dyDescent="0.2">
      <c r="D154" s="1" t="s">
        <v>1957</v>
      </c>
      <c r="F154" s="12">
        <v>36</v>
      </c>
      <c r="G154" s="1" t="s">
        <v>45</v>
      </c>
    </row>
    <row r="155" spans="1:8" ht="17" thickBot="1" x14ac:dyDescent="0.25">
      <c r="D155" s="1" t="s">
        <v>1961</v>
      </c>
      <c r="F155" s="100">
        <f>RATE(F154,F157,F156,F158)</f>
        <v>1.2765291363633311E-2</v>
      </c>
      <c r="G155" s="1" t="s">
        <v>42</v>
      </c>
      <c r="H155" s="40" t="s">
        <v>1960</v>
      </c>
    </row>
    <row r="156" spans="1:8" ht="17" thickBot="1" x14ac:dyDescent="0.25">
      <c r="D156" s="256" t="s">
        <v>1959</v>
      </c>
      <c r="E156" s="257"/>
      <c r="F156" s="258">
        <v>5600</v>
      </c>
      <c r="G156" s="259" t="s">
        <v>39</v>
      </c>
    </row>
    <row r="157" spans="1:8" x14ac:dyDescent="0.2">
      <c r="D157" s="1" t="s">
        <v>1958</v>
      </c>
      <c r="F157" s="12">
        <v>-195</v>
      </c>
      <c r="G157" s="1" t="s">
        <v>47</v>
      </c>
    </row>
    <row r="158" spans="1:8" x14ac:dyDescent="0.2">
      <c r="F158" s="12">
        <v>0</v>
      </c>
      <c r="G158" s="1" t="s">
        <v>50</v>
      </c>
    </row>
    <row r="160" spans="1:8" x14ac:dyDescent="0.2">
      <c r="A160" s="1" t="s">
        <v>743</v>
      </c>
    </row>
    <row r="161" spans="1:8" x14ac:dyDescent="0.2">
      <c r="A161" s="1" t="s">
        <v>744</v>
      </c>
    </row>
    <row r="162" spans="1:8" x14ac:dyDescent="0.2">
      <c r="D162" s="101">
        <f>(1+F155)^12-1</f>
        <v>0.1644094190907428</v>
      </c>
      <c r="F162" s="1" t="s">
        <v>745</v>
      </c>
    </row>
    <row r="164" spans="1:8" x14ac:dyDescent="0.2">
      <c r="A164" s="2" t="s">
        <v>746</v>
      </c>
    </row>
    <row r="165" spans="1:8" x14ac:dyDescent="0.2">
      <c r="A165" s="1" t="s">
        <v>747</v>
      </c>
    </row>
    <row r="166" spans="1:8" x14ac:dyDescent="0.2">
      <c r="A166" s="1" t="s">
        <v>748</v>
      </c>
    </row>
    <row r="167" spans="1:8" x14ac:dyDescent="0.2">
      <c r="A167" s="1" t="s">
        <v>749</v>
      </c>
    </row>
    <row r="168" spans="1:8" x14ac:dyDescent="0.2">
      <c r="A168" s="1" t="s">
        <v>750</v>
      </c>
    </row>
    <row r="170" spans="1:8" x14ac:dyDescent="0.2">
      <c r="A170" s="96" t="s">
        <v>1962</v>
      </c>
      <c r="B170" s="96"/>
      <c r="C170" s="96"/>
      <c r="D170" s="96"/>
      <c r="E170" s="96"/>
      <c r="F170" s="96"/>
      <c r="G170" s="96"/>
      <c r="H170" s="96"/>
    </row>
    <row r="171" spans="1:8" x14ac:dyDescent="0.2">
      <c r="A171" s="1" t="s">
        <v>752</v>
      </c>
    </row>
    <row r="172" spans="1:8" x14ac:dyDescent="0.2">
      <c r="A172" s="1" t="s">
        <v>753</v>
      </c>
    </row>
    <row r="173" spans="1:8" x14ac:dyDescent="0.2">
      <c r="A173" s="1" t="s">
        <v>1963</v>
      </c>
    </row>
    <row r="174" spans="1:8" x14ac:dyDescent="0.2">
      <c r="A174" s="1" t="s">
        <v>765</v>
      </c>
    </row>
    <row r="176" spans="1:8" x14ac:dyDescent="0.2">
      <c r="E176" s="12"/>
      <c r="F176" s="1" t="s">
        <v>177</v>
      </c>
    </row>
    <row r="177" spans="1:8" x14ac:dyDescent="0.2">
      <c r="E177" s="12" t="s">
        <v>179</v>
      </c>
      <c r="F177" s="1" t="s">
        <v>178</v>
      </c>
    </row>
    <row r="178" spans="1:8" x14ac:dyDescent="0.2">
      <c r="A178" s="1" t="s">
        <v>754</v>
      </c>
      <c r="E178" s="12">
        <v>60</v>
      </c>
      <c r="F178" s="1" t="s">
        <v>45</v>
      </c>
    </row>
    <row r="179" spans="1:8" x14ac:dyDescent="0.2">
      <c r="A179" s="1" t="s">
        <v>764</v>
      </c>
      <c r="E179" s="104">
        <f>RATE(E178,E181,E180,E182)</f>
        <v>3.521358599279279E-3</v>
      </c>
      <c r="F179" s="1" t="s">
        <v>42</v>
      </c>
      <c r="G179" s="1" t="s">
        <v>51</v>
      </c>
    </row>
    <row r="180" spans="1:8" x14ac:dyDescent="0.2">
      <c r="A180" s="1" t="s">
        <v>755</v>
      </c>
      <c r="E180" s="12">
        <v>540000</v>
      </c>
      <c r="F180" s="1" t="s">
        <v>39</v>
      </c>
    </row>
    <row r="181" spans="1:8" x14ac:dyDescent="0.2">
      <c r="A181" s="1" t="s">
        <v>557</v>
      </c>
      <c r="E181" s="12">
        <v>-10000</v>
      </c>
      <c r="F181" s="1" t="s">
        <v>47</v>
      </c>
    </row>
    <row r="182" spans="1:8" x14ac:dyDescent="0.2">
      <c r="A182" s="1" t="s">
        <v>756</v>
      </c>
      <c r="E182" s="12">
        <v>0</v>
      </c>
      <c r="F182" s="1" t="s">
        <v>50</v>
      </c>
    </row>
    <row r="186" spans="1:8" x14ac:dyDescent="0.2">
      <c r="D186" s="2" t="s">
        <v>757</v>
      </c>
      <c r="E186" s="2"/>
      <c r="F186" s="2"/>
      <c r="G186" s="2"/>
      <c r="H186" s="2"/>
    </row>
    <row r="187" spans="1:8" x14ac:dyDescent="0.2">
      <c r="D187" s="2" t="s">
        <v>758</v>
      </c>
      <c r="E187" s="2"/>
      <c r="F187" s="2"/>
      <c r="G187" s="2"/>
      <c r="H187" s="2"/>
    </row>
    <row r="188" spans="1:8" x14ac:dyDescent="0.2">
      <c r="D188" s="2" t="s">
        <v>759</v>
      </c>
      <c r="E188" s="2"/>
      <c r="F188" s="2"/>
      <c r="G188" s="2"/>
      <c r="H188" s="2"/>
    </row>
    <row r="189" spans="1:8" x14ac:dyDescent="0.2">
      <c r="D189" s="1" t="s">
        <v>760</v>
      </c>
    </row>
    <row r="190" spans="1:8" x14ac:dyDescent="0.2">
      <c r="D190" s="1" t="s">
        <v>761</v>
      </c>
      <c r="G190" s="1" t="s">
        <v>762</v>
      </c>
    </row>
    <row r="191" spans="1:8" x14ac:dyDescent="0.2">
      <c r="D191" s="1" t="s">
        <v>763</v>
      </c>
    </row>
    <row r="193" spans="1:8" ht="17" thickBot="1" x14ac:dyDescent="0.25">
      <c r="D193" s="1" t="s">
        <v>766</v>
      </c>
    </row>
    <row r="194" spans="1:8" ht="17" thickBot="1" x14ac:dyDescent="0.25">
      <c r="A194" s="102" t="s">
        <v>767</v>
      </c>
      <c r="B194" s="6"/>
      <c r="C194" s="6"/>
      <c r="D194" s="105">
        <f>(1+E179)^12-1</f>
        <v>4.3084383754335986E-2</v>
      </c>
      <c r="F194" s="1" t="s">
        <v>1964</v>
      </c>
    </row>
    <row r="197" spans="1:8" x14ac:dyDescent="0.2">
      <c r="F197" s="1" t="s">
        <v>768</v>
      </c>
    </row>
    <row r="199" spans="1:8" x14ac:dyDescent="0.2">
      <c r="E199" s="1" t="s">
        <v>769</v>
      </c>
    </row>
    <row r="201" spans="1:8" x14ac:dyDescent="0.2">
      <c r="A201" s="96" t="s">
        <v>770</v>
      </c>
      <c r="B201" s="96"/>
      <c r="C201" s="96"/>
      <c r="D201" s="96"/>
      <c r="E201" s="96"/>
      <c r="F201" s="96"/>
      <c r="G201" s="260" t="s">
        <v>1702</v>
      </c>
      <c r="H201" s="96"/>
    </row>
    <row r="203" spans="1:8" x14ac:dyDescent="0.2">
      <c r="A203" s="1" t="s">
        <v>771</v>
      </c>
    </row>
    <row r="204" spans="1:8" x14ac:dyDescent="0.2">
      <c r="A204" s="1" t="s">
        <v>772</v>
      </c>
    </row>
    <row r="205" spans="1:8" x14ac:dyDescent="0.2">
      <c r="A205" s="1" t="s">
        <v>773</v>
      </c>
    </row>
    <row r="206" spans="1:8" x14ac:dyDescent="0.2">
      <c r="A206" s="1" t="s">
        <v>774</v>
      </c>
    </row>
    <row r="207" spans="1:8" x14ac:dyDescent="0.2">
      <c r="A207" s="1" t="s">
        <v>775</v>
      </c>
    </row>
    <row r="208" spans="1:8" x14ac:dyDescent="0.2">
      <c r="A208" s="1" t="s">
        <v>776</v>
      </c>
    </row>
    <row r="209" spans="1:7" x14ac:dyDescent="0.2">
      <c r="A209" s="1" t="s">
        <v>777</v>
      </c>
    </row>
    <row r="211" spans="1:7" x14ac:dyDescent="0.2">
      <c r="A211" s="1" t="s">
        <v>778</v>
      </c>
    </row>
    <row r="213" spans="1:7" x14ac:dyDescent="0.2">
      <c r="E213" s="12"/>
      <c r="F213" s="1" t="s">
        <v>177</v>
      </c>
    </row>
    <row r="214" spans="1:7" x14ac:dyDescent="0.2">
      <c r="E214" s="12" t="s">
        <v>179</v>
      </c>
      <c r="F214" s="1" t="s">
        <v>178</v>
      </c>
    </row>
    <row r="215" spans="1:7" x14ac:dyDescent="0.2">
      <c r="E215" s="12">
        <v>10</v>
      </c>
      <c r="F215" s="1" t="s">
        <v>45</v>
      </c>
    </row>
    <row r="216" spans="1:7" x14ac:dyDescent="0.2">
      <c r="A216" s="1" t="s">
        <v>780</v>
      </c>
      <c r="E216" s="104">
        <f>RATE(E215,E218,E217,E219)</f>
        <v>9.4364540078863898E-3</v>
      </c>
      <c r="F216" s="1" t="s">
        <v>42</v>
      </c>
      <c r="G216" s="1" t="s">
        <v>51</v>
      </c>
    </row>
    <row r="217" spans="1:7" x14ac:dyDescent="0.2">
      <c r="D217" s="106" t="s">
        <v>779</v>
      </c>
      <c r="E217" s="12">
        <f>500000*0.95</f>
        <v>475000</v>
      </c>
      <c r="F217" s="1" t="s">
        <v>39</v>
      </c>
    </row>
    <row r="218" spans="1:7" x14ac:dyDescent="0.2">
      <c r="E218" s="12">
        <v>-50000</v>
      </c>
      <c r="F218" s="1" t="s">
        <v>47</v>
      </c>
    </row>
    <row r="219" spans="1:7" x14ac:dyDescent="0.2">
      <c r="E219" s="12">
        <v>0</v>
      </c>
      <c r="F219" s="1" t="s">
        <v>50</v>
      </c>
    </row>
    <row r="221" spans="1:7" x14ac:dyDescent="0.2">
      <c r="A221" s="1" t="s">
        <v>781</v>
      </c>
    </row>
    <row r="223" spans="1:7" x14ac:dyDescent="0.2">
      <c r="C223" s="107">
        <f>(1+E216)^4-1</f>
        <v>3.8283465085318324E-2</v>
      </c>
      <c r="E223" s="1" t="s">
        <v>782</v>
      </c>
    </row>
    <row r="226" spans="1:8" x14ac:dyDescent="0.2">
      <c r="C226" s="1" t="s">
        <v>785</v>
      </c>
      <c r="E226" s="1" t="s">
        <v>783</v>
      </c>
    </row>
    <row r="227" spans="1:8" x14ac:dyDescent="0.2">
      <c r="C227" s="1" t="s">
        <v>786</v>
      </c>
      <c r="E227" s="1" t="s">
        <v>784</v>
      </c>
    </row>
    <row r="228" spans="1:8" x14ac:dyDescent="0.2">
      <c r="C228" s="1" t="s">
        <v>787</v>
      </c>
    </row>
    <row r="230" spans="1:8" x14ac:dyDescent="0.2">
      <c r="A230" s="96" t="s">
        <v>788</v>
      </c>
      <c r="B230" s="96"/>
      <c r="C230" s="96"/>
      <c r="D230" s="96"/>
      <c r="E230" s="96"/>
      <c r="F230" s="96"/>
      <c r="G230" s="260" t="s">
        <v>1702</v>
      </c>
      <c r="H230" s="96"/>
    </row>
    <row r="231" spans="1:8" x14ac:dyDescent="0.2">
      <c r="A231" s="1" t="s">
        <v>789</v>
      </c>
    </row>
    <row r="232" spans="1:8" x14ac:dyDescent="0.2">
      <c r="A232" s="1" t="s">
        <v>790</v>
      </c>
    </row>
    <row r="233" spans="1:8" x14ac:dyDescent="0.2">
      <c r="A233" s="1" t="s">
        <v>791</v>
      </c>
    </row>
    <row r="234" spans="1:8" x14ac:dyDescent="0.2">
      <c r="A234" s="1" t="s">
        <v>792</v>
      </c>
    </row>
    <row r="235" spans="1:8" x14ac:dyDescent="0.2">
      <c r="A235" s="1" t="s">
        <v>793</v>
      </c>
    </row>
    <row r="236" spans="1:8" x14ac:dyDescent="0.2">
      <c r="A236" s="1" t="s">
        <v>794</v>
      </c>
    </row>
    <row r="238" spans="1:8" x14ac:dyDescent="0.2">
      <c r="A238" s="1" t="s">
        <v>795</v>
      </c>
    </row>
    <row r="240" spans="1:8" x14ac:dyDescent="0.2">
      <c r="B240" s="12" t="s">
        <v>291</v>
      </c>
      <c r="C240" s="1" t="s">
        <v>177</v>
      </c>
      <c r="F240" s="12" t="s">
        <v>290</v>
      </c>
      <c r="G240" s="1" t="s">
        <v>177</v>
      </c>
    </row>
    <row r="241" spans="1:8" x14ac:dyDescent="0.2">
      <c r="B241" s="12" t="s">
        <v>179</v>
      </c>
      <c r="C241" s="1" t="s">
        <v>178</v>
      </c>
      <c r="F241" s="12" t="s">
        <v>179</v>
      </c>
      <c r="G241" s="1" t="s">
        <v>178</v>
      </c>
    </row>
    <row r="242" spans="1:8" x14ac:dyDescent="0.2">
      <c r="B242" s="12">
        <v>20</v>
      </c>
      <c r="C242" s="1" t="s">
        <v>45</v>
      </c>
      <c r="F242" s="12">
        <v>10</v>
      </c>
      <c r="G242" s="1" t="s">
        <v>45</v>
      </c>
    </row>
    <row r="243" spans="1:8" x14ac:dyDescent="0.2">
      <c r="B243" s="104">
        <f>RATE(B242,B245,B244,B246)</f>
        <v>1.1971635038702614E-2</v>
      </c>
      <c r="C243" s="1" t="s">
        <v>42</v>
      </c>
      <c r="D243" s="1" t="s">
        <v>51</v>
      </c>
      <c r="F243" s="104">
        <f>RATE(F242,F245,F244,F246)</f>
        <v>1.5454877885589706E-2</v>
      </c>
      <c r="G243" s="1" t="s">
        <v>42</v>
      </c>
      <c r="H243" s="1" t="s">
        <v>51</v>
      </c>
    </row>
    <row r="244" spans="1:8" x14ac:dyDescent="0.2">
      <c r="B244" s="12">
        <v>460000</v>
      </c>
      <c r="C244" s="1" t="s">
        <v>39</v>
      </c>
      <c r="F244" s="12">
        <v>460000</v>
      </c>
      <c r="G244" s="1" t="s">
        <v>39</v>
      </c>
    </row>
    <row r="245" spans="1:8" x14ac:dyDescent="0.2">
      <c r="B245" s="12">
        <v>-26000</v>
      </c>
      <c r="C245" s="1" t="s">
        <v>47</v>
      </c>
      <c r="F245" s="12">
        <v>-50000</v>
      </c>
      <c r="G245" s="1" t="s">
        <v>47</v>
      </c>
    </row>
    <row r="246" spans="1:8" x14ac:dyDescent="0.2">
      <c r="B246" s="12">
        <v>0</v>
      </c>
      <c r="C246" s="1" t="s">
        <v>50</v>
      </c>
      <c r="F246" s="12">
        <v>0</v>
      </c>
      <c r="G246" s="1" t="s">
        <v>50</v>
      </c>
    </row>
    <row r="248" spans="1:8" x14ac:dyDescent="0.2">
      <c r="A248" s="1" t="s">
        <v>796</v>
      </c>
    </row>
    <row r="249" spans="1:8" x14ac:dyDescent="0.2">
      <c r="B249" s="108">
        <f>(1+1.19716%)^12-1</f>
        <v>0.15350609987751351</v>
      </c>
      <c r="F249" s="108">
        <f>(1+1.54549%)^12-1</f>
        <v>0.20206423307819454</v>
      </c>
    </row>
    <row r="251" spans="1:8" ht="18" x14ac:dyDescent="0.2">
      <c r="A251" s="132" t="s">
        <v>885</v>
      </c>
      <c r="B251" s="132"/>
      <c r="C251" s="132"/>
      <c r="D251" s="132"/>
      <c r="E251" s="132"/>
      <c r="F251" s="132"/>
      <c r="G251" s="132"/>
      <c r="H251" s="132"/>
    </row>
    <row r="253" spans="1:8" x14ac:dyDescent="0.2">
      <c r="A253" s="1" t="s">
        <v>1965</v>
      </c>
    </row>
    <row r="254" spans="1:8" x14ac:dyDescent="0.2">
      <c r="A254" s="1" t="s">
        <v>886</v>
      </c>
    </row>
    <row r="255" spans="1:8" x14ac:dyDescent="0.2">
      <c r="A255" s="1" t="s">
        <v>887</v>
      </c>
    </row>
    <row r="256" spans="1:8" ht="17" thickBot="1" x14ac:dyDescent="0.25"/>
    <row r="257" spans="1:10" x14ac:dyDescent="0.2">
      <c r="A257" s="30" t="s">
        <v>888</v>
      </c>
      <c r="B257" s="31" t="s">
        <v>889</v>
      </c>
      <c r="C257" s="31"/>
      <c r="D257" s="31"/>
      <c r="E257" s="31"/>
      <c r="F257" s="31" t="s">
        <v>890</v>
      </c>
      <c r="G257" s="31"/>
      <c r="H257" s="31"/>
      <c r="I257" s="31"/>
      <c r="J257" s="23"/>
    </row>
    <row r="258" spans="1:10" x14ac:dyDescent="0.2">
      <c r="A258" s="24">
        <v>1</v>
      </c>
      <c r="B258" s="1" t="s">
        <v>891</v>
      </c>
      <c r="F258" s="1" t="s">
        <v>892</v>
      </c>
      <c r="J258" s="25"/>
    </row>
    <row r="259" spans="1:10" x14ac:dyDescent="0.2">
      <c r="A259" s="24">
        <v>2</v>
      </c>
      <c r="B259" s="1" t="s">
        <v>893</v>
      </c>
      <c r="F259" s="1" t="s">
        <v>894</v>
      </c>
      <c r="J259" s="25"/>
    </row>
    <row r="260" spans="1:10" ht="17" thickBot="1" x14ac:dyDescent="0.25">
      <c r="A260" s="26">
        <v>3</v>
      </c>
      <c r="B260" s="27" t="s">
        <v>895</v>
      </c>
      <c r="C260" s="27"/>
      <c r="D260" s="27"/>
      <c r="E260" s="27"/>
      <c r="F260" s="27" t="s">
        <v>896</v>
      </c>
      <c r="G260" s="27"/>
      <c r="H260" s="27"/>
      <c r="I260" s="27"/>
      <c r="J260" s="28"/>
    </row>
    <row r="262" spans="1:10" x14ac:dyDescent="0.2">
      <c r="A262" s="1" t="s">
        <v>897</v>
      </c>
    </row>
    <row r="264" spans="1:10" x14ac:dyDescent="0.2">
      <c r="A264" s="133" t="s">
        <v>911</v>
      </c>
      <c r="B264" s="133"/>
      <c r="C264" s="133"/>
      <c r="D264" s="133"/>
      <c r="E264" s="133"/>
      <c r="F264" s="133"/>
      <c r="G264" s="133"/>
      <c r="H264" s="133"/>
    </row>
    <row r="265" spans="1:10" x14ac:dyDescent="0.2">
      <c r="A265" s="1" t="s">
        <v>898</v>
      </c>
    </row>
    <row r="266" spans="1:10" x14ac:dyDescent="0.2">
      <c r="A266" s="1" t="s">
        <v>899</v>
      </c>
    </row>
    <row r="267" spans="1:10" x14ac:dyDescent="0.2">
      <c r="A267" s="1" t="s">
        <v>900</v>
      </c>
    </row>
    <row r="268" spans="1:10" x14ac:dyDescent="0.2">
      <c r="A268" s="1" t="s">
        <v>901</v>
      </c>
    </row>
    <row r="269" spans="1:10" x14ac:dyDescent="0.2">
      <c r="A269" s="1" t="s">
        <v>902</v>
      </c>
    </row>
    <row r="271" spans="1:10" x14ac:dyDescent="0.2">
      <c r="A271" s="1" t="s">
        <v>903</v>
      </c>
    </row>
    <row r="272" spans="1:10" x14ac:dyDescent="0.2">
      <c r="E272"/>
    </row>
    <row r="273" spans="1:10" x14ac:dyDescent="0.2">
      <c r="A273" s="2" t="s">
        <v>27</v>
      </c>
    </row>
    <row r="275" spans="1:10" x14ac:dyDescent="0.2">
      <c r="A275" s="1" t="s">
        <v>904</v>
      </c>
    </row>
    <row r="276" spans="1:10" x14ac:dyDescent="0.2">
      <c r="A276" s="1" t="s">
        <v>905</v>
      </c>
    </row>
    <row r="277" spans="1:10" x14ac:dyDescent="0.2">
      <c r="C277" s="59" t="s">
        <v>907</v>
      </c>
      <c r="D277" s="12"/>
      <c r="E277" s="59" t="s">
        <v>906</v>
      </c>
    </row>
    <row r="278" spans="1:10" x14ac:dyDescent="0.2">
      <c r="C278" s="12">
        <v>60</v>
      </c>
      <c r="D278" s="1" t="s">
        <v>45</v>
      </c>
      <c r="E278" s="12">
        <v>20</v>
      </c>
      <c r="F278" s="1" t="s">
        <v>45</v>
      </c>
    </row>
    <row r="279" spans="1:10" x14ac:dyDescent="0.2">
      <c r="C279" s="262">
        <f>((1+12.6825%)^(1/12)-1)*100</f>
        <v>0.99999977493334669</v>
      </c>
      <c r="D279" s="1" t="s">
        <v>42</v>
      </c>
      <c r="E279" s="262">
        <f>((1+12.6825%)^(1/12)-1)*100</f>
        <v>0.99999977493334669</v>
      </c>
      <c r="F279" s="1" t="s">
        <v>42</v>
      </c>
    </row>
    <row r="280" spans="1:10" x14ac:dyDescent="0.2">
      <c r="C280" s="42">
        <f>PV(C279/100,C278,C281,C282)</f>
        <v>35964.032931543748</v>
      </c>
      <c r="D280" s="1" t="s">
        <v>39</v>
      </c>
      <c r="E280" s="42">
        <f>PV(E279/100,E278,E281,E282)</f>
        <v>36091.106750410392</v>
      </c>
      <c r="F280" s="1" t="s">
        <v>39</v>
      </c>
    </row>
    <row r="281" spans="1:10" x14ac:dyDescent="0.2">
      <c r="C281" s="12">
        <v>-800</v>
      </c>
      <c r="D281" s="1" t="s">
        <v>47</v>
      </c>
      <c r="E281" s="12">
        <v>-2000</v>
      </c>
      <c r="F281" s="1" t="s">
        <v>47</v>
      </c>
    </row>
    <row r="282" spans="1:10" x14ac:dyDescent="0.2">
      <c r="C282" s="12">
        <v>0</v>
      </c>
      <c r="D282" s="1" t="s">
        <v>50</v>
      </c>
      <c r="E282" s="12">
        <v>0</v>
      </c>
      <c r="F282" s="1" t="s">
        <v>50</v>
      </c>
    </row>
    <row r="284" spans="1:10" x14ac:dyDescent="0.2">
      <c r="A284" s="1" t="s">
        <v>908</v>
      </c>
    </row>
    <row r="285" spans="1:10" x14ac:dyDescent="0.2">
      <c r="A285" s="1" t="s">
        <v>909</v>
      </c>
    </row>
    <row r="288" spans="1:10" x14ac:dyDescent="0.2">
      <c r="J288" s="1" t="s">
        <v>910</v>
      </c>
    </row>
    <row r="289" spans="1:10" x14ac:dyDescent="0.2">
      <c r="J289" s="261" t="s">
        <v>1968</v>
      </c>
    </row>
    <row r="299" spans="1:10" x14ac:dyDescent="0.2">
      <c r="A299" s="133" t="s">
        <v>912</v>
      </c>
      <c r="B299" s="133"/>
      <c r="C299" s="133"/>
      <c r="D299" s="133"/>
      <c r="E299" s="133"/>
      <c r="F299" s="133"/>
      <c r="G299" s="133"/>
      <c r="H299" s="133"/>
    </row>
    <row r="301" spans="1:10" x14ac:dyDescent="0.2">
      <c r="A301" s="1" t="s">
        <v>913</v>
      </c>
      <c r="G301"/>
    </row>
    <row r="302" spans="1:10" x14ac:dyDescent="0.2">
      <c r="A302" s="1" t="s">
        <v>914</v>
      </c>
    </row>
    <row r="303" spans="1:10" x14ac:dyDescent="0.2">
      <c r="A303" s="1" t="s">
        <v>915</v>
      </c>
    </row>
    <row r="304" spans="1:10" x14ac:dyDescent="0.2">
      <c r="A304" s="1" t="s">
        <v>916</v>
      </c>
    </row>
    <row r="305" spans="1:7" x14ac:dyDescent="0.2">
      <c r="A305" s="1" t="s">
        <v>917</v>
      </c>
    </row>
    <row r="307" spans="1:7" x14ac:dyDescent="0.2">
      <c r="A307" s="1" t="s">
        <v>918</v>
      </c>
    </row>
    <row r="309" spans="1:7" x14ac:dyDescent="0.2">
      <c r="A309" s="1" t="s">
        <v>27</v>
      </c>
    </row>
    <row r="310" spans="1:7" x14ac:dyDescent="0.2">
      <c r="A310" s="1" t="s">
        <v>919</v>
      </c>
    </row>
    <row r="311" spans="1:7" x14ac:dyDescent="0.2">
      <c r="A311" s="1" t="s">
        <v>920</v>
      </c>
    </row>
    <row r="312" spans="1:7" x14ac:dyDescent="0.2">
      <c r="A312" s="1" t="s">
        <v>921</v>
      </c>
    </row>
    <row r="313" spans="1:7" x14ac:dyDescent="0.2">
      <c r="B313" s="12" t="s">
        <v>926</v>
      </c>
      <c r="C313" s="12"/>
      <c r="D313" s="12" t="s">
        <v>925</v>
      </c>
      <c r="E313" s="12"/>
      <c r="F313" s="12" t="s">
        <v>924</v>
      </c>
    </row>
    <row r="314" spans="1:7" x14ac:dyDescent="0.2">
      <c r="B314" s="59" t="s">
        <v>923</v>
      </c>
      <c r="C314" s="12"/>
      <c r="D314" s="59" t="s">
        <v>922</v>
      </c>
      <c r="E314" s="12"/>
      <c r="F314" s="59" t="s">
        <v>316</v>
      </c>
    </row>
    <row r="315" spans="1:7" x14ac:dyDescent="0.2">
      <c r="B315" s="12">
        <v>12</v>
      </c>
      <c r="C315" s="1" t="s">
        <v>45</v>
      </c>
      <c r="D315" s="12">
        <f>6.5*12</f>
        <v>78</v>
      </c>
      <c r="E315" s="1" t="s">
        <v>45</v>
      </c>
      <c r="F315" s="12">
        <v>36</v>
      </c>
      <c r="G315" s="1" t="s">
        <v>45</v>
      </c>
    </row>
    <row r="316" spans="1:7" x14ac:dyDescent="0.2">
      <c r="B316" s="119">
        <v>0.5</v>
      </c>
      <c r="C316" s="1" t="s">
        <v>42</v>
      </c>
      <c r="D316" s="119">
        <v>0.5</v>
      </c>
      <c r="E316" s="1" t="s">
        <v>42</v>
      </c>
      <c r="F316" s="119">
        <v>0.5</v>
      </c>
      <c r="G316" s="1" t="s">
        <v>42</v>
      </c>
    </row>
    <row r="317" spans="1:7" x14ac:dyDescent="0.2">
      <c r="B317" s="42">
        <f>PV(B316/100,B315,B318,B319)</f>
        <v>-94190.533966591975</v>
      </c>
      <c r="C317" s="1" t="s">
        <v>39</v>
      </c>
      <c r="D317" s="42">
        <f>PV(D316/100,D315,D318,D319)</f>
        <v>-128913.94699278503</v>
      </c>
      <c r="E317" s="1" t="s">
        <v>39</v>
      </c>
      <c r="F317" s="42">
        <f>PV(F316/100,F315,F318,F319)</f>
        <v>-131484.06495705992</v>
      </c>
      <c r="G317" s="1" t="s">
        <v>39</v>
      </c>
    </row>
    <row r="318" spans="1:7" x14ac:dyDescent="0.2">
      <c r="B318" s="12">
        <v>0</v>
      </c>
      <c r="C318" s="1" t="s">
        <v>47</v>
      </c>
      <c r="D318" s="12">
        <v>2000</v>
      </c>
      <c r="E318" s="1" t="s">
        <v>47</v>
      </c>
      <c r="F318" s="12">
        <v>4000</v>
      </c>
      <c r="G318" s="1" t="s">
        <v>47</v>
      </c>
    </row>
    <row r="319" spans="1:7" x14ac:dyDescent="0.2">
      <c r="B319" s="12">
        <v>100000</v>
      </c>
      <c r="C319" s="1" t="s">
        <v>50</v>
      </c>
      <c r="D319" s="12">
        <v>0</v>
      </c>
      <c r="E319" s="1" t="s">
        <v>50</v>
      </c>
      <c r="F319" s="12">
        <v>0</v>
      </c>
      <c r="G319" s="1" t="s">
        <v>50</v>
      </c>
    </row>
    <row r="320" spans="1:7" x14ac:dyDescent="0.2">
      <c r="B320" s="1" t="s">
        <v>1969</v>
      </c>
    </row>
    <row r="321" spans="1:8" x14ac:dyDescent="0.2">
      <c r="F321" s="1" t="s">
        <v>927</v>
      </c>
    </row>
    <row r="322" spans="1:8" x14ac:dyDescent="0.2">
      <c r="A322" s="1" t="s">
        <v>931</v>
      </c>
      <c r="C322" s="134">
        <f>-F317</f>
        <v>131484.06495705992</v>
      </c>
      <c r="F322" s="1" t="s">
        <v>928</v>
      </c>
    </row>
    <row r="323" spans="1:8" x14ac:dyDescent="0.2">
      <c r="A323" s="1" t="s">
        <v>932</v>
      </c>
      <c r="C323" s="134">
        <f>-D317</f>
        <v>128913.94699278503</v>
      </c>
      <c r="F323" s="1" t="s">
        <v>929</v>
      </c>
    </row>
    <row r="324" spans="1:8" x14ac:dyDescent="0.2">
      <c r="A324" s="1" t="s">
        <v>933</v>
      </c>
      <c r="C324" s="134">
        <f>-B317</f>
        <v>94190.533966591975</v>
      </c>
      <c r="F324" s="1" t="s">
        <v>930</v>
      </c>
    </row>
    <row r="335" spans="1:8" x14ac:dyDescent="0.2">
      <c r="A335" s="135" t="s">
        <v>934</v>
      </c>
      <c r="B335" s="135"/>
      <c r="C335" s="135"/>
      <c r="D335" s="135"/>
      <c r="E335" s="135"/>
      <c r="F335" s="135"/>
      <c r="G335" s="135"/>
      <c r="H335" s="135"/>
    </row>
    <row r="336" spans="1:8" x14ac:dyDescent="0.2">
      <c r="A336" s="1" t="s">
        <v>935</v>
      </c>
    </row>
    <row r="337" spans="1:8" x14ac:dyDescent="0.2">
      <c r="A337" s="1" t="s">
        <v>936</v>
      </c>
    </row>
    <row r="338" spans="1:8" x14ac:dyDescent="0.2">
      <c r="A338" s="1" t="s">
        <v>937</v>
      </c>
    </row>
    <row r="339" spans="1:8" x14ac:dyDescent="0.2">
      <c r="A339" s="1" t="s">
        <v>938</v>
      </c>
    </row>
    <row r="340" spans="1:8" x14ac:dyDescent="0.2">
      <c r="A340" s="1" t="s">
        <v>939</v>
      </c>
    </row>
    <row r="342" spans="1:8" x14ac:dyDescent="0.2">
      <c r="A342" s="29" t="s">
        <v>1970</v>
      </c>
      <c r="B342" s="29"/>
      <c r="C342" s="29"/>
      <c r="D342" s="29"/>
      <c r="E342" s="29"/>
      <c r="F342" s="29"/>
      <c r="G342" s="29"/>
      <c r="H342" s="29"/>
    </row>
    <row r="343" spans="1:8" x14ac:dyDescent="0.2">
      <c r="A343" s="1" t="s">
        <v>1971</v>
      </c>
    </row>
    <row r="344" spans="1:8" x14ac:dyDescent="0.2">
      <c r="A344" s="1" t="s">
        <v>1972</v>
      </c>
    </row>
    <row r="345" spans="1:8" x14ac:dyDescent="0.2">
      <c r="A345" s="1" t="s">
        <v>1973</v>
      </c>
    </row>
    <row r="346" spans="1:8" x14ac:dyDescent="0.2">
      <c r="A346" s="1" t="s">
        <v>1974</v>
      </c>
    </row>
    <row r="347" spans="1:8" x14ac:dyDescent="0.2">
      <c r="A347" s="1" t="s">
        <v>1975</v>
      </c>
    </row>
    <row r="348" spans="1:8" x14ac:dyDescent="0.2">
      <c r="A348" s="1" t="s">
        <v>1976</v>
      </c>
    </row>
    <row r="350" spans="1:8" x14ac:dyDescent="0.2">
      <c r="A350" s="1" t="s">
        <v>1977</v>
      </c>
    </row>
    <row r="351" spans="1:8" x14ac:dyDescent="0.2">
      <c r="A351" s="1" t="s">
        <v>1978</v>
      </c>
    </row>
    <row r="352" spans="1:8" x14ac:dyDescent="0.2">
      <c r="A352" s="1" t="s">
        <v>1980</v>
      </c>
    </row>
    <row r="353" spans="1:11" x14ac:dyDescent="0.2">
      <c r="A353" s="1" t="s">
        <v>1984</v>
      </c>
    </row>
    <row r="355" spans="1:11" x14ac:dyDescent="0.2">
      <c r="D355" s="264" t="s">
        <v>291</v>
      </c>
      <c r="E355" s="290" t="s">
        <v>1979</v>
      </c>
      <c r="F355" s="290"/>
      <c r="G355" s="290"/>
      <c r="H355" s="264" t="s">
        <v>290</v>
      </c>
    </row>
    <row r="356" spans="1:11" x14ac:dyDescent="0.2">
      <c r="C356" s="12" t="s">
        <v>179</v>
      </c>
      <c r="D356" s="1" t="s">
        <v>178</v>
      </c>
      <c r="G356" s="12" t="s">
        <v>179</v>
      </c>
      <c r="H356" s="1" t="s">
        <v>178</v>
      </c>
    </row>
    <row r="357" spans="1:11" x14ac:dyDescent="0.2">
      <c r="C357" s="12">
        <f>35*12</f>
        <v>420</v>
      </c>
      <c r="D357" s="1" t="s">
        <v>45</v>
      </c>
      <c r="G357" s="12">
        <f>30*12</f>
        <v>360</v>
      </c>
      <c r="H357" s="1" t="s">
        <v>45</v>
      </c>
    </row>
    <row r="358" spans="1:11" x14ac:dyDescent="0.2">
      <c r="C358" s="1">
        <f>G358</f>
        <v>0.79741404289037643</v>
      </c>
      <c r="D358" s="1" t="s">
        <v>42</v>
      </c>
      <c r="G358" s="12">
        <f>((1+10%)^(1/12)-1)*100</f>
        <v>0.79741404289037643</v>
      </c>
      <c r="H358" s="1" t="s">
        <v>42</v>
      </c>
      <c r="I358" s="1" t="s">
        <v>1981</v>
      </c>
      <c r="K358" s="232" t="s">
        <v>1982</v>
      </c>
    </row>
    <row r="359" spans="1:11" x14ac:dyDescent="0.2">
      <c r="C359" s="265">
        <f>-G361</f>
        <v>-825137.32561130414</v>
      </c>
      <c r="D359" s="1" t="s">
        <v>39</v>
      </c>
      <c r="G359" s="12">
        <v>0</v>
      </c>
      <c r="H359" s="1" t="s">
        <v>39</v>
      </c>
      <c r="I359" s="1" t="s">
        <v>1983</v>
      </c>
    </row>
    <row r="360" spans="1:11" ht="18" x14ac:dyDescent="0.2">
      <c r="B360" s="231" t="s">
        <v>798</v>
      </c>
      <c r="C360" s="266">
        <f>PMT(C358/100,C357,C359,C361)</f>
        <v>6822.5346826376817</v>
      </c>
      <c r="D360" s="1" t="s">
        <v>47</v>
      </c>
      <c r="G360" s="12">
        <v>-400</v>
      </c>
      <c r="H360" s="1" t="s">
        <v>47</v>
      </c>
    </row>
    <row r="361" spans="1:11" x14ac:dyDescent="0.2">
      <c r="C361" s="12">
        <v>0</v>
      </c>
      <c r="D361" s="1" t="s">
        <v>50</v>
      </c>
      <c r="G361" s="265">
        <f>FV(G358/100,G357,G360,G359)</f>
        <v>825137.32561130414</v>
      </c>
      <c r="H361" s="1" t="s">
        <v>50</v>
      </c>
      <c r="I361" s="263" t="s">
        <v>798</v>
      </c>
    </row>
    <row r="362" spans="1:11" ht="17" thickBot="1" x14ac:dyDescent="0.25"/>
    <row r="363" spans="1:11" ht="17" thickBot="1" x14ac:dyDescent="0.25">
      <c r="A363" s="102" t="s">
        <v>1985</v>
      </c>
      <c r="B363" s="6"/>
      <c r="C363" s="6"/>
      <c r="D363" s="6"/>
      <c r="E363" s="6"/>
      <c r="F363" s="6"/>
      <c r="G363" s="6"/>
      <c r="H363" s="6"/>
      <c r="I363" s="7"/>
    </row>
    <row r="365" spans="1:11" x14ac:dyDescent="0.2">
      <c r="A365" s="177" t="s">
        <v>1986</v>
      </c>
      <c r="B365" s="161"/>
      <c r="C365" s="161"/>
      <c r="D365" s="161"/>
      <c r="E365" s="161"/>
      <c r="F365" s="161"/>
      <c r="G365" s="161"/>
      <c r="H365" s="161"/>
      <c r="I365" s="161"/>
    </row>
    <row r="366" spans="1:11" x14ac:dyDescent="0.2">
      <c r="A366" s="1" t="s">
        <v>940</v>
      </c>
    </row>
    <row r="367" spans="1:11" x14ac:dyDescent="0.2">
      <c r="A367" s="1" t="s">
        <v>941</v>
      </c>
    </row>
    <row r="368" spans="1:11" x14ac:dyDescent="0.2">
      <c r="A368" s="1" t="s">
        <v>942</v>
      </c>
    </row>
    <row r="369" spans="1:8" x14ac:dyDescent="0.2">
      <c r="A369" s="1" t="s">
        <v>943</v>
      </c>
    </row>
    <row r="371" spans="1:8" x14ac:dyDescent="0.2">
      <c r="A371" s="1" t="s">
        <v>1987</v>
      </c>
    </row>
    <row r="372" spans="1:8" x14ac:dyDescent="0.2">
      <c r="A372" s="1" t="s">
        <v>1988</v>
      </c>
    </row>
    <row r="373" spans="1:8" x14ac:dyDescent="0.2">
      <c r="A373" s="1" t="s">
        <v>1989</v>
      </c>
    </row>
    <row r="374" spans="1:8" x14ac:dyDescent="0.2">
      <c r="B374" s="1" t="s">
        <v>1990</v>
      </c>
    </row>
    <row r="377" spans="1:8" x14ac:dyDescent="0.2">
      <c r="G377"/>
    </row>
    <row r="378" spans="1:8" x14ac:dyDescent="0.2">
      <c r="G378"/>
    </row>
    <row r="379" spans="1:8" x14ac:dyDescent="0.2">
      <c r="G379"/>
    </row>
    <row r="380" spans="1:8" x14ac:dyDescent="0.2">
      <c r="G380"/>
    </row>
    <row r="381" spans="1:8" x14ac:dyDescent="0.2">
      <c r="G381"/>
    </row>
    <row r="382" spans="1:8" x14ac:dyDescent="0.2">
      <c r="G382"/>
    </row>
    <row r="383" spans="1:8" x14ac:dyDescent="0.2">
      <c r="G383"/>
    </row>
    <row r="384" spans="1:8" x14ac:dyDescent="0.2">
      <c r="B384" s="12">
        <f>120-22</f>
        <v>98</v>
      </c>
      <c r="F384" s="12">
        <v>23</v>
      </c>
      <c r="G384"/>
      <c r="H384" s="12">
        <v>0</v>
      </c>
    </row>
    <row r="385" spans="1:10" x14ac:dyDescent="0.2">
      <c r="B385" s="12"/>
      <c r="G385"/>
      <c r="H385" s="12"/>
    </row>
    <row r="386" spans="1:10" x14ac:dyDescent="0.2">
      <c r="B386" s="12" t="s">
        <v>946</v>
      </c>
      <c r="F386" s="12" t="s">
        <v>945</v>
      </c>
      <c r="G386"/>
      <c r="H386" s="12" t="s">
        <v>944</v>
      </c>
    </row>
    <row r="387" spans="1:10" x14ac:dyDescent="0.2">
      <c r="B387" s="12"/>
      <c r="G387"/>
    </row>
    <row r="388" spans="1:10" x14ac:dyDescent="0.2">
      <c r="A388" s="14" t="s">
        <v>1991</v>
      </c>
      <c r="G388"/>
      <c r="H388" s="14" t="s">
        <v>1994</v>
      </c>
    </row>
    <row r="389" spans="1:10" x14ac:dyDescent="0.2">
      <c r="A389" s="1" t="s">
        <v>1993</v>
      </c>
      <c r="C389" s="12">
        <f>75*12</f>
        <v>900</v>
      </c>
      <c r="D389" s="1" t="s">
        <v>45</v>
      </c>
      <c r="G389" s="136">
        <f>23*12</f>
        <v>276</v>
      </c>
      <c r="H389" s="1" t="s">
        <v>45</v>
      </c>
      <c r="J389" s="1" t="s">
        <v>1995</v>
      </c>
    </row>
    <row r="390" spans="1:10" x14ac:dyDescent="0.2">
      <c r="A390" s="1" t="s">
        <v>1992</v>
      </c>
      <c r="C390" s="12">
        <v>0.8</v>
      </c>
      <c r="D390" s="1" t="s">
        <v>42</v>
      </c>
      <c r="G390" s="136">
        <v>0.8</v>
      </c>
      <c r="H390" s="1" t="s">
        <v>42</v>
      </c>
      <c r="J390" s="1" t="s">
        <v>1996</v>
      </c>
    </row>
    <row r="391" spans="1:10" x14ac:dyDescent="0.2">
      <c r="C391" s="12">
        <v>15000</v>
      </c>
      <c r="D391" s="1" t="s">
        <v>47</v>
      </c>
      <c r="F391" s="33" t="s">
        <v>39</v>
      </c>
      <c r="G391" s="138">
        <f>PMT(G390/100,G389,G392,G393)</f>
        <v>-1869.3697333652638</v>
      </c>
      <c r="H391" s="1" t="s">
        <v>47</v>
      </c>
      <c r="I391" s="267" t="s">
        <v>1835</v>
      </c>
    </row>
    <row r="392" spans="1:10" x14ac:dyDescent="0.2">
      <c r="C392" s="42">
        <f>PV(C390/100,C389,C391,C393)</f>
        <v>-1873559.4697800055</v>
      </c>
      <c r="D392" s="1" t="s">
        <v>39</v>
      </c>
      <c r="E392" s="40" t="s">
        <v>798</v>
      </c>
      <c r="G392" s="136">
        <v>0</v>
      </c>
      <c r="H392" s="1" t="s">
        <v>39</v>
      </c>
    </row>
    <row r="393" spans="1:10" x14ac:dyDescent="0.2">
      <c r="C393" s="12">
        <v>0</v>
      </c>
      <c r="D393" s="1" t="s">
        <v>50</v>
      </c>
      <c r="G393" s="137">
        <f>-C392</f>
        <v>1873559.4697800055</v>
      </c>
      <c r="H393" s="1" t="s">
        <v>50</v>
      </c>
    </row>
    <row r="394" spans="1:10" x14ac:dyDescent="0.2">
      <c r="G394"/>
    </row>
    <row r="395" spans="1:10" x14ac:dyDescent="0.2">
      <c r="G395"/>
    </row>
    <row r="396" spans="1:10" x14ac:dyDescent="0.2">
      <c r="A396" s="1" t="s">
        <v>947</v>
      </c>
      <c r="G396"/>
    </row>
    <row r="397" spans="1:10" x14ac:dyDescent="0.2">
      <c r="A397" s="1" t="s">
        <v>948</v>
      </c>
      <c r="G397"/>
    </row>
    <row r="398" spans="1:10" x14ac:dyDescent="0.2">
      <c r="A398" s="1" t="s">
        <v>949</v>
      </c>
      <c r="G398"/>
    </row>
    <row r="399" spans="1:10" x14ac:dyDescent="0.2">
      <c r="G399"/>
    </row>
    <row r="400" spans="1:10" x14ac:dyDescent="0.2">
      <c r="G400"/>
    </row>
    <row r="401" spans="7:7" x14ac:dyDescent="0.2">
      <c r="G401"/>
    </row>
    <row r="402" spans="7:7" x14ac:dyDescent="0.2">
      <c r="G402"/>
    </row>
    <row r="403" spans="7:7" x14ac:dyDescent="0.2">
      <c r="G403"/>
    </row>
    <row r="404" spans="7:7" x14ac:dyDescent="0.2">
      <c r="G404"/>
    </row>
    <row r="405" spans="7:7" x14ac:dyDescent="0.2">
      <c r="G405"/>
    </row>
    <row r="406" spans="7:7" x14ac:dyDescent="0.2">
      <c r="G406"/>
    </row>
    <row r="407" spans="7:7" x14ac:dyDescent="0.2">
      <c r="G407"/>
    </row>
  </sheetData>
  <mergeCells count="1">
    <mergeCell ref="E355:G35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K384"/>
  <sheetViews>
    <sheetView rightToLeft="1" topLeftCell="A24" zoomScale="200" zoomScaleNormal="200" workbookViewId="0">
      <selection activeCell="F101" sqref="E101:F101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29" t="s">
        <v>1997</v>
      </c>
      <c r="B1" s="29"/>
      <c r="C1" s="29"/>
      <c r="D1" s="29"/>
      <c r="E1" s="29"/>
      <c r="F1" s="29"/>
      <c r="G1" s="29"/>
      <c r="H1" s="139">
        <v>45901</v>
      </c>
    </row>
    <row r="2" spans="1:9" ht="17" thickBot="1" x14ac:dyDescent="0.25"/>
    <row r="3" spans="1:9" x14ac:dyDescent="0.2">
      <c r="A3" s="21" t="s">
        <v>2000</v>
      </c>
      <c r="B3" s="31"/>
      <c r="C3" s="31"/>
      <c r="D3" s="31"/>
      <c r="E3" s="31"/>
      <c r="F3" s="31"/>
      <c r="G3" s="31"/>
      <c r="H3" s="23"/>
    </row>
    <row r="4" spans="1:9" x14ac:dyDescent="0.2">
      <c r="A4" s="24" t="s">
        <v>1998</v>
      </c>
      <c r="H4" s="25"/>
    </row>
    <row r="5" spans="1:9" x14ac:dyDescent="0.2">
      <c r="A5" s="24" t="s">
        <v>1999</v>
      </c>
      <c r="H5" s="25"/>
    </row>
    <row r="6" spans="1:9" ht="17" thickBot="1" x14ac:dyDescent="0.25">
      <c r="A6" s="26" t="s">
        <v>950</v>
      </c>
      <c r="B6" s="27"/>
      <c r="C6" s="27"/>
      <c r="D6" s="27"/>
      <c r="E6" s="27"/>
      <c r="F6" s="27"/>
      <c r="G6" s="27"/>
      <c r="H6" s="28"/>
    </row>
    <row r="7" spans="1:9" ht="17" thickBot="1" x14ac:dyDescent="0.25"/>
    <row r="8" spans="1:9" x14ac:dyDescent="0.2">
      <c r="A8" s="21" t="s">
        <v>2001</v>
      </c>
      <c r="B8" s="31"/>
      <c r="C8" s="31"/>
      <c r="D8" s="31"/>
      <c r="E8" s="31"/>
      <c r="F8" s="23"/>
      <c r="I8" s="1" t="s">
        <v>2007</v>
      </c>
    </row>
    <row r="9" spans="1:9" x14ac:dyDescent="0.2">
      <c r="A9" s="24" t="s">
        <v>2002</v>
      </c>
      <c r="F9" s="25"/>
    </row>
    <row r="10" spans="1:9" x14ac:dyDescent="0.2">
      <c r="A10" s="24" t="s">
        <v>2003</v>
      </c>
      <c r="F10" s="25"/>
      <c r="I10" s="1" t="s">
        <v>2008</v>
      </c>
    </row>
    <row r="11" spans="1:9" x14ac:dyDescent="0.2">
      <c r="A11" s="24" t="s">
        <v>2004</v>
      </c>
      <c r="F11" s="25"/>
    </row>
    <row r="12" spans="1:9" x14ac:dyDescent="0.2">
      <c r="A12" s="24" t="s">
        <v>2005</v>
      </c>
      <c r="F12" s="25"/>
      <c r="I12" s="1" t="s">
        <v>2009</v>
      </c>
    </row>
    <row r="13" spans="1:9" ht="17" thickBot="1" x14ac:dyDescent="0.25">
      <c r="A13" s="26" t="s">
        <v>2006</v>
      </c>
      <c r="B13" s="27"/>
      <c r="C13" s="27"/>
      <c r="D13" s="27"/>
      <c r="E13" s="27"/>
      <c r="F13" s="28"/>
    </row>
    <row r="14" spans="1:9" x14ac:dyDescent="0.2">
      <c r="I14" s="1" t="s">
        <v>2010</v>
      </c>
    </row>
    <row r="15" spans="1:9" ht="17" thickBot="1" x14ac:dyDescent="0.25"/>
    <row r="16" spans="1:9" ht="17" thickBot="1" x14ac:dyDescent="0.25">
      <c r="A16" s="3" t="s">
        <v>2011</v>
      </c>
      <c r="B16" s="6"/>
      <c r="C16" s="6"/>
      <c r="D16" s="6"/>
      <c r="E16" s="6"/>
      <c r="F16" s="6"/>
      <c r="G16" s="6"/>
      <c r="H16" s="7"/>
    </row>
    <row r="17" spans="1:11" x14ac:dyDescent="0.2">
      <c r="A17" s="1" t="s">
        <v>951</v>
      </c>
    </row>
    <row r="19" spans="1:11" x14ac:dyDescent="0.2">
      <c r="A19" s="78" t="s">
        <v>2012</v>
      </c>
    </row>
    <row r="20" spans="1:11" x14ac:dyDescent="0.2">
      <c r="A20" s="78"/>
    </row>
    <row r="21" spans="1:11" x14ac:dyDescent="0.2">
      <c r="B21" s="1" t="s">
        <v>963</v>
      </c>
      <c r="D21" s="12">
        <v>1</v>
      </c>
      <c r="F21" s="12">
        <v>0</v>
      </c>
    </row>
    <row r="22" spans="1:11" x14ac:dyDescent="0.2">
      <c r="D22" s="12" t="s">
        <v>1583</v>
      </c>
      <c r="F22" s="12" t="s">
        <v>2013</v>
      </c>
    </row>
    <row r="23" spans="1:11" x14ac:dyDescent="0.2">
      <c r="D23" s="12"/>
      <c r="F23" s="12"/>
    </row>
    <row r="24" spans="1:11" x14ac:dyDescent="0.2">
      <c r="C24" s="1" t="s">
        <v>2014</v>
      </c>
      <c r="D24" s="252">
        <v>-112</v>
      </c>
      <c r="F24" s="268">
        <v>100</v>
      </c>
      <c r="H24" s="1" t="s">
        <v>2016</v>
      </c>
    </row>
    <row r="25" spans="1:11" x14ac:dyDescent="0.2">
      <c r="F25" s="12" t="s">
        <v>2015</v>
      </c>
      <c r="H25" s="1" t="s">
        <v>2017</v>
      </c>
    </row>
    <row r="27" spans="1:11" x14ac:dyDescent="0.2">
      <c r="G27" s="1" t="s">
        <v>2018</v>
      </c>
    </row>
    <row r="29" spans="1:11" x14ac:dyDescent="0.2">
      <c r="A29" s="1" t="s">
        <v>2019</v>
      </c>
    </row>
    <row r="30" spans="1:11" x14ac:dyDescent="0.2">
      <c r="E30" s="1" t="s">
        <v>960</v>
      </c>
    </row>
    <row r="31" spans="1:11" x14ac:dyDescent="0.2">
      <c r="F31" s="1" t="s">
        <v>2020</v>
      </c>
      <c r="K31" s="269" t="s">
        <v>2024</v>
      </c>
    </row>
    <row r="32" spans="1:11" x14ac:dyDescent="0.2">
      <c r="F32" s="1" t="s">
        <v>2021</v>
      </c>
      <c r="K32" s="269" t="s">
        <v>2025</v>
      </c>
    </row>
    <row r="33" spans="1:11" x14ac:dyDescent="0.2">
      <c r="K33" s="269" t="s">
        <v>2026</v>
      </c>
    </row>
    <row r="34" spans="1:11" x14ac:dyDescent="0.2">
      <c r="K34" s="269" t="s">
        <v>2027</v>
      </c>
    </row>
    <row r="35" spans="1:11" x14ac:dyDescent="0.2">
      <c r="D35" s="12">
        <v>1</v>
      </c>
      <c r="F35" s="12">
        <v>0</v>
      </c>
      <c r="K35" s="269" t="s">
        <v>2028</v>
      </c>
    </row>
    <row r="36" spans="1:11" x14ac:dyDescent="0.2">
      <c r="D36" s="12" t="s">
        <v>1583</v>
      </c>
      <c r="F36" s="12" t="s">
        <v>2013</v>
      </c>
      <c r="K36" s="269" t="s">
        <v>2033</v>
      </c>
    </row>
    <row r="37" spans="1:11" x14ac:dyDescent="0.2">
      <c r="D37" s="12"/>
      <c r="F37" s="12"/>
      <c r="K37" s="269" t="s">
        <v>2029</v>
      </c>
    </row>
    <row r="38" spans="1:11" x14ac:dyDescent="0.2">
      <c r="D38" s="252">
        <v>-112</v>
      </c>
      <c r="F38" s="268">
        <v>100</v>
      </c>
      <c r="K38" s="269" t="s">
        <v>2030</v>
      </c>
    </row>
    <row r="39" spans="1:11" x14ac:dyDescent="0.2">
      <c r="F39" s="12"/>
      <c r="K39" s="269" t="s">
        <v>2031</v>
      </c>
    </row>
    <row r="40" spans="1:11" x14ac:dyDescent="0.2">
      <c r="H40" s="1" t="s">
        <v>2022</v>
      </c>
      <c r="K40" s="269" t="s">
        <v>2032</v>
      </c>
    </row>
    <row r="41" spans="1:11" x14ac:dyDescent="0.2">
      <c r="H41" s="29"/>
      <c r="I41" s="29" t="s">
        <v>2023</v>
      </c>
    </row>
    <row r="43" spans="1:11" x14ac:dyDescent="0.2">
      <c r="A43" s="212" t="s">
        <v>2034</v>
      </c>
      <c r="B43" s="212"/>
      <c r="C43" s="212"/>
      <c r="D43" s="212"/>
      <c r="E43" s="212"/>
      <c r="F43" s="212"/>
      <c r="G43" s="212"/>
      <c r="H43" s="212"/>
    </row>
    <row r="45" spans="1:11" x14ac:dyDescent="0.2">
      <c r="A45" s="1" t="s">
        <v>2035</v>
      </c>
      <c r="I45" s="1" t="s">
        <v>2042</v>
      </c>
    </row>
    <row r="46" spans="1:11" x14ac:dyDescent="0.2">
      <c r="A46" s="1" t="s">
        <v>2036</v>
      </c>
      <c r="I46" s="1" t="s">
        <v>2043</v>
      </c>
    </row>
    <row r="47" spans="1:11" x14ac:dyDescent="0.2">
      <c r="A47" s="1" t="s">
        <v>2037</v>
      </c>
      <c r="I47" s="1" t="s">
        <v>2044</v>
      </c>
    </row>
    <row r="48" spans="1:11" x14ac:dyDescent="0.2">
      <c r="A48" s="1" t="s">
        <v>2038</v>
      </c>
      <c r="I48" s="1" t="s">
        <v>2045</v>
      </c>
    </row>
    <row r="49" spans="1:9" x14ac:dyDescent="0.2">
      <c r="I49" s="1" t="s">
        <v>2046</v>
      </c>
    </row>
    <row r="50" spans="1:9" x14ac:dyDescent="0.2">
      <c r="A50" s="1" t="s">
        <v>711</v>
      </c>
      <c r="I50" s="1" t="s">
        <v>2047</v>
      </c>
    </row>
    <row r="51" spans="1:9" x14ac:dyDescent="0.2">
      <c r="A51" s="1" t="s">
        <v>2039</v>
      </c>
      <c r="I51" s="1" t="s">
        <v>2048</v>
      </c>
    </row>
    <row r="52" spans="1:9" x14ac:dyDescent="0.2">
      <c r="A52" s="1" t="s">
        <v>2040</v>
      </c>
    </row>
    <row r="53" spans="1:9" ht="17" thickBot="1" x14ac:dyDescent="0.25"/>
    <row r="54" spans="1:9" ht="17" thickBot="1" x14ac:dyDescent="0.25">
      <c r="A54" s="102" t="s">
        <v>2041</v>
      </c>
      <c r="B54" s="6"/>
      <c r="C54" s="6"/>
      <c r="D54" s="6"/>
      <c r="E54" s="6"/>
      <c r="F54" s="6"/>
      <c r="G54" s="6"/>
      <c r="H54" s="7"/>
    </row>
    <row r="55" spans="1:9" x14ac:dyDescent="0.2">
      <c r="D55" s="12">
        <v>4</v>
      </c>
      <c r="F55" s="12">
        <v>0</v>
      </c>
    </row>
    <row r="56" spans="1:9" x14ac:dyDescent="0.2">
      <c r="D56" s="12" t="s">
        <v>1583</v>
      </c>
      <c r="F56" s="12" t="s">
        <v>2013</v>
      </c>
    </row>
    <row r="57" spans="1:9" x14ac:dyDescent="0.2">
      <c r="D57" s="12"/>
      <c r="F57" s="12"/>
    </row>
    <row r="58" spans="1:9" x14ac:dyDescent="0.2">
      <c r="D58" s="252"/>
      <c r="F58" s="268"/>
    </row>
    <row r="59" spans="1:9" x14ac:dyDescent="0.2">
      <c r="F59" s="12"/>
    </row>
    <row r="60" spans="1:9" x14ac:dyDescent="0.2">
      <c r="A60" s="1" t="s">
        <v>960</v>
      </c>
    </row>
    <row r="61" spans="1:9" x14ac:dyDescent="0.2">
      <c r="B61" s="1" t="s">
        <v>2020</v>
      </c>
    </row>
    <row r="62" spans="1:9" x14ac:dyDescent="0.2">
      <c r="B62" s="1" t="s">
        <v>2021</v>
      </c>
      <c r="H62" s="1">
        <f>188/143-1</f>
        <v>0.31468531468531458</v>
      </c>
    </row>
    <row r="64" spans="1:9" x14ac:dyDescent="0.2">
      <c r="H64" s="1" t="s">
        <v>2049</v>
      </c>
    </row>
    <row r="65" spans="1:9" x14ac:dyDescent="0.2">
      <c r="I65" s="270">
        <v>0.31468531500000002</v>
      </c>
    </row>
    <row r="67" spans="1:9" x14ac:dyDescent="0.2">
      <c r="H67" s="1" t="s">
        <v>2050</v>
      </c>
    </row>
    <row r="68" spans="1:9" x14ac:dyDescent="0.2">
      <c r="H68" s="1" t="s">
        <v>2051</v>
      </c>
    </row>
    <row r="69" spans="1:9" x14ac:dyDescent="0.2">
      <c r="H69" s="1" t="s">
        <v>2052</v>
      </c>
    </row>
    <row r="70" spans="1:9" x14ac:dyDescent="0.2">
      <c r="H70" s="1" t="s">
        <v>2053</v>
      </c>
    </row>
    <row r="71" spans="1:9" x14ac:dyDescent="0.2">
      <c r="H71" s="2" t="s">
        <v>2054</v>
      </c>
    </row>
    <row r="72" spans="1:9" ht="17" thickBot="1" x14ac:dyDescent="0.25"/>
    <row r="73" spans="1:9" ht="17" thickBot="1" x14ac:dyDescent="0.25">
      <c r="A73" s="102" t="s">
        <v>2055</v>
      </c>
      <c r="B73" s="6"/>
      <c r="C73" s="6"/>
      <c r="D73" s="6"/>
      <c r="E73" s="6"/>
      <c r="F73" s="6"/>
      <c r="G73" s="6"/>
      <c r="H73" s="7"/>
    </row>
    <row r="75" spans="1:9" x14ac:dyDescent="0.2">
      <c r="A75" s="1" t="s">
        <v>2056</v>
      </c>
    </row>
    <row r="76" spans="1:9" x14ac:dyDescent="0.2">
      <c r="A76" s="1" t="s">
        <v>2057</v>
      </c>
    </row>
    <row r="78" spans="1:9" x14ac:dyDescent="0.2">
      <c r="B78" s="271">
        <f>1.314685315^0.25-1</f>
        <v>7.0792826240431594E-2</v>
      </c>
    </row>
    <row r="81" spans="1:11" x14ac:dyDescent="0.2">
      <c r="B81" s="1" t="s">
        <v>2061</v>
      </c>
      <c r="E81" s="1" t="s">
        <v>2059</v>
      </c>
      <c r="G81" s="1" t="s">
        <v>2058</v>
      </c>
    </row>
    <row r="82" spans="1:11" x14ac:dyDescent="0.2">
      <c r="B82" s="1" t="s">
        <v>2062</v>
      </c>
      <c r="E82" s="1" t="s">
        <v>2060</v>
      </c>
    </row>
    <row r="84" spans="1:11" x14ac:dyDescent="0.2">
      <c r="A84" s="272" t="s">
        <v>2063</v>
      </c>
      <c r="B84" s="272"/>
      <c r="C84" s="272"/>
      <c r="D84" s="272"/>
      <c r="E84" s="272"/>
      <c r="F84" s="272"/>
      <c r="G84" s="272"/>
      <c r="H84" s="272"/>
    </row>
    <row r="86" spans="1:11" x14ac:dyDescent="0.2">
      <c r="A86" s="1" t="s">
        <v>2064</v>
      </c>
      <c r="H86" s="1" t="s">
        <v>2072</v>
      </c>
    </row>
    <row r="87" spans="1:11" x14ac:dyDescent="0.2">
      <c r="A87" s="1" t="s">
        <v>2065</v>
      </c>
      <c r="H87" s="1" t="s">
        <v>2073</v>
      </c>
    </row>
    <row r="88" spans="1:11" x14ac:dyDescent="0.2">
      <c r="A88" s="1" t="s">
        <v>2066</v>
      </c>
      <c r="H88" s="1" t="s">
        <v>2074</v>
      </c>
    </row>
    <row r="89" spans="1:11" x14ac:dyDescent="0.2">
      <c r="B89" s="1" t="s">
        <v>2067</v>
      </c>
      <c r="F89" s="128" t="s">
        <v>2078</v>
      </c>
      <c r="H89" s="1" t="s">
        <v>2075</v>
      </c>
    </row>
    <row r="90" spans="1:11" x14ac:dyDescent="0.2">
      <c r="B90" s="1" t="s">
        <v>2068</v>
      </c>
      <c r="F90" s="128" t="s">
        <v>2079</v>
      </c>
    </row>
    <row r="91" spans="1:11" x14ac:dyDescent="0.2">
      <c r="B91" s="1" t="s">
        <v>2069</v>
      </c>
      <c r="H91" s="1" t="s">
        <v>2076</v>
      </c>
    </row>
    <row r="92" spans="1:11" x14ac:dyDescent="0.2">
      <c r="A92" s="1" t="s">
        <v>2070</v>
      </c>
      <c r="H92" s="1" t="s">
        <v>2077</v>
      </c>
    </row>
    <row r="93" spans="1:11" x14ac:dyDescent="0.2">
      <c r="A93" s="2" t="s">
        <v>2071</v>
      </c>
    </row>
    <row r="94" spans="1:11" ht="17" thickBot="1" x14ac:dyDescent="0.25"/>
    <row r="95" spans="1:11" ht="17" thickBot="1" x14ac:dyDescent="0.25">
      <c r="A95" s="275" t="s">
        <v>1109</v>
      </c>
      <c r="B95" s="274">
        <f>470/368-1</f>
        <v>0.27717391304347827</v>
      </c>
      <c r="H95" s="77" t="s">
        <v>2096</v>
      </c>
      <c r="I95" s="82"/>
      <c r="J95" s="82"/>
      <c r="K95" s="82"/>
    </row>
    <row r="97" spans="1:11" x14ac:dyDescent="0.2">
      <c r="A97" s="1" t="s">
        <v>2080</v>
      </c>
    </row>
    <row r="98" spans="1:11" x14ac:dyDescent="0.2">
      <c r="A98" s="1" t="s">
        <v>2081</v>
      </c>
    </row>
    <row r="99" spans="1:11" x14ac:dyDescent="0.2">
      <c r="A99" s="1" t="s">
        <v>2082</v>
      </c>
      <c r="C99" s="1" t="s">
        <v>2083</v>
      </c>
      <c r="D99" s="86">
        <v>400000</v>
      </c>
    </row>
    <row r="100" spans="1:11" x14ac:dyDescent="0.2">
      <c r="C100" s="1" t="s">
        <v>2084</v>
      </c>
      <c r="D100" s="86">
        <v>30000</v>
      </c>
    </row>
    <row r="101" spans="1:11" x14ac:dyDescent="0.2">
      <c r="C101" s="1" t="s">
        <v>2085</v>
      </c>
      <c r="D101" s="86">
        <v>40000</v>
      </c>
      <c r="F101" s="1" t="s">
        <v>2086</v>
      </c>
    </row>
    <row r="102" spans="1:11" x14ac:dyDescent="0.2">
      <c r="C102" s="12" t="s">
        <v>2087</v>
      </c>
      <c r="D102" s="273">
        <f>SUM(D99:D101)</f>
        <v>470000</v>
      </c>
    </row>
    <row r="103" spans="1:11" x14ac:dyDescent="0.2">
      <c r="D103" s="86"/>
    </row>
    <row r="104" spans="1:11" x14ac:dyDescent="0.2">
      <c r="A104" s="1" t="s">
        <v>2088</v>
      </c>
      <c r="D104" s="86"/>
    </row>
    <row r="105" spans="1:11" x14ac:dyDescent="0.2">
      <c r="A105" s="1" t="s">
        <v>2089</v>
      </c>
      <c r="D105" s="86"/>
    </row>
    <row r="107" spans="1:11" x14ac:dyDescent="0.2">
      <c r="A107" s="1" t="s">
        <v>2090</v>
      </c>
      <c r="C107" s="1" t="s">
        <v>2083</v>
      </c>
      <c r="D107" s="86">
        <f>D99</f>
        <v>400000</v>
      </c>
      <c r="F107" s="1" t="s">
        <v>2093</v>
      </c>
    </row>
    <row r="108" spans="1:11" x14ac:dyDescent="0.2">
      <c r="C108" s="1" t="s">
        <v>2091</v>
      </c>
      <c r="D108" s="86">
        <v>-32000</v>
      </c>
      <c r="F108" s="1" t="s">
        <v>2094</v>
      </c>
    </row>
    <row r="109" spans="1:11" x14ac:dyDescent="0.2">
      <c r="C109" s="12" t="s">
        <v>2092</v>
      </c>
      <c r="D109" s="273">
        <f>D107+D108</f>
        <v>368000</v>
      </c>
      <c r="F109" s="1" t="s">
        <v>2095</v>
      </c>
    </row>
    <row r="112" spans="1:11" x14ac:dyDescent="0.2">
      <c r="A112" s="1" t="s">
        <v>1111</v>
      </c>
      <c r="B112" s="271">
        <f>(1+B95)^(1/6)-1</f>
        <v>4.1617672925423621E-2</v>
      </c>
      <c r="H112" s="75" t="s">
        <v>2098</v>
      </c>
      <c r="I112" s="75"/>
      <c r="J112" s="75"/>
      <c r="K112" s="75"/>
    </row>
    <row r="114" spans="1:8" x14ac:dyDescent="0.2">
      <c r="A114" s="1" t="s">
        <v>2097</v>
      </c>
    </row>
    <row r="120" spans="1:8" x14ac:dyDescent="0.2">
      <c r="G120" s="1" t="s">
        <v>955</v>
      </c>
    </row>
    <row r="121" spans="1:8" x14ac:dyDescent="0.2">
      <c r="G121" s="1" t="s">
        <v>952</v>
      </c>
    </row>
    <row r="122" spans="1:8" x14ac:dyDescent="0.2">
      <c r="G122" s="1" t="s">
        <v>953</v>
      </c>
    </row>
    <row r="123" spans="1:8" x14ac:dyDescent="0.2">
      <c r="G123" s="1" t="s">
        <v>954</v>
      </c>
    </row>
    <row r="126" spans="1:8" ht="17" thickBot="1" x14ac:dyDescent="0.25"/>
    <row r="127" spans="1:8" ht="17" thickBot="1" x14ac:dyDescent="0.25">
      <c r="A127" s="3" t="s">
        <v>2099</v>
      </c>
      <c r="B127" s="6"/>
      <c r="C127" s="6"/>
      <c r="D127" s="6"/>
      <c r="E127" s="6"/>
      <c r="F127" s="6"/>
      <c r="G127" s="6"/>
      <c r="H127" s="7"/>
    </row>
    <row r="128" spans="1:8" x14ac:dyDescent="0.2">
      <c r="A128" s="1" t="s">
        <v>2100</v>
      </c>
    </row>
    <row r="129" spans="1:8" x14ac:dyDescent="0.2">
      <c r="A129" s="1" t="s">
        <v>2101</v>
      </c>
    </row>
    <row r="130" spans="1:8" x14ac:dyDescent="0.2">
      <c r="A130" s="1" t="s">
        <v>2102</v>
      </c>
    </row>
    <row r="131" spans="1:8" x14ac:dyDescent="0.2">
      <c r="A131" s="1" t="s">
        <v>2104</v>
      </c>
    </row>
    <row r="132" spans="1:8" x14ac:dyDescent="0.2">
      <c r="A132" s="1" t="s">
        <v>2103</v>
      </c>
    </row>
    <row r="133" spans="1:8" ht="17" thickBot="1" x14ac:dyDescent="0.25"/>
    <row r="134" spans="1:8" ht="17" thickBot="1" x14ac:dyDescent="0.25">
      <c r="A134" s="3" t="s">
        <v>1005</v>
      </c>
      <c r="B134" s="4"/>
      <c r="C134" s="4"/>
      <c r="D134" s="4"/>
      <c r="E134" s="4"/>
      <c r="F134" s="4"/>
      <c r="G134" s="4"/>
      <c r="H134" s="5"/>
    </row>
    <row r="135" spans="1:8" x14ac:dyDescent="0.2">
      <c r="A135" s="1" t="s">
        <v>956</v>
      </c>
    </row>
    <row r="136" spans="1:8" x14ac:dyDescent="0.2">
      <c r="A136" s="1" t="s">
        <v>2105</v>
      </c>
    </row>
    <row r="137" spans="1:8" ht="17" thickBot="1" x14ac:dyDescent="0.25">
      <c r="A137" s="1" t="s">
        <v>711</v>
      </c>
    </row>
    <row r="138" spans="1:8" x14ac:dyDescent="0.2">
      <c r="A138" s="1" t="s">
        <v>957</v>
      </c>
      <c r="E138" s="291" t="s">
        <v>958</v>
      </c>
      <c r="F138" s="292"/>
      <c r="G138" s="292"/>
      <c r="H138" s="293"/>
    </row>
    <row r="139" spans="1:8" ht="17" thickBot="1" x14ac:dyDescent="0.25">
      <c r="A139" s="1" t="s">
        <v>2106</v>
      </c>
      <c r="E139" s="294"/>
      <c r="F139" s="295"/>
      <c r="G139" s="295"/>
      <c r="H139" s="296"/>
    </row>
    <row r="140" spans="1:8" x14ac:dyDescent="0.2">
      <c r="E140" s="12"/>
      <c r="F140" s="12"/>
      <c r="G140" s="12"/>
      <c r="H140" s="12"/>
    </row>
    <row r="141" spans="1:8" x14ac:dyDescent="0.2">
      <c r="A141" s="29" t="s">
        <v>2117</v>
      </c>
      <c r="B141" s="29"/>
      <c r="E141" s="12"/>
      <c r="F141" s="12"/>
      <c r="G141" s="12"/>
      <c r="H141" s="12"/>
    </row>
    <row r="142" spans="1:8" x14ac:dyDescent="0.2">
      <c r="A142" s="1" t="s">
        <v>2120</v>
      </c>
      <c r="E142" s="12"/>
      <c r="F142" s="12"/>
      <c r="G142" s="12"/>
      <c r="H142" s="12"/>
    </row>
    <row r="143" spans="1:8" x14ac:dyDescent="0.2">
      <c r="A143" s="1" t="s">
        <v>2121</v>
      </c>
      <c r="E143" s="12"/>
      <c r="F143" s="12"/>
      <c r="G143" s="12"/>
      <c r="H143" s="12"/>
    </row>
    <row r="144" spans="1:8" x14ac:dyDescent="0.2">
      <c r="A144" s="1" t="s">
        <v>2107</v>
      </c>
      <c r="E144" s="12"/>
      <c r="F144" s="12"/>
      <c r="G144" s="12"/>
      <c r="H144" s="12" t="s">
        <v>2108</v>
      </c>
    </row>
    <row r="145" spans="1:8" x14ac:dyDescent="0.2">
      <c r="A145" s="1" t="s">
        <v>2109</v>
      </c>
      <c r="E145" s="12"/>
      <c r="F145" s="12"/>
      <c r="G145" s="12"/>
      <c r="H145" s="12"/>
    </row>
    <row r="146" spans="1:8" x14ac:dyDescent="0.2">
      <c r="A146" s="1" t="s">
        <v>2110</v>
      </c>
      <c r="E146" s="12"/>
      <c r="F146" s="12"/>
      <c r="G146" s="12"/>
      <c r="H146" s="12"/>
    </row>
    <row r="147" spans="1:8" x14ac:dyDescent="0.2">
      <c r="A147" s="1" t="s">
        <v>2111</v>
      </c>
      <c r="E147" s="12"/>
      <c r="F147" s="12"/>
      <c r="G147" s="12"/>
      <c r="H147" s="12"/>
    </row>
    <row r="148" spans="1:8" x14ac:dyDescent="0.2">
      <c r="E148" s="12"/>
      <c r="F148" s="12"/>
      <c r="G148" s="12"/>
      <c r="H148" s="12"/>
    </row>
    <row r="149" spans="1:8" x14ac:dyDescent="0.2">
      <c r="A149" s="1" t="s">
        <v>2112</v>
      </c>
      <c r="E149" s="12"/>
      <c r="F149" s="12" t="s">
        <v>2113</v>
      </c>
      <c r="G149" s="12"/>
      <c r="H149" s="12"/>
    </row>
    <row r="150" spans="1:8" x14ac:dyDescent="0.2">
      <c r="A150" s="1" t="s">
        <v>2114</v>
      </c>
      <c r="E150" s="12"/>
      <c r="F150" s="12"/>
      <c r="H150" s="12"/>
    </row>
    <row r="151" spans="1:8" x14ac:dyDescent="0.2">
      <c r="A151" s="1" t="s">
        <v>2116</v>
      </c>
      <c r="E151" s="91">
        <f>100*1.025^4</f>
        <v>110.38128906249997</v>
      </c>
      <c r="F151" s="12"/>
      <c r="G151" s="12" t="s">
        <v>2115</v>
      </c>
      <c r="H151" s="12"/>
    </row>
    <row r="152" spans="1:8" x14ac:dyDescent="0.2">
      <c r="A152" s="1" t="s">
        <v>2118</v>
      </c>
      <c r="E152" s="12"/>
      <c r="F152" s="12"/>
      <c r="G152" s="12"/>
      <c r="H152" s="12"/>
    </row>
    <row r="153" spans="1:8" x14ac:dyDescent="0.2">
      <c r="A153" s="1" t="s">
        <v>2119</v>
      </c>
      <c r="E153" s="12"/>
      <c r="F153" s="12"/>
      <c r="G153" s="12"/>
      <c r="H153" s="12"/>
    </row>
    <row r="154" spans="1:8" x14ac:dyDescent="0.2">
      <c r="E154" s="12"/>
      <c r="F154" s="12"/>
      <c r="G154" s="12"/>
      <c r="H154" s="12"/>
    </row>
    <row r="155" spans="1:8" x14ac:dyDescent="0.2">
      <c r="A155" s="1" t="s">
        <v>2123</v>
      </c>
      <c r="E155" s="12"/>
      <c r="F155" s="12"/>
      <c r="G155" s="12"/>
      <c r="H155" s="12"/>
    </row>
    <row r="156" spans="1:8" x14ac:dyDescent="0.2">
      <c r="A156" s="1" t="s">
        <v>2122</v>
      </c>
      <c r="E156" s="12"/>
      <c r="F156" s="12"/>
      <c r="G156" s="12"/>
      <c r="H156" s="12"/>
    </row>
    <row r="157" spans="1:8" x14ac:dyDescent="0.2">
      <c r="E157" s="12"/>
      <c r="F157" s="12"/>
      <c r="G157" s="12"/>
      <c r="H157" s="12"/>
    </row>
    <row r="158" spans="1:8" x14ac:dyDescent="0.2">
      <c r="E158" s="12"/>
      <c r="F158" s="12"/>
      <c r="G158" s="12"/>
      <c r="H158" s="12"/>
    </row>
    <row r="159" spans="1:8" x14ac:dyDescent="0.2">
      <c r="A159" s="1" t="s">
        <v>960</v>
      </c>
      <c r="E159" s="12"/>
      <c r="F159" s="12"/>
      <c r="G159" s="12"/>
      <c r="H159" s="12"/>
    </row>
    <row r="160" spans="1:8" x14ac:dyDescent="0.2">
      <c r="B160" s="1" t="s">
        <v>2124</v>
      </c>
      <c r="E160" s="12"/>
      <c r="F160" s="12"/>
      <c r="G160" s="12"/>
      <c r="H160" s="12"/>
    </row>
    <row r="161" spans="1:8" x14ac:dyDescent="0.2">
      <c r="B161" s="1" t="s">
        <v>2125</v>
      </c>
      <c r="E161" s="12"/>
      <c r="F161" s="12"/>
      <c r="G161" s="12"/>
      <c r="H161" s="12"/>
    </row>
    <row r="162" spans="1:8" x14ac:dyDescent="0.2">
      <c r="B162" s="1" t="s">
        <v>2126</v>
      </c>
      <c r="E162" s="12"/>
      <c r="F162" s="12"/>
      <c r="G162" s="12"/>
      <c r="H162" s="12"/>
    </row>
    <row r="163" spans="1:8" x14ac:dyDescent="0.2">
      <c r="C163" s="1" t="s">
        <v>2127</v>
      </c>
      <c r="E163" s="12"/>
      <c r="F163" s="12"/>
      <c r="G163" s="12"/>
      <c r="H163" s="12"/>
    </row>
    <row r="164" spans="1:8" x14ac:dyDescent="0.2">
      <c r="C164" s="1" t="s">
        <v>2128</v>
      </c>
      <c r="E164" s="12"/>
      <c r="F164" s="12"/>
      <c r="G164" s="12"/>
      <c r="H164" s="12"/>
    </row>
    <row r="165" spans="1:8" x14ac:dyDescent="0.2">
      <c r="C165" s="1" t="s">
        <v>2132</v>
      </c>
      <c r="E165" s="12"/>
      <c r="F165" s="12"/>
      <c r="G165" s="12"/>
      <c r="H165" s="12"/>
    </row>
    <row r="166" spans="1:8" x14ac:dyDescent="0.2">
      <c r="B166" s="1" t="s">
        <v>2130</v>
      </c>
      <c r="E166" s="12"/>
      <c r="F166" s="12"/>
      <c r="G166" s="12"/>
      <c r="H166" s="12"/>
    </row>
    <row r="167" spans="1:8" x14ac:dyDescent="0.2">
      <c r="C167" s="1" t="s">
        <v>2129</v>
      </c>
      <c r="E167" s="12"/>
      <c r="F167" s="12"/>
      <c r="G167" s="12"/>
      <c r="H167" s="12"/>
    </row>
    <row r="168" spans="1:8" x14ac:dyDescent="0.2">
      <c r="C168" s="1" t="s">
        <v>2131</v>
      </c>
      <c r="E168" s="12"/>
      <c r="F168" s="12"/>
      <c r="G168" s="12"/>
      <c r="H168" s="12"/>
    </row>
    <row r="169" spans="1:8" x14ac:dyDescent="0.2">
      <c r="C169" s="1" t="s">
        <v>2133</v>
      </c>
      <c r="E169" s="12"/>
      <c r="F169" s="12"/>
      <c r="G169" s="12"/>
      <c r="H169" s="12"/>
    </row>
    <row r="170" spans="1:8" x14ac:dyDescent="0.2">
      <c r="E170" s="12"/>
      <c r="F170" s="12"/>
      <c r="G170" s="12"/>
      <c r="H170" s="12"/>
    </row>
    <row r="171" spans="1:8" x14ac:dyDescent="0.2">
      <c r="E171" s="297">
        <f>100*1.025^4</f>
        <v>110.38128906249997</v>
      </c>
      <c r="F171" s="12"/>
      <c r="G171" s="12"/>
      <c r="H171" s="12"/>
    </row>
    <row r="172" spans="1:8" x14ac:dyDescent="0.2">
      <c r="E172" s="297"/>
      <c r="F172" s="12"/>
      <c r="G172" s="12"/>
      <c r="H172" s="12"/>
    </row>
    <row r="173" spans="1:8" ht="17" thickBot="1" x14ac:dyDescent="0.25">
      <c r="E173" s="12"/>
      <c r="F173" s="12"/>
      <c r="G173" s="12"/>
      <c r="H173" s="12"/>
    </row>
    <row r="174" spans="1:8" ht="17" thickBot="1" x14ac:dyDescent="0.25">
      <c r="A174" s="3" t="s">
        <v>2134</v>
      </c>
      <c r="B174" s="6"/>
      <c r="C174" s="6"/>
      <c r="D174" s="6"/>
      <c r="E174" s="103"/>
      <c r="F174" s="103"/>
      <c r="G174" s="103"/>
      <c r="H174" s="276"/>
    </row>
    <row r="175" spans="1:8" x14ac:dyDescent="0.2">
      <c r="E175" s="12"/>
      <c r="F175" s="12"/>
      <c r="G175" s="12"/>
      <c r="H175" s="12"/>
    </row>
    <row r="176" spans="1:8" x14ac:dyDescent="0.2">
      <c r="A176" s="1" t="s">
        <v>2135</v>
      </c>
      <c r="E176" s="12"/>
      <c r="F176" s="12"/>
      <c r="G176" s="12"/>
      <c r="H176" s="12"/>
    </row>
    <row r="177" spans="1:8" x14ac:dyDescent="0.2">
      <c r="A177" s="1" t="s">
        <v>2136</v>
      </c>
      <c r="E177" s="12"/>
      <c r="F177" s="12"/>
      <c r="G177" s="12"/>
      <c r="H177" s="12"/>
    </row>
    <row r="178" spans="1:8" x14ac:dyDescent="0.2">
      <c r="E178" s="12"/>
      <c r="F178" s="12"/>
      <c r="G178" s="12"/>
      <c r="H178" s="12"/>
    </row>
    <row r="179" spans="1:8" x14ac:dyDescent="0.2">
      <c r="A179" s="1" t="s">
        <v>2137</v>
      </c>
      <c r="E179" s="12"/>
      <c r="F179" s="12"/>
      <c r="G179" s="12"/>
      <c r="H179" s="12"/>
    </row>
    <row r="180" spans="1:8" x14ac:dyDescent="0.2">
      <c r="A180" s="1" t="s">
        <v>2138</v>
      </c>
      <c r="E180" s="12"/>
      <c r="F180" s="12"/>
      <c r="G180" s="12"/>
      <c r="H180" s="12"/>
    </row>
    <row r="181" spans="1:8" x14ac:dyDescent="0.2">
      <c r="E181" s="12"/>
      <c r="F181" s="12"/>
      <c r="G181" s="12"/>
      <c r="H181" s="12"/>
    </row>
    <row r="182" spans="1:8" x14ac:dyDescent="0.2">
      <c r="C182" s="298">
        <f>10.3812891%</f>
        <v>0.103812891</v>
      </c>
      <c r="E182" s="12"/>
      <c r="F182" s="12"/>
      <c r="G182" s="12"/>
      <c r="H182" s="12"/>
    </row>
    <row r="183" spans="1:8" x14ac:dyDescent="0.2">
      <c r="C183" s="298"/>
      <c r="E183" s="12"/>
      <c r="F183" s="12"/>
      <c r="G183" s="12"/>
      <c r="H183" s="12"/>
    </row>
    <row r="184" spans="1:8" x14ac:dyDescent="0.2">
      <c r="A184" s="14"/>
      <c r="B184" s="14"/>
      <c r="C184" s="14"/>
      <c r="D184" s="14"/>
      <c r="E184" s="55"/>
      <c r="F184" s="55"/>
      <c r="G184" s="55"/>
      <c r="H184" s="55"/>
    </row>
    <row r="185" spans="1:8" x14ac:dyDescent="0.2">
      <c r="A185" s="14" t="s">
        <v>2139</v>
      </c>
      <c r="B185" s="14"/>
      <c r="C185" s="14"/>
      <c r="D185" s="14"/>
      <c r="E185" s="55"/>
      <c r="F185" s="55"/>
      <c r="G185" s="55"/>
      <c r="H185" s="55"/>
    </row>
    <row r="186" spans="1:8" x14ac:dyDescent="0.2">
      <c r="A186" s="14" t="s">
        <v>2140</v>
      </c>
      <c r="B186" s="14"/>
      <c r="C186" s="14"/>
      <c r="D186" s="14"/>
      <c r="E186" s="55"/>
      <c r="F186" s="55"/>
      <c r="G186" s="55"/>
      <c r="H186" s="55"/>
    </row>
    <row r="187" spans="1:8" x14ac:dyDescent="0.2">
      <c r="E187" s="12"/>
      <c r="F187" s="12"/>
      <c r="G187" s="12"/>
      <c r="H187" s="12"/>
    </row>
    <row r="188" spans="1:8" x14ac:dyDescent="0.2">
      <c r="A188" s="1" t="s">
        <v>2141</v>
      </c>
      <c r="E188" s="12"/>
      <c r="F188" s="12"/>
      <c r="G188" s="12"/>
      <c r="H188" s="12"/>
    </row>
    <row r="189" spans="1:8" x14ac:dyDescent="0.2">
      <c r="A189" s="1" t="s">
        <v>2142</v>
      </c>
      <c r="E189" s="12"/>
      <c r="F189" s="12"/>
      <c r="G189" s="12"/>
      <c r="H189" s="12"/>
    </row>
    <row r="190" spans="1:8" x14ac:dyDescent="0.2">
      <c r="A190" s="12"/>
      <c r="E190" s="12"/>
      <c r="F190" s="12"/>
      <c r="G190" s="12"/>
      <c r="H190" s="12"/>
    </row>
    <row r="191" spans="1:8" x14ac:dyDescent="0.2">
      <c r="A191" s="12"/>
      <c r="B191" s="12" t="s">
        <v>2143</v>
      </c>
      <c r="C191" s="1" t="s">
        <v>2144</v>
      </c>
      <c r="E191" s="12"/>
      <c r="F191" s="12"/>
      <c r="G191" s="12"/>
      <c r="H191" s="12"/>
    </row>
    <row r="192" spans="1:8" x14ac:dyDescent="0.2">
      <c r="A192" s="277">
        <v>0.1</v>
      </c>
      <c r="B192" s="12" t="s">
        <v>2145</v>
      </c>
      <c r="C192" s="1" t="s">
        <v>2146</v>
      </c>
      <c r="E192" s="12"/>
      <c r="F192" s="12"/>
      <c r="G192" s="12"/>
      <c r="H192" s="12"/>
    </row>
    <row r="193" spans="1:9" x14ac:dyDescent="0.2">
      <c r="A193" s="12">
        <v>4</v>
      </c>
      <c r="B193" s="12" t="s">
        <v>45</v>
      </c>
      <c r="C193" s="1" t="s">
        <v>2147</v>
      </c>
      <c r="E193" s="12"/>
      <c r="F193" s="12"/>
      <c r="G193" s="12"/>
      <c r="H193" s="12"/>
    </row>
    <row r="194" spans="1:9" x14ac:dyDescent="0.2">
      <c r="A194" s="12">
        <v>4</v>
      </c>
      <c r="B194" s="12" t="s">
        <v>2148</v>
      </c>
      <c r="C194" s="1" t="s">
        <v>2149</v>
      </c>
      <c r="E194" s="12"/>
      <c r="F194" s="12"/>
      <c r="G194" s="12"/>
      <c r="H194" s="12"/>
    </row>
    <row r="195" spans="1:9" x14ac:dyDescent="0.2">
      <c r="E195" s="12"/>
      <c r="F195" s="12"/>
      <c r="G195" s="12"/>
      <c r="H195" s="12"/>
    </row>
    <row r="196" spans="1:9" x14ac:dyDescent="0.2">
      <c r="D196" s="278">
        <f>C182</f>
        <v>0.103812891</v>
      </c>
      <c r="E196" s="12"/>
      <c r="F196" s="12"/>
      <c r="G196" s="12"/>
      <c r="H196" s="12"/>
    </row>
    <row r="197" spans="1:9" x14ac:dyDescent="0.2">
      <c r="E197" s="12"/>
      <c r="F197" s="12"/>
      <c r="G197" s="12"/>
      <c r="H197" s="12"/>
    </row>
    <row r="198" spans="1:9" x14ac:dyDescent="0.2">
      <c r="A198" s="272" t="s">
        <v>2150</v>
      </c>
      <c r="B198" s="272"/>
      <c r="C198" s="272"/>
      <c r="D198" s="272"/>
      <c r="E198" s="279"/>
      <c r="F198" s="279"/>
      <c r="G198" s="279"/>
      <c r="H198" s="279"/>
      <c r="I198" s="272"/>
    </row>
    <row r="199" spans="1:9" x14ac:dyDescent="0.2">
      <c r="E199" s="12"/>
      <c r="F199" s="12"/>
      <c r="G199" s="12"/>
      <c r="H199" s="12"/>
    </row>
    <row r="200" spans="1:9" x14ac:dyDescent="0.2">
      <c r="A200" s="1" t="s">
        <v>2151</v>
      </c>
      <c r="E200" s="12"/>
      <c r="F200" s="12"/>
      <c r="G200" s="12"/>
      <c r="H200" s="12"/>
    </row>
    <row r="201" spans="1:9" x14ac:dyDescent="0.2">
      <c r="A201" s="1" t="s">
        <v>2152</v>
      </c>
      <c r="E201" s="12"/>
      <c r="F201" s="12"/>
      <c r="G201" s="12"/>
      <c r="H201" s="12"/>
    </row>
    <row r="202" spans="1:9" x14ac:dyDescent="0.2">
      <c r="A202" s="1" t="s">
        <v>2153</v>
      </c>
      <c r="E202" s="12"/>
      <c r="F202" s="12"/>
      <c r="G202" s="12"/>
      <c r="H202" s="12"/>
    </row>
    <row r="203" spans="1:9" x14ac:dyDescent="0.2">
      <c r="A203" s="1" t="s">
        <v>711</v>
      </c>
      <c r="E203" s="12"/>
      <c r="F203" s="12"/>
      <c r="G203" s="12"/>
      <c r="H203" s="12"/>
    </row>
    <row r="204" spans="1:9" x14ac:dyDescent="0.2">
      <c r="A204" s="1" t="s">
        <v>2154</v>
      </c>
      <c r="E204" s="12"/>
      <c r="F204" s="12"/>
      <c r="G204" s="12"/>
      <c r="H204" s="12"/>
    </row>
    <row r="205" spans="1:9" x14ac:dyDescent="0.2">
      <c r="A205" s="1" t="s">
        <v>2155</v>
      </c>
      <c r="E205" s="12"/>
      <c r="F205" s="12"/>
      <c r="G205" s="12"/>
      <c r="H205" s="12"/>
    </row>
    <row r="206" spans="1:9" x14ac:dyDescent="0.2">
      <c r="E206" s="12"/>
      <c r="F206" s="12"/>
      <c r="G206" s="12"/>
      <c r="H206" s="12"/>
    </row>
    <row r="207" spans="1:9" x14ac:dyDescent="0.2">
      <c r="A207" s="1" t="s">
        <v>27</v>
      </c>
      <c r="E207" s="12"/>
      <c r="F207" s="12"/>
      <c r="G207" s="12"/>
      <c r="H207" s="12"/>
    </row>
    <row r="208" spans="1:9" x14ac:dyDescent="0.2">
      <c r="E208" s="12"/>
      <c r="F208" s="12"/>
      <c r="G208" s="12"/>
      <c r="H208" s="12"/>
    </row>
    <row r="209" spans="1:9" x14ac:dyDescent="0.2">
      <c r="A209" s="1" t="s">
        <v>2156</v>
      </c>
      <c r="E209" s="12"/>
      <c r="F209" s="12"/>
      <c r="G209" s="12"/>
      <c r="H209" s="12"/>
    </row>
    <row r="210" spans="1:9" x14ac:dyDescent="0.2">
      <c r="A210" s="1" t="s">
        <v>2157</v>
      </c>
      <c r="E210" s="12"/>
      <c r="F210" s="12"/>
      <c r="G210" s="12"/>
      <c r="H210" s="12"/>
    </row>
    <row r="211" spans="1:9" x14ac:dyDescent="0.2">
      <c r="E211" s="12"/>
      <c r="F211" s="12"/>
      <c r="G211" s="12"/>
      <c r="H211" s="12"/>
    </row>
    <row r="212" spans="1:9" x14ac:dyDescent="0.2">
      <c r="A212" s="1" t="s">
        <v>2158</v>
      </c>
      <c r="E212" s="12"/>
      <c r="F212" s="12"/>
      <c r="G212" s="12"/>
      <c r="H212" s="12"/>
    </row>
    <row r="213" spans="1:9" x14ac:dyDescent="0.2">
      <c r="A213" s="12" t="s">
        <v>2143</v>
      </c>
      <c r="B213" s="1" t="s">
        <v>2144</v>
      </c>
      <c r="E213" s="12"/>
      <c r="F213" s="12"/>
      <c r="G213" s="12"/>
      <c r="H213" s="12"/>
    </row>
    <row r="214" spans="1:9" x14ac:dyDescent="0.2">
      <c r="A214" s="12" t="s">
        <v>2145</v>
      </c>
      <c r="B214" s="1" t="s">
        <v>2146</v>
      </c>
      <c r="E214" s="12"/>
      <c r="F214" s="12"/>
      <c r="G214" s="12"/>
      <c r="H214" s="12"/>
    </row>
    <row r="215" spans="1:9" x14ac:dyDescent="0.2">
      <c r="A215" s="12" t="s">
        <v>45</v>
      </c>
      <c r="B215" s="1" t="s">
        <v>2147</v>
      </c>
      <c r="E215" s="12"/>
      <c r="F215" s="12"/>
      <c r="G215" s="12"/>
      <c r="H215" s="12"/>
    </row>
    <row r="216" spans="1:9" x14ac:dyDescent="0.2">
      <c r="A216" s="12" t="s">
        <v>2148</v>
      </c>
      <c r="B216" s="1" t="s">
        <v>2149</v>
      </c>
      <c r="E216" s="12"/>
      <c r="F216" s="12"/>
      <c r="G216" s="12"/>
      <c r="H216" s="12"/>
    </row>
    <row r="217" spans="1:9" ht="17" thickBot="1" x14ac:dyDescent="0.25">
      <c r="E217" s="12"/>
      <c r="F217" s="12"/>
      <c r="G217" s="12"/>
      <c r="H217" s="12"/>
    </row>
    <row r="218" spans="1:9" ht="17" thickBot="1" x14ac:dyDescent="0.25">
      <c r="A218" s="102" t="s">
        <v>2154</v>
      </c>
      <c r="B218" s="6"/>
      <c r="C218" s="6"/>
      <c r="D218" s="6"/>
      <c r="E218" s="103"/>
      <c r="F218" s="103"/>
      <c r="G218" s="103"/>
      <c r="H218" s="103"/>
      <c r="I218" s="7"/>
    </row>
    <row r="219" spans="1:9" x14ac:dyDescent="0.2">
      <c r="E219" s="12"/>
      <c r="F219" s="12"/>
      <c r="G219" s="12"/>
      <c r="H219" s="12"/>
    </row>
    <row r="220" spans="1:9" x14ac:dyDescent="0.2">
      <c r="E220" s="12"/>
      <c r="F220" s="12"/>
      <c r="G220" s="12"/>
      <c r="H220" s="12"/>
    </row>
    <row r="221" spans="1:9" x14ac:dyDescent="0.2">
      <c r="E221" s="12"/>
      <c r="F221" s="12"/>
      <c r="G221" s="12"/>
      <c r="H221" s="12"/>
    </row>
    <row r="222" spans="1:9" x14ac:dyDescent="0.2">
      <c r="A222" s="12" t="s">
        <v>2143</v>
      </c>
      <c r="B222" s="1" t="s">
        <v>2144</v>
      </c>
      <c r="E222" s="12"/>
      <c r="F222" s="12"/>
      <c r="G222" s="12"/>
      <c r="H222" s="12"/>
    </row>
    <row r="223" spans="1:9" x14ac:dyDescent="0.2">
      <c r="A223" s="12" t="s">
        <v>2145</v>
      </c>
      <c r="B223" s="1" t="s">
        <v>2146</v>
      </c>
      <c r="G223" s="277">
        <v>0.12</v>
      </c>
      <c r="H223" s="12" t="s">
        <v>2159</v>
      </c>
    </row>
    <row r="224" spans="1:9" x14ac:dyDescent="0.2">
      <c r="A224" s="12" t="s">
        <v>45</v>
      </c>
      <c r="B224" s="1" t="s">
        <v>2147</v>
      </c>
      <c r="E224" s="12"/>
      <c r="F224" s="12"/>
      <c r="G224" s="33" t="s">
        <v>2160</v>
      </c>
      <c r="H224" s="12"/>
    </row>
    <row r="225" spans="1:9" x14ac:dyDescent="0.2">
      <c r="A225" s="12" t="s">
        <v>2148</v>
      </c>
      <c r="B225" s="1" t="s">
        <v>2149</v>
      </c>
      <c r="E225" s="12"/>
      <c r="F225" s="12"/>
      <c r="G225" s="33" t="s">
        <v>2161</v>
      </c>
      <c r="H225" s="12"/>
    </row>
    <row r="226" spans="1:9" ht="17" thickBot="1" x14ac:dyDescent="0.25">
      <c r="E226" s="12"/>
      <c r="F226" s="12"/>
      <c r="G226" s="12"/>
      <c r="H226" s="12"/>
    </row>
    <row r="227" spans="1:9" ht="17" thickBot="1" x14ac:dyDescent="0.25">
      <c r="A227" s="102" t="s">
        <v>2164</v>
      </c>
      <c r="B227" s="6"/>
      <c r="C227" s="6"/>
      <c r="D227" s="6"/>
      <c r="E227" s="103"/>
      <c r="F227" s="103"/>
      <c r="G227" s="103"/>
      <c r="H227" s="103"/>
      <c r="I227" s="7"/>
    </row>
    <row r="228" spans="1:9" x14ac:dyDescent="0.2">
      <c r="E228" s="12"/>
      <c r="F228" s="12"/>
      <c r="G228" s="12"/>
      <c r="H228" s="12"/>
    </row>
    <row r="229" spans="1:9" x14ac:dyDescent="0.2">
      <c r="E229" s="12"/>
      <c r="F229" s="12"/>
      <c r="G229" s="12"/>
      <c r="H229" s="12"/>
    </row>
    <row r="230" spans="1:9" x14ac:dyDescent="0.2">
      <c r="D230" s="280">
        <f>(1+8%/6)^12-1</f>
        <v>0.17227079825887714</v>
      </c>
      <c r="E230" s="12"/>
      <c r="F230" s="12"/>
      <c r="G230" s="12"/>
      <c r="H230" s="12"/>
    </row>
    <row r="231" spans="1:9" x14ac:dyDescent="0.2">
      <c r="E231" s="12"/>
      <c r="F231" s="12"/>
      <c r="G231" s="12"/>
      <c r="H231" s="12"/>
    </row>
    <row r="232" spans="1:9" x14ac:dyDescent="0.2">
      <c r="A232" s="12" t="s">
        <v>2143</v>
      </c>
      <c r="B232" s="1" t="s">
        <v>2144</v>
      </c>
      <c r="E232" s="12"/>
      <c r="F232" s="12"/>
      <c r="G232" s="12"/>
      <c r="H232" s="12"/>
    </row>
    <row r="233" spans="1:9" x14ac:dyDescent="0.2">
      <c r="A233" s="12" t="s">
        <v>2145</v>
      </c>
      <c r="B233" s="1" t="s">
        <v>2146</v>
      </c>
      <c r="F233" s="277">
        <v>0.08</v>
      </c>
      <c r="G233" s="277"/>
      <c r="H233" s="12" t="s">
        <v>2162</v>
      </c>
    </row>
    <row r="234" spans="1:9" x14ac:dyDescent="0.2">
      <c r="A234" s="12" t="s">
        <v>45</v>
      </c>
      <c r="B234" s="1" t="s">
        <v>2147</v>
      </c>
      <c r="E234" s="12"/>
      <c r="F234" s="12"/>
      <c r="G234" s="33" t="s">
        <v>2163</v>
      </c>
      <c r="H234" s="12"/>
    </row>
    <row r="235" spans="1:9" x14ac:dyDescent="0.2">
      <c r="A235" s="12" t="s">
        <v>2148</v>
      </c>
      <c r="B235" s="1" t="s">
        <v>2149</v>
      </c>
      <c r="E235" s="12"/>
      <c r="F235" s="12"/>
      <c r="G235" s="33" t="s">
        <v>2165</v>
      </c>
      <c r="H235" s="12"/>
    </row>
    <row r="236" spans="1:9" x14ac:dyDescent="0.2">
      <c r="E236" s="12"/>
      <c r="F236" s="12"/>
      <c r="G236" s="12"/>
      <c r="H236" s="12"/>
    </row>
    <row r="237" spans="1:9" x14ac:dyDescent="0.2">
      <c r="E237" s="12"/>
      <c r="F237" s="12"/>
      <c r="G237" s="12"/>
      <c r="H237" s="12"/>
    </row>
    <row r="238" spans="1:9" x14ac:dyDescent="0.2">
      <c r="E238" s="12"/>
      <c r="F238" s="12"/>
      <c r="G238" s="12"/>
      <c r="H238" s="12"/>
    </row>
    <row r="239" spans="1:9" x14ac:dyDescent="0.2">
      <c r="E239" s="12"/>
      <c r="F239" s="12"/>
      <c r="G239" s="12"/>
      <c r="H239" s="12"/>
    </row>
    <row r="240" spans="1:9" x14ac:dyDescent="0.2">
      <c r="E240" s="12"/>
      <c r="F240" s="12"/>
      <c r="G240" s="12"/>
      <c r="H240" s="12"/>
    </row>
    <row r="241" spans="1:8" x14ac:dyDescent="0.2">
      <c r="E241" s="12"/>
      <c r="F241" s="12"/>
      <c r="G241" s="12"/>
      <c r="H241" s="12"/>
    </row>
    <row r="242" spans="1:8" x14ac:dyDescent="0.2">
      <c r="E242" s="12"/>
      <c r="F242" s="12"/>
      <c r="G242" s="12"/>
      <c r="H242" s="12"/>
    </row>
    <row r="244" spans="1:8" x14ac:dyDescent="0.2">
      <c r="A244" s="1" t="s">
        <v>960</v>
      </c>
    </row>
    <row r="245" spans="1:8" x14ac:dyDescent="0.2">
      <c r="B245" s="1" t="s">
        <v>961</v>
      </c>
    </row>
    <row r="246" spans="1:8" x14ac:dyDescent="0.2">
      <c r="B246" s="1" t="s">
        <v>962</v>
      </c>
      <c r="D246" s="12" t="s">
        <v>408</v>
      </c>
      <c r="E246" s="12"/>
      <c r="F246" s="12"/>
      <c r="G246" s="12"/>
      <c r="H246" s="12" t="s">
        <v>959</v>
      </c>
    </row>
    <row r="247" spans="1:8" x14ac:dyDescent="0.2">
      <c r="B247" s="12"/>
      <c r="C247" s="12"/>
      <c r="D247" s="12">
        <v>1</v>
      </c>
      <c r="E247" s="12">
        <v>0.75</v>
      </c>
      <c r="F247" s="12">
        <v>0.5</v>
      </c>
      <c r="G247" s="12">
        <v>0.25</v>
      </c>
      <c r="H247" s="12">
        <v>0</v>
      </c>
    </row>
    <row r="248" spans="1:8" x14ac:dyDescent="0.2">
      <c r="B248" s="12"/>
      <c r="C248" s="12" t="s">
        <v>963</v>
      </c>
      <c r="D248" s="12"/>
      <c r="E248" s="12"/>
      <c r="F248" s="12"/>
      <c r="G248" s="12"/>
      <c r="H248" s="12"/>
    </row>
    <row r="249" spans="1:8" x14ac:dyDescent="0.2">
      <c r="B249" s="12"/>
      <c r="C249" s="12"/>
      <c r="D249" s="12"/>
      <c r="E249" s="12"/>
      <c r="F249" s="12"/>
      <c r="G249" s="12"/>
      <c r="H249" s="12">
        <v>100</v>
      </c>
    </row>
    <row r="250" spans="1:8" x14ac:dyDescent="0.2">
      <c r="B250" s="12"/>
      <c r="C250" s="12"/>
      <c r="D250" s="12"/>
      <c r="E250" s="12"/>
      <c r="F250" s="12"/>
      <c r="G250" s="12"/>
      <c r="H250" s="12"/>
    </row>
    <row r="253" spans="1:8" x14ac:dyDescent="0.2">
      <c r="A253" s="1" t="s">
        <v>964</v>
      </c>
    </row>
    <row r="254" spans="1:8" x14ac:dyDescent="0.2">
      <c r="A254" s="1" t="s">
        <v>965</v>
      </c>
    </row>
    <row r="255" spans="1:8" x14ac:dyDescent="0.2">
      <c r="A255" s="1" t="s">
        <v>968</v>
      </c>
    </row>
    <row r="257" spans="1:8" x14ac:dyDescent="0.2">
      <c r="A257" s="1" t="s">
        <v>966</v>
      </c>
    </row>
    <row r="258" spans="1:8" x14ac:dyDescent="0.2">
      <c r="A258" s="1" t="s">
        <v>967</v>
      </c>
      <c r="H258" s="1" t="s">
        <v>969</v>
      </c>
    </row>
    <row r="260" spans="1:8" x14ac:dyDescent="0.2">
      <c r="A260" s="1" t="s">
        <v>970</v>
      </c>
    </row>
    <row r="261" spans="1:8" x14ac:dyDescent="0.2">
      <c r="A261" s="1" t="s">
        <v>971</v>
      </c>
    </row>
    <row r="263" spans="1:8" x14ac:dyDescent="0.2">
      <c r="A263" s="1" t="s">
        <v>972</v>
      </c>
      <c r="F263" s="1">
        <v>110.3812891</v>
      </c>
      <c r="H263" s="1" t="s">
        <v>973</v>
      </c>
    </row>
    <row r="265" spans="1:8" x14ac:dyDescent="0.2">
      <c r="A265" s="1" t="s">
        <v>974</v>
      </c>
      <c r="E265" s="1" t="s">
        <v>975</v>
      </c>
      <c r="F265" s="1">
        <f>F263</f>
        <v>110.3812891</v>
      </c>
    </row>
    <row r="266" spans="1:8" x14ac:dyDescent="0.2">
      <c r="E266" s="1" t="s">
        <v>976</v>
      </c>
      <c r="F266" s="1">
        <v>100</v>
      </c>
    </row>
    <row r="267" spans="1:8" x14ac:dyDescent="0.2">
      <c r="E267" s="1" t="s">
        <v>977</v>
      </c>
      <c r="F267" s="1">
        <f>F265-F266</f>
        <v>10.381289100000004</v>
      </c>
      <c r="H267" s="1" t="s">
        <v>978</v>
      </c>
    </row>
    <row r="269" spans="1:8" x14ac:dyDescent="0.2">
      <c r="A269" s="1" t="s">
        <v>979</v>
      </c>
      <c r="F269" s="142">
        <f>F267/F266</f>
        <v>0.10381289100000003</v>
      </c>
      <c r="H269" s="1" t="s">
        <v>980</v>
      </c>
    </row>
    <row r="271" spans="1:8" x14ac:dyDescent="0.2">
      <c r="A271" s="1" t="s">
        <v>981</v>
      </c>
    </row>
    <row r="274" spans="1:8" x14ac:dyDescent="0.2">
      <c r="A274" s="2" t="s">
        <v>982</v>
      </c>
    </row>
    <row r="276" spans="1:8" x14ac:dyDescent="0.2">
      <c r="D276" s="1" t="s">
        <v>985</v>
      </c>
      <c r="F276" s="1" t="s">
        <v>984</v>
      </c>
    </row>
    <row r="277" spans="1:8" x14ac:dyDescent="0.2">
      <c r="D277" s="1" t="s">
        <v>986</v>
      </c>
      <c r="H277" s="1" t="s">
        <v>983</v>
      </c>
    </row>
    <row r="279" spans="1:8" x14ac:dyDescent="0.2">
      <c r="B279" s="1" t="s">
        <v>987</v>
      </c>
    </row>
    <row r="280" spans="1:8" x14ac:dyDescent="0.2">
      <c r="B280" s="1" t="s">
        <v>988</v>
      </c>
    </row>
    <row r="282" spans="1:8" x14ac:dyDescent="0.2">
      <c r="E282" s="286" t="s">
        <v>989</v>
      </c>
      <c r="F282" s="286"/>
    </row>
    <row r="284" spans="1:8" x14ac:dyDescent="0.2">
      <c r="B284" s="1" t="s">
        <v>990</v>
      </c>
    </row>
    <row r="285" spans="1:8" x14ac:dyDescent="0.2">
      <c r="B285" s="1" t="s">
        <v>991</v>
      </c>
    </row>
    <row r="288" spans="1:8" x14ac:dyDescent="0.2">
      <c r="B288" s="1" t="s">
        <v>992</v>
      </c>
    </row>
    <row r="291" spans="1:3" x14ac:dyDescent="0.2">
      <c r="B291" s="1" t="s">
        <v>993</v>
      </c>
    </row>
    <row r="294" spans="1:3" x14ac:dyDescent="0.2">
      <c r="B294" s="1" t="s">
        <v>960</v>
      </c>
    </row>
    <row r="295" spans="1:3" x14ac:dyDescent="0.2">
      <c r="A295" s="1" t="s">
        <v>998</v>
      </c>
      <c r="C295" s="1" t="s">
        <v>994</v>
      </c>
    </row>
    <row r="296" spans="1:3" x14ac:dyDescent="0.2">
      <c r="A296" s="1" t="s">
        <v>999</v>
      </c>
      <c r="C296" s="1" t="s">
        <v>995</v>
      </c>
    </row>
    <row r="297" spans="1:3" x14ac:dyDescent="0.2">
      <c r="C297" s="1" t="s">
        <v>996</v>
      </c>
    </row>
    <row r="298" spans="1:3" x14ac:dyDescent="0.2">
      <c r="C298" s="1" t="s">
        <v>997</v>
      </c>
    </row>
    <row r="305" spans="1:10" x14ac:dyDescent="0.2">
      <c r="F305" s="1" t="s">
        <v>1000</v>
      </c>
    </row>
    <row r="306" spans="1:10" x14ac:dyDescent="0.2">
      <c r="F306" s="1" t="s">
        <v>1001</v>
      </c>
    </row>
    <row r="307" spans="1:10" x14ac:dyDescent="0.2">
      <c r="F307" s="1" t="s">
        <v>1002</v>
      </c>
    </row>
    <row r="310" spans="1:10" x14ac:dyDescent="0.2">
      <c r="E310" s="1" t="s">
        <v>1000</v>
      </c>
    </row>
    <row r="311" spans="1:10" x14ac:dyDescent="0.2">
      <c r="E311" s="1" t="s">
        <v>1003</v>
      </c>
    </row>
    <row r="312" spans="1:10" x14ac:dyDescent="0.2">
      <c r="E312" s="1" t="s">
        <v>1004</v>
      </c>
    </row>
    <row r="313" spans="1:10" ht="17" thickBot="1" x14ac:dyDescent="0.25"/>
    <row r="314" spans="1:10" ht="17" thickBot="1" x14ac:dyDescent="0.25">
      <c r="A314" s="3" t="s">
        <v>1006</v>
      </c>
      <c r="B314" s="4"/>
      <c r="C314" s="4"/>
      <c r="D314" s="4"/>
      <c r="E314" s="4"/>
      <c r="F314" s="4"/>
      <c r="G314" s="4"/>
      <c r="H314" s="5"/>
    </row>
    <row r="315" spans="1:10" x14ac:dyDescent="0.2">
      <c r="A315" s="1" t="s">
        <v>1007</v>
      </c>
    </row>
    <row r="316" spans="1:10" x14ac:dyDescent="0.2">
      <c r="A316" s="1" t="s">
        <v>1008</v>
      </c>
      <c r="J316" s="1" t="s">
        <v>1009</v>
      </c>
    </row>
    <row r="317" spans="1:10" x14ac:dyDescent="0.2">
      <c r="A317" s="1" t="s">
        <v>1010</v>
      </c>
      <c r="H317" s="99">
        <f>(1+1%)^24-1</f>
        <v>0.26973464853191498</v>
      </c>
      <c r="J317" s="1" t="s">
        <v>1011</v>
      </c>
    </row>
    <row r="318" spans="1:10" x14ac:dyDescent="0.2">
      <c r="A318" s="1" t="s">
        <v>1012</v>
      </c>
      <c r="H318" s="99">
        <f>(1+10%/2)^3-1</f>
        <v>0.15762500000000013</v>
      </c>
      <c r="J318" s="1" t="s">
        <v>1017</v>
      </c>
    </row>
    <row r="319" spans="1:10" x14ac:dyDescent="0.2">
      <c r="A319" s="1" t="s">
        <v>1013</v>
      </c>
      <c r="H319" s="99">
        <f>(1+3%)^4-1</f>
        <v>0.12550880999999992</v>
      </c>
      <c r="J319" s="1" t="s">
        <v>1016</v>
      </c>
    </row>
    <row r="320" spans="1:10" x14ac:dyDescent="0.2">
      <c r="A320" s="1" t="s">
        <v>1014</v>
      </c>
      <c r="H320" s="99">
        <f>(1+1%)^36-1</f>
        <v>0.43076878359158099</v>
      </c>
      <c r="J320" s="1" t="s">
        <v>1015</v>
      </c>
    </row>
    <row r="324" spans="1:9" x14ac:dyDescent="0.2">
      <c r="B324" s="1" t="s">
        <v>960</v>
      </c>
    </row>
    <row r="325" spans="1:9" x14ac:dyDescent="0.2">
      <c r="A325" s="1" t="s">
        <v>998</v>
      </c>
      <c r="C325" s="1" t="s">
        <v>994</v>
      </c>
    </row>
    <row r="326" spans="1:9" x14ac:dyDescent="0.2">
      <c r="A326" s="1" t="s">
        <v>999</v>
      </c>
      <c r="C326" s="1" t="s">
        <v>995</v>
      </c>
    </row>
    <row r="327" spans="1:9" x14ac:dyDescent="0.2">
      <c r="C327" s="1" t="s">
        <v>996</v>
      </c>
    </row>
    <row r="328" spans="1:9" x14ac:dyDescent="0.2">
      <c r="C328" s="1" t="s">
        <v>997</v>
      </c>
    </row>
    <row r="329" spans="1:9" ht="17" thickBot="1" x14ac:dyDescent="0.25"/>
    <row r="330" spans="1:9" ht="17" thickBot="1" x14ac:dyDescent="0.25">
      <c r="A330" s="3" t="s">
        <v>1018</v>
      </c>
      <c r="B330" s="4"/>
      <c r="C330" s="4"/>
      <c r="D330" s="4"/>
      <c r="E330" s="4"/>
      <c r="F330" s="4"/>
      <c r="G330" s="4"/>
      <c r="H330" s="5"/>
    </row>
    <row r="331" spans="1:9" x14ac:dyDescent="0.2">
      <c r="A331" s="1" t="s">
        <v>1019</v>
      </c>
    </row>
    <row r="332" spans="1:9" x14ac:dyDescent="0.2">
      <c r="A332" s="1" t="s">
        <v>1024</v>
      </c>
      <c r="G332" s="141">
        <f>(1 + 10%/4)^4 - 1</f>
        <v>0.10381289062499977</v>
      </c>
      <c r="I332" s="1" t="s">
        <v>1027</v>
      </c>
    </row>
    <row r="333" spans="1:9" x14ac:dyDescent="0.2">
      <c r="A333" s="1" t="s">
        <v>1025</v>
      </c>
      <c r="G333" s="141">
        <f>(1 + 12%/12)^8 - 1</f>
        <v>8.2856705628080229E-2</v>
      </c>
      <c r="I333" s="1" t="s">
        <v>1028</v>
      </c>
    </row>
    <row r="334" spans="1:9" x14ac:dyDescent="0.2">
      <c r="A334" s="1" t="s">
        <v>1026</v>
      </c>
      <c r="G334" s="141">
        <f>(1 + 8%/4)^8 - 1</f>
        <v>0.17165938100226552</v>
      </c>
      <c r="I334" s="1" t="s">
        <v>1029</v>
      </c>
    </row>
    <row r="335" spans="1:9" x14ac:dyDescent="0.2">
      <c r="A335" s="1" t="s">
        <v>1030</v>
      </c>
      <c r="G335" s="141">
        <f>(1 + 6%/3)^24 - 1</f>
        <v>0.60843724947522504</v>
      </c>
      <c r="I335" s="1" t="s">
        <v>1031</v>
      </c>
    </row>
    <row r="337" spans="1:9" x14ac:dyDescent="0.2">
      <c r="A337" s="1" t="s">
        <v>1020</v>
      </c>
    </row>
    <row r="338" spans="1:9" x14ac:dyDescent="0.2">
      <c r="A338" s="1" t="s">
        <v>1021</v>
      </c>
    </row>
    <row r="339" spans="1:9" ht="17" thickBot="1" x14ac:dyDescent="0.25"/>
    <row r="340" spans="1:9" s="2" customFormat="1" ht="17" thickBot="1" x14ac:dyDescent="0.25">
      <c r="A340" s="3" t="s">
        <v>1022</v>
      </c>
      <c r="B340" s="4"/>
      <c r="C340" s="4"/>
      <c r="D340" s="4"/>
      <c r="E340" s="4"/>
      <c r="F340" s="4"/>
      <c r="G340" s="4"/>
      <c r="H340" s="5"/>
    </row>
    <row r="341" spans="1:9" x14ac:dyDescent="0.2">
      <c r="A341" s="1" t="s">
        <v>1023</v>
      </c>
    </row>
    <row r="342" spans="1:9" x14ac:dyDescent="0.2">
      <c r="A342" s="1" t="s">
        <v>1036</v>
      </c>
      <c r="G342" s="107">
        <f>(1+10%/4)^4-1</f>
        <v>0.10381289062499977</v>
      </c>
      <c r="I342" s="1" t="s">
        <v>1027</v>
      </c>
    </row>
    <row r="343" spans="1:9" x14ac:dyDescent="0.2">
      <c r="A343" s="1" t="s">
        <v>1037</v>
      </c>
      <c r="G343" s="140">
        <f>(1 + 11%/1)^1 - 1</f>
        <v>0.1100000000000001</v>
      </c>
      <c r="I343" s="1" t="s">
        <v>1038</v>
      </c>
    </row>
    <row r="344" spans="1:9" x14ac:dyDescent="0.2">
      <c r="A344" s="1" t="s">
        <v>1039</v>
      </c>
      <c r="G344" s="140">
        <f>(1 + 6%/6)^12 - 1</f>
        <v>0.12682503013196977</v>
      </c>
      <c r="I344" s="1" t="s">
        <v>1040</v>
      </c>
    </row>
    <row r="345" spans="1:9" x14ac:dyDescent="0.2">
      <c r="A345" s="1" t="s">
        <v>1041</v>
      </c>
      <c r="G345" s="140">
        <f>(1 + 3%/0.5)^2 - 1</f>
        <v>0.12360000000000015</v>
      </c>
      <c r="I345" s="1" t="s">
        <v>1042</v>
      </c>
    </row>
    <row r="347" spans="1:9" x14ac:dyDescent="0.2">
      <c r="A347" s="1" t="s">
        <v>1035</v>
      </c>
    </row>
    <row r="349" spans="1:9" x14ac:dyDescent="0.2">
      <c r="E349" s="1" t="s">
        <v>998</v>
      </c>
      <c r="G349" s="1" t="s">
        <v>994</v>
      </c>
    </row>
    <row r="350" spans="1:9" x14ac:dyDescent="0.2">
      <c r="E350" s="1" t="s">
        <v>999</v>
      </c>
      <c r="G350" s="1" t="s">
        <v>995</v>
      </c>
    </row>
    <row r="351" spans="1:9" x14ac:dyDescent="0.2">
      <c r="G351" s="1" t="s">
        <v>996</v>
      </c>
    </row>
    <row r="352" spans="1:9" x14ac:dyDescent="0.2">
      <c r="G352" s="1" t="s">
        <v>997</v>
      </c>
    </row>
    <row r="354" spans="1:8" x14ac:dyDescent="0.2">
      <c r="A354" s="1" t="s">
        <v>1032</v>
      </c>
    </row>
    <row r="355" spans="1:8" x14ac:dyDescent="0.2">
      <c r="A355" s="1" t="s">
        <v>1033</v>
      </c>
    </row>
    <row r="356" spans="1:8" x14ac:dyDescent="0.2">
      <c r="A356" s="1" t="s">
        <v>1034</v>
      </c>
    </row>
    <row r="357" spans="1:8" ht="17" thickBot="1" x14ac:dyDescent="0.25"/>
    <row r="358" spans="1:8" x14ac:dyDescent="0.2">
      <c r="A358" s="30" t="s">
        <v>1044</v>
      </c>
      <c r="B358" s="31"/>
      <c r="C358" s="31"/>
      <c r="D358" s="31"/>
      <c r="E358" s="31"/>
      <c r="F358" s="31"/>
      <c r="G358" s="31"/>
      <c r="H358" s="23"/>
    </row>
    <row r="359" spans="1:8" ht="17" thickBot="1" x14ac:dyDescent="0.25">
      <c r="A359" s="26" t="s">
        <v>1043</v>
      </c>
      <c r="B359" s="27"/>
      <c r="C359" s="27"/>
      <c r="D359" s="27"/>
      <c r="E359" s="27"/>
      <c r="F359" s="27"/>
      <c r="G359" s="27"/>
      <c r="H359" s="28"/>
    </row>
    <row r="360" spans="1:8" ht="17" thickBot="1" x14ac:dyDescent="0.25"/>
    <row r="361" spans="1:8" s="2" customFormat="1" ht="17" thickBot="1" x14ac:dyDescent="0.25">
      <c r="A361" s="3" t="s">
        <v>1045</v>
      </c>
      <c r="B361" s="4"/>
      <c r="C361" s="4"/>
      <c r="D361" s="4"/>
      <c r="E361" s="4"/>
      <c r="F361" s="4"/>
      <c r="G361" s="4"/>
      <c r="H361" s="5"/>
    </row>
    <row r="362" spans="1:8" x14ac:dyDescent="0.2">
      <c r="A362" s="1" t="s">
        <v>1046</v>
      </c>
    </row>
    <row r="363" spans="1:8" x14ac:dyDescent="0.2">
      <c r="A363" s="1" t="s">
        <v>1047</v>
      </c>
    </row>
    <row r="364" spans="1:8" x14ac:dyDescent="0.2">
      <c r="A364" s="1" t="s">
        <v>1048</v>
      </c>
      <c r="F364" s="141">
        <f>(1 + 8%/2)^2 - 1</f>
        <v>8.1600000000000117E-2</v>
      </c>
      <c r="G364" s="140"/>
      <c r="H364" s="1" t="s">
        <v>1053</v>
      </c>
    </row>
    <row r="365" spans="1:8" x14ac:dyDescent="0.2">
      <c r="A365" s="1" t="s">
        <v>1050</v>
      </c>
      <c r="F365" s="141">
        <f>(1 + 21%/36)^12 - 1</f>
        <v>7.2290080856235894E-2</v>
      </c>
      <c r="G365" s="140"/>
      <c r="H365" s="1" t="s">
        <v>1054</v>
      </c>
    </row>
    <row r="366" spans="1:8" x14ac:dyDescent="0.2">
      <c r="A366" s="1" t="s">
        <v>1051</v>
      </c>
      <c r="F366" s="141">
        <f>(1 + 4%/3)^6 - 1</f>
        <v>8.2714550682162491E-2</v>
      </c>
      <c r="G366" s="140"/>
      <c r="H366" s="1" t="s">
        <v>1055</v>
      </c>
    </row>
    <row r="367" spans="1:8" x14ac:dyDescent="0.2">
      <c r="A367" s="1" t="s">
        <v>1052</v>
      </c>
      <c r="F367" s="141">
        <f>(1 + 15%/8)^4 - 1</f>
        <v>7.713586578369136E-2</v>
      </c>
      <c r="H367" s="1" t="s">
        <v>1056</v>
      </c>
    </row>
    <row r="369" spans="1:1" x14ac:dyDescent="0.2">
      <c r="A369" s="1" t="s">
        <v>1049</v>
      </c>
    </row>
    <row r="371" spans="1:1" x14ac:dyDescent="0.2">
      <c r="A371" s="1" t="s">
        <v>1057</v>
      </c>
    </row>
    <row r="372" spans="1:1" x14ac:dyDescent="0.2">
      <c r="A372" s="1" t="s">
        <v>1058</v>
      </c>
    </row>
    <row r="373" spans="1:1" x14ac:dyDescent="0.2">
      <c r="A373" s="1" t="s">
        <v>1059</v>
      </c>
    </row>
    <row r="375" spans="1:1" x14ac:dyDescent="0.2">
      <c r="A375" s="2" t="s">
        <v>1060</v>
      </c>
    </row>
    <row r="378" spans="1:1" x14ac:dyDescent="0.2">
      <c r="A378" s="2" t="s">
        <v>155</v>
      </c>
    </row>
    <row r="379" spans="1:1" x14ac:dyDescent="0.2">
      <c r="A379" s="1" t="s">
        <v>1061</v>
      </c>
    </row>
    <row r="380" spans="1:1" x14ac:dyDescent="0.2">
      <c r="A380" s="1" t="s">
        <v>1062</v>
      </c>
    </row>
    <row r="381" spans="1:1" x14ac:dyDescent="0.2">
      <c r="A381" s="1" t="s">
        <v>1063</v>
      </c>
    </row>
    <row r="382" spans="1:1" x14ac:dyDescent="0.2">
      <c r="A382" s="1" t="s">
        <v>1064</v>
      </c>
    </row>
    <row r="383" spans="1:1" x14ac:dyDescent="0.2">
      <c r="A383" s="1" t="s">
        <v>1065</v>
      </c>
    </row>
    <row r="384" spans="1:1" x14ac:dyDescent="0.2">
      <c r="A384" s="1" t="s">
        <v>1066</v>
      </c>
    </row>
  </sheetData>
  <mergeCells count="4">
    <mergeCell ref="E138:H139"/>
    <mergeCell ref="E282:F282"/>
    <mergeCell ref="E171:E172"/>
    <mergeCell ref="C182:C183"/>
  </mergeCells>
  <phoneticPr fontId="3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H314"/>
  <sheetViews>
    <sheetView rightToLeft="1" tabSelected="1" topLeftCell="A216" zoomScale="238" zoomScaleNormal="240" workbookViewId="0">
      <selection activeCell="A315" sqref="A315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2166</v>
      </c>
      <c r="B1" s="29"/>
      <c r="C1" s="29"/>
      <c r="D1" s="29"/>
      <c r="E1" s="29"/>
      <c r="F1" s="29"/>
      <c r="G1" s="29"/>
      <c r="H1" s="139">
        <v>45908</v>
      </c>
    </row>
    <row r="3" spans="1:8" x14ac:dyDescent="0.2">
      <c r="A3" s="11" t="s">
        <v>2167</v>
      </c>
      <c r="B3" s="197"/>
      <c r="C3" s="197"/>
      <c r="D3" s="197"/>
      <c r="E3" s="197"/>
      <c r="F3" s="197"/>
      <c r="G3" s="197"/>
      <c r="H3" s="197"/>
    </row>
    <row r="5" spans="1:8" x14ac:dyDescent="0.2">
      <c r="A5" s="1" t="s">
        <v>2168</v>
      </c>
    </row>
    <row r="7" spans="1:8" x14ac:dyDescent="0.2">
      <c r="A7" s="159" t="s">
        <v>2169</v>
      </c>
      <c r="B7" s="58"/>
      <c r="C7" s="58"/>
      <c r="D7" s="58"/>
      <c r="E7" s="58"/>
      <c r="F7" s="58"/>
      <c r="G7" s="58"/>
      <c r="H7" s="58"/>
    </row>
    <row r="8" spans="1:8" x14ac:dyDescent="0.2">
      <c r="A8" s="12" t="s">
        <v>2143</v>
      </c>
      <c r="B8" s="1" t="s">
        <v>2170</v>
      </c>
    </row>
    <row r="9" spans="1:8" x14ac:dyDescent="0.2">
      <c r="A9" s="12" t="s">
        <v>2145</v>
      </c>
      <c r="B9" s="1" t="s">
        <v>2171</v>
      </c>
    </row>
    <row r="10" spans="1:8" x14ac:dyDescent="0.2">
      <c r="A10" s="12" t="s">
        <v>45</v>
      </c>
      <c r="B10" s="1" t="s">
        <v>2172</v>
      </c>
    </row>
    <row r="11" spans="1:8" x14ac:dyDescent="0.2">
      <c r="A11" s="12" t="s">
        <v>2148</v>
      </c>
      <c r="B11" s="1" t="s">
        <v>2173</v>
      </c>
    </row>
    <row r="13" spans="1:8" x14ac:dyDescent="0.2">
      <c r="A13" s="159" t="s">
        <v>2174</v>
      </c>
      <c r="B13" s="58"/>
      <c r="C13" s="58"/>
      <c r="D13" s="58"/>
      <c r="E13" s="58"/>
      <c r="F13" s="58"/>
      <c r="G13" s="58"/>
      <c r="H13" s="58"/>
    </row>
    <row r="16" spans="1:8" x14ac:dyDescent="0.2">
      <c r="A16" s="12" t="s">
        <v>2143</v>
      </c>
      <c r="B16" s="1" t="s">
        <v>2175</v>
      </c>
    </row>
    <row r="17" spans="1:8" x14ac:dyDescent="0.2">
      <c r="A17" s="12" t="s">
        <v>2176</v>
      </c>
      <c r="B17" s="1" t="s">
        <v>2177</v>
      </c>
    </row>
    <row r="19" spans="1:8" x14ac:dyDescent="0.2">
      <c r="A19" s="159" t="s">
        <v>2178</v>
      </c>
      <c r="B19" s="58"/>
      <c r="C19" s="58"/>
      <c r="D19" s="58"/>
      <c r="E19" s="58"/>
      <c r="F19" s="58"/>
      <c r="G19" s="58"/>
      <c r="H19" s="58"/>
    </row>
    <row r="23" spans="1:8" x14ac:dyDescent="0.2">
      <c r="A23" s="12" t="s">
        <v>2143</v>
      </c>
      <c r="B23" s="1" t="s">
        <v>2175</v>
      </c>
    </row>
    <row r="24" spans="1:8" x14ac:dyDescent="0.2">
      <c r="A24" s="12" t="s">
        <v>2087</v>
      </c>
      <c r="B24" s="1" t="s">
        <v>2179</v>
      </c>
    </row>
    <row r="25" spans="1:8" x14ac:dyDescent="0.2">
      <c r="A25" s="12" t="s">
        <v>2092</v>
      </c>
      <c r="B25" s="1" t="s">
        <v>2180</v>
      </c>
    </row>
    <row r="27" spans="1:8" x14ac:dyDescent="0.2">
      <c r="A27" s="159" t="s">
        <v>2181</v>
      </c>
      <c r="B27" s="58"/>
      <c r="C27" s="58"/>
      <c r="D27" s="58"/>
      <c r="E27" s="58"/>
      <c r="F27" s="58"/>
      <c r="G27" s="58"/>
      <c r="H27" s="58"/>
    </row>
    <row r="30" spans="1:8" x14ac:dyDescent="0.2">
      <c r="A30" s="12" t="s">
        <v>2143</v>
      </c>
      <c r="B30" s="1" t="s">
        <v>2183</v>
      </c>
    </row>
    <row r="31" spans="1:8" x14ac:dyDescent="0.2">
      <c r="A31" s="12" t="s">
        <v>1757</v>
      </c>
      <c r="B31" s="1" t="s">
        <v>2184</v>
      </c>
    </row>
    <row r="32" spans="1:8" x14ac:dyDescent="0.2">
      <c r="A32" s="12" t="s">
        <v>2148</v>
      </c>
      <c r="B32" s="1" t="s">
        <v>2182</v>
      </c>
    </row>
    <row r="33" spans="1:8" x14ac:dyDescent="0.2">
      <c r="A33" s="12"/>
    </row>
    <row r="34" spans="1:8" x14ac:dyDescent="0.2">
      <c r="A34" s="358" t="s">
        <v>2277</v>
      </c>
      <c r="B34" s="357"/>
      <c r="C34" s="357"/>
      <c r="D34" s="357"/>
      <c r="E34" s="357"/>
      <c r="F34" s="357"/>
      <c r="G34" s="357"/>
      <c r="H34" s="357"/>
    </row>
    <row r="35" spans="1:8" x14ac:dyDescent="0.2">
      <c r="A35" s="12"/>
    </row>
    <row r="36" spans="1:8" x14ac:dyDescent="0.2">
      <c r="A36" s="12"/>
    </row>
    <row r="37" spans="1:8" x14ac:dyDescent="0.2">
      <c r="A37" s="12"/>
    </row>
    <row r="38" spans="1:8" x14ac:dyDescent="0.2">
      <c r="A38" s="12" t="s">
        <v>2015</v>
      </c>
      <c r="B38" s="1" t="s">
        <v>2278</v>
      </c>
    </row>
    <row r="39" spans="1:8" x14ac:dyDescent="0.2">
      <c r="A39" s="12" t="s">
        <v>2145</v>
      </c>
      <c r="B39" s="1" t="s">
        <v>2279</v>
      </c>
    </row>
    <row r="40" spans="1:8" x14ac:dyDescent="0.2">
      <c r="A40" s="12" t="s">
        <v>45</v>
      </c>
      <c r="B40" s="1" t="s">
        <v>2280</v>
      </c>
    </row>
    <row r="41" spans="1:8" x14ac:dyDescent="0.2">
      <c r="A41" s="12" t="s">
        <v>2148</v>
      </c>
      <c r="B41" s="1" t="s">
        <v>2281</v>
      </c>
    </row>
    <row r="43" spans="1:8" x14ac:dyDescent="0.2">
      <c r="A43" s="340" t="s">
        <v>2185</v>
      </c>
      <c r="B43" s="340"/>
      <c r="C43" s="340"/>
      <c r="D43" s="340"/>
      <c r="E43" s="340"/>
      <c r="F43" s="340"/>
      <c r="G43" s="340"/>
      <c r="H43" s="340"/>
    </row>
    <row r="44" spans="1:8" x14ac:dyDescent="0.2">
      <c r="A44" s="1" t="s">
        <v>2186</v>
      </c>
    </row>
    <row r="45" spans="1:8" x14ac:dyDescent="0.2">
      <c r="A45" s="1" t="s">
        <v>2187</v>
      </c>
    </row>
    <row r="46" spans="1:8" x14ac:dyDescent="0.2">
      <c r="A46" s="1" t="s">
        <v>2190</v>
      </c>
    </row>
    <row r="47" spans="1:8" x14ac:dyDescent="0.2">
      <c r="A47" s="1" t="s">
        <v>2188</v>
      </c>
    </row>
    <row r="48" spans="1:8" x14ac:dyDescent="0.2">
      <c r="A48" s="1" t="s">
        <v>2189</v>
      </c>
    </row>
    <row r="49" spans="1:8" x14ac:dyDescent="0.2">
      <c r="A49" s="1" t="s">
        <v>2191</v>
      </c>
    </row>
    <row r="50" spans="1:8" x14ac:dyDescent="0.2">
      <c r="A50" s="1" t="s">
        <v>2192</v>
      </c>
    </row>
    <row r="52" spans="1:8" x14ac:dyDescent="0.2">
      <c r="A52" s="1" t="s">
        <v>2193</v>
      </c>
    </row>
    <row r="54" spans="1:8" x14ac:dyDescent="0.2">
      <c r="A54" s="1" t="s">
        <v>27</v>
      </c>
    </row>
    <row r="55" spans="1:8" ht="17" thickBot="1" x14ac:dyDescent="0.25"/>
    <row r="56" spans="1:8" ht="17" thickBot="1" x14ac:dyDescent="0.25">
      <c r="A56" s="8" t="s">
        <v>2230</v>
      </c>
      <c r="B56" s="341"/>
      <c r="C56" s="341"/>
      <c r="D56" s="341"/>
      <c r="E56" s="341"/>
      <c r="F56" s="341"/>
      <c r="G56" s="341"/>
      <c r="H56" s="342"/>
    </row>
    <row r="57" spans="1:8" x14ac:dyDescent="0.2">
      <c r="A57" s="1" t="s">
        <v>2194</v>
      </c>
    </row>
    <row r="58" spans="1:8" x14ac:dyDescent="0.2">
      <c r="A58" s="1" t="s">
        <v>2195</v>
      </c>
    </row>
    <row r="59" spans="1:8" x14ac:dyDescent="0.2">
      <c r="A59" s="1" t="s">
        <v>2196</v>
      </c>
    </row>
    <row r="60" spans="1:8" x14ac:dyDescent="0.2">
      <c r="A60" s="1" t="s">
        <v>2197</v>
      </c>
    </row>
    <row r="61" spans="1:8" x14ac:dyDescent="0.2">
      <c r="A61" s="1" t="s">
        <v>2198</v>
      </c>
    </row>
    <row r="62" spans="1:8" x14ac:dyDescent="0.2">
      <c r="A62" s="1" t="s">
        <v>2199</v>
      </c>
    </row>
    <row r="63" spans="1:8" x14ac:dyDescent="0.2">
      <c r="A63" s="1" t="s">
        <v>2202</v>
      </c>
    </row>
    <row r="64" spans="1:8" x14ac:dyDescent="0.2">
      <c r="A64" s="2" t="s">
        <v>2208</v>
      </c>
    </row>
    <row r="66" spans="1:8" x14ac:dyDescent="0.2">
      <c r="A66" s="232" t="s">
        <v>2145</v>
      </c>
      <c r="B66" s="232" t="s">
        <v>2200</v>
      </c>
    </row>
    <row r="67" spans="1:8" x14ac:dyDescent="0.2">
      <c r="A67" s="232" t="s">
        <v>45</v>
      </c>
      <c r="B67" s="232" t="s">
        <v>2201</v>
      </c>
    </row>
    <row r="68" spans="1:8" x14ac:dyDescent="0.2">
      <c r="A68" s="232" t="s">
        <v>2148</v>
      </c>
      <c r="B68" s="232" t="s">
        <v>2207</v>
      </c>
      <c r="E68" s="344">
        <f>(1.01^12-1)</f>
        <v>0.12682503013196977</v>
      </c>
    </row>
    <row r="70" spans="1:8" x14ac:dyDescent="0.2">
      <c r="B70" s="345" t="s">
        <v>2203</v>
      </c>
      <c r="C70" s="345"/>
      <c r="D70" s="345"/>
      <c r="E70" s="345"/>
      <c r="F70" s="345"/>
      <c r="G70" s="345"/>
    </row>
    <row r="71" spans="1:8" x14ac:dyDescent="0.2">
      <c r="B71" s="345" t="s">
        <v>2204</v>
      </c>
      <c r="C71" s="345"/>
      <c r="D71" s="345"/>
      <c r="E71" s="345"/>
      <c r="F71" s="345"/>
      <c r="G71" s="345"/>
    </row>
    <row r="72" spans="1:8" x14ac:dyDescent="0.2">
      <c r="B72" s="345" t="s">
        <v>2205</v>
      </c>
      <c r="C72" s="345"/>
      <c r="D72" s="345"/>
      <c r="E72" s="345"/>
      <c r="F72" s="345"/>
      <c r="G72" s="345"/>
    </row>
    <row r="73" spans="1:8" x14ac:dyDescent="0.2">
      <c r="B73" s="345" t="s">
        <v>2206</v>
      </c>
      <c r="C73" s="345"/>
      <c r="D73" s="345"/>
      <c r="E73" s="345"/>
      <c r="F73" s="345"/>
      <c r="G73" s="345"/>
    </row>
    <row r="74" spans="1:8" x14ac:dyDescent="0.2">
      <c r="B74" s="345"/>
      <c r="C74" s="345"/>
      <c r="D74" s="345"/>
      <c r="E74" s="345"/>
      <c r="F74" s="345"/>
      <c r="G74" s="345"/>
    </row>
    <row r="76" spans="1:8" x14ac:dyDescent="0.2">
      <c r="A76" s="75" t="s">
        <v>2212</v>
      </c>
      <c r="B76" s="29"/>
      <c r="C76" s="29"/>
      <c r="D76" s="29"/>
      <c r="E76" s="29"/>
      <c r="F76" s="29"/>
      <c r="G76" s="29"/>
      <c r="H76" s="29"/>
    </row>
    <row r="77" spans="1:8" x14ac:dyDescent="0.2">
      <c r="A77" s="1" t="s">
        <v>2209</v>
      </c>
    </row>
    <row r="78" spans="1:8" x14ac:dyDescent="0.2">
      <c r="A78" s="1" t="s">
        <v>2210</v>
      </c>
    </row>
    <row r="80" spans="1:8" x14ac:dyDescent="0.2">
      <c r="A80" s="12" t="s">
        <v>2143</v>
      </c>
      <c r="B80" s="1" t="s">
        <v>2211</v>
      </c>
    </row>
    <row r="81" spans="1:7" x14ac:dyDescent="0.2">
      <c r="A81" s="12" t="s">
        <v>2176</v>
      </c>
      <c r="B81" s="1" t="s">
        <v>2213</v>
      </c>
    </row>
    <row r="83" spans="1:7" x14ac:dyDescent="0.2">
      <c r="A83" s="1" t="s">
        <v>2217</v>
      </c>
      <c r="E83" s="346">
        <f>1/0.95-1</f>
        <v>5.2631578947368363E-2</v>
      </c>
    </row>
    <row r="84" spans="1:7" x14ac:dyDescent="0.2">
      <c r="E84" s="346"/>
    </row>
    <row r="86" spans="1:7" x14ac:dyDescent="0.2">
      <c r="A86" s="1" t="s">
        <v>2214</v>
      </c>
    </row>
    <row r="87" spans="1:7" x14ac:dyDescent="0.2">
      <c r="A87" s="1" t="s">
        <v>2215</v>
      </c>
    </row>
    <row r="88" spans="1:7" x14ac:dyDescent="0.2">
      <c r="A88" s="1" t="s">
        <v>2216</v>
      </c>
    </row>
    <row r="90" spans="1:7" x14ac:dyDescent="0.2">
      <c r="A90" s="1" t="s">
        <v>2218</v>
      </c>
    </row>
    <row r="91" spans="1:7" x14ac:dyDescent="0.2">
      <c r="A91" s="1" t="s">
        <v>2219</v>
      </c>
    </row>
    <row r="95" spans="1:7" x14ac:dyDescent="0.2">
      <c r="E95" s="232" t="s">
        <v>2223</v>
      </c>
      <c r="F95" s="232" t="s">
        <v>1396</v>
      </c>
      <c r="G95" s="232" t="s">
        <v>2220</v>
      </c>
    </row>
    <row r="96" spans="1:7" x14ac:dyDescent="0.2">
      <c r="E96" s="232" t="s">
        <v>2224</v>
      </c>
      <c r="F96" s="232" t="s">
        <v>2221</v>
      </c>
      <c r="G96" s="232"/>
    </row>
    <row r="97" spans="1:8" x14ac:dyDescent="0.2">
      <c r="E97" s="232" t="s">
        <v>2225</v>
      </c>
      <c r="F97" s="232" t="s">
        <v>2222</v>
      </c>
      <c r="G97" s="232"/>
    </row>
    <row r="98" spans="1:8" x14ac:dyDescent="0.2">
      <c r="E98" s="232" t="s">
        <v>2228</v>
      </c>
    </row>
    <row r="99" spans="1:8" x14ac:dyDescent="0.2">
      <c r="E99" s="232" t="s">
        <v>2229</v>
      </c>
    </row>
    <row r="100" spans="1:8" x14ac:dyDescent="0.2">
      <c r="E100" s="232" t="s">
        <v>2226</v>
      </c>
    </row>
    <row r="103" spans="1:8" x14ac:dyDescent="0.2">
      <c r="A103" s="1" t="s">
        <v>2227</v>
      </c>
      <c r="D103" s="347">
        <f>1.052632^2-1</f>
        <v>0.10803412742399998</v>
      </c>
    </row>
    <row r="105" spans="1:8" x14ac:dyDescent="0.2">
      <c r="A105" s="29" t="s">
        <v>2189</v>
      </c>
      <c r="B105" s="29"/>
      <c r="C105" s="29"/>
      <c r="D105" s="29"/>
      <c r="E105" s="29"/>
      <c r="F105" s="29"/>
      <c r="G105" s="29"/>
      <c r="H105" s="29"/>
    </row>
    <row r="107" spans="1:8" x14ac:dyDescent="0.2">
      <c r="A107" s="1" t="s">
        <v>2233</v>
      </c>
    </row>
    <row r="108" spans="1:8" x14ac:dyDescent="0.2">
      <c r="A108" s="1" t="s">
        <v>2234</v>
      </c>
    </row>
    <row r="110" spans="1:8" x14ac:dyDescent="0.2">
      <c r="A110" s="1" t="s">
        <v>2231</v>
      </c>
    </row>
    <row r="111" spans="1:8" x14ac:dyDescent="0.2">
      <c r="A111" s="1" t="s">
        <v>2232</v>
      </c>
    </row>
    <row r="113" spans="1:7" x14ac:dyDescent="0.2">
      <c r="A113" s="12" t="s">
        <v>2143</v>
      </c>
      <c r="B113" s="1" t="s">
        <v>2175</v>
      </c>
    </row>
    <row r="114" spans="1:7" x14ac:dyDescent="0.2">
      <c r="A114" s="12" t="s">
        <v>2092</v>
      </c>
      <c r="B114" s="1" t="s">
        <v>2236</v>
      </c>
    </row>
    <row r="115" spans="1:7" x14ac:dyDescent="0.2">
      <c r="A115" s="12" t="s">
        <v>2087</v>
      </c>
      <c r="B115" s="1" t="s">
        <v>2235</v>
      </c>
    </row>
    <row r="117" spans="1:7" x14ac:dyDescent="0.2">
      <c r="A117" s="1" t="s">
        <v>2237</v>
      </c>
      <c r="E117" s="348">
        <v>0.13</v>
      </c>
    </row>
    <row r="118" spans="1:7" x14ac:dyDescent="0.2">
      <c r="A118" s="1" t="s">
        <v>2238</v>
      </c>
      <c r="E118" s="348"/>
    </row>
    <row r="119" spans="1:7" x14ac:dyDescent="0.2">
      <c r="A119" s="1" t="s">
        <v>2239</v>
      </c>
      <c r="E119" s="128" t="s">
        <v>2243</v>
      </c>
    </row>
    <row r="120" spans="1:7" x14ac:dyDescent="0.2">
      <c r="A120" s="1" t="s">
        <v>2240</v>
      </c>
    </row>
    <row r="122" spans="1:7" x14ac:dyDescent="0.2">
      <c r="A122" s="1" t="s">
        <v>2241</v>
      </c>
    </row>
    <row r="123" spans="1:7" x14ac:dyDescent="0.2">
      <c r="A123" s="1" t="s">
        <v>2242</v>
      </c>
    </row>
    <row r="128" spans="1:7" x14ac:dyDescent="0.2">
      <c r="E128" s="232" t="s">
        <v>2223</v>
      </c>
      <c r="F128" s="232" t="s">
        <v>1396</v>
      </c>
      <c r="G128" s="232" t="s">
        <v>2220</v>
      </c>
    </row>
    <row r="129" spans="1:8" x14ac:dyDescent="0.2">
      <c r="E129" s="232" t="s">
        <v>2224</v>
      </c>
      <c r="F129" s="232" t="s">
        <v>2221</v>
      </c>
      <c r="G129" s="232"/>
    </row>
    <row r="130" spans="1:8" x14ac:dyDescent="0.2">
      <c r="E130" s="232" t="s">
        <v>2225</v>
      </c>
      <c r="F130" s="232" t="s">
        <v>2222</v>
      </c>
      <c r="G130" s="232"/>
    </row>
    <row r="131" spans="1:8" x14ac:dyDescent="0.2">
      <c r="E131" s="232" t="s">
        <v>2228</v>
      </c>
    </row>
    <row r="132" spans="1:8" x14ac:dyDescent="0.2">
      <c r="E132" s="232" t="s">
        <v>2229</v>
      </c>
    </row>
    <row r="133" spans="1:8" x14ac:dyDescent="0.2">
      <c r="E133" s="232" t="s">
        <v>2226</v>
      </c>
    </row>
    <row r="136" spans="1:8" x14ac:dyDescent="0.2">
      <c r="A136" s="1" t="s">
        <v>2244</v>
      </c>
      <c r="D136" s="349">
        <f>1.13^2-1</f>
        <v>0.2768999999999997</v>
      </c>
    </row>
    <row r="138" spans="1:8" x14ac:dyDescent="0.2">
      <c r="A138" s="29" t="s">
        <v>2191</v>
      </c>
      <c r="B138" s="29"/>
      <c r="C138" s="29"/>
      <c r="D138" s="29"/>
      <c r="E138" s="29"/>
      <c r="F138" s="29"/>
      <c r="G138" s="29"/>
      <c r="H138" s="29"/>
    </row>
    <row r="139" spans="1:8" x14ac:dyDescent="0.2">
      <c r="A139" s="29" t="s">
        <v>2192</v>
      </c>
      <c r="B139" s="29"/>
      <c r="C139" s="29"/>
      <c r="D139" s="29"/>
      <c r="E139" s="29"/>
      <c r="F139" s="29"/>
      <c r="G139" s="29"/>
      <c r="H139" s="29"/>
    </row>
    <row r="141" spans="1:8" x14ac:dyDescent="0.2">
      <c r="A141" s="1" t="s">
        <v>2245</v>
      </c>
    </row>
    <row r="142" spans="1:8" x14ac:dyDescent="0.2">
      <c r="A142" s="1" t="s">
        <v>2252</v>
      </c>
    </row>
    <row r="144" spans="1:8" x14ac:dyDescent="0.2">
      <c r="A144" s="1" t="s">
        <v>2246</v>
      </c>
    </row>
    <row r="145" spans="1:8" x14ac:dyDescent="0.2">
      <c r="A145" s="1" t="s">
        <v>2247</v>
      </c>
    </row>
    <row r="146" spans="1:8" x14ac:dyDescent="0.2">
      <c r="A146" s="1" t="s">
        <v>2248</v>
      </c>
    </row>
    <row r="148" spans="1:8" x14ac:dyDescent="0.2">
      <c r="C148" s="12">
        <v>0.5</v>
      </c>
      <c r="D148" s="12"/>
      <c r="E148" s="12"/>
      <c r="G148" s="12">
        <v>0</v>
      </c>
    </row>
    <row r="149" spans="1:8" x14ac:dyDescent="0.2">
      <c r="A149" s="1" t="s">
        <v>1289</v>
      </c>
    </row>
    <row r="150" spans="1:8" x14ac:dyDescent="0.2">
      <c r="B150" s="1" t="s">
        <v>2087</v>
      </c>
      <c r="C150" s="18">
        <f>100000*1.005^6</f>
        <v>103037.75093937646</v>
      </c>
      <c r="G150" s="18">
        <v>100000</v>
      </c>
      <c r="H150" s="1" t="s">
        <v>2249</v>
      </c>
    </row>
    <row r="151" spans="1:8" x14ac:dyDescent="0.2">
      <c r="G151" s="18">
        <v>-4000</v>
      </c>
      <c r="H151" s="1" t="s">
        <v>2250</v>
      </c>
    </row>
    <row r="152" spans="1:8" x14ac:dyDescent="0.2">
      <c r="G152" s="350">
        <f>G150+G151</f>
        <v>96000</v>
      </c>
      <c r="H152" s="1" t="s">
        <v>2251</v>
      </c>
    </row>
    <row r="155" spans="1:8" x14ac:dyDescent="0.2">
      <c r="D155" s="1" t="s">
        <v>2253</v>
      </c>
    </row>
    <row r="156" spans="1:8" x14ac:dyDescent="0.2">
      <c r="D156" s="1" t="s">
        <v>2254</v>
      </c>
    </row>
    <row r="157" spans="1:8" x14ac:dyDescent="0.2">
      <c r="A157" s="1" t="s">
        <v>2255</v>
      </c>
    </row>
    <row r="158" spans="1:8" x14ac:dyDescent="0.2">
      <c r="A158" s="1" t="s">
        <v>2256</v>
      </c>
      <c r="H158" s="195" t="s">
        <v>2262</v>
      </c>
    </row>
    <row r="159" spans="1:8" x14ac:dyDescent="0.2">
      <c r="H159" s="195" t="s">
        <v>2263</v>
      </c>
    </row>
    <row r="160" spans="1:8" x14ac:dyDescent="0.2">
      <c r="A160" s="1" t="s">
        <v>2257</v>
      </c>
      <c r="H160" s="195" t="s">
        <v>2264</v>
      </c>
    </row>
    <row r="161" spans="1:8" x14ac:dyDescent="0.2">
      <c r="A161" s="1" t="s">
        <v>2258</v>
      </c>
      <c r="H161" s="195" t="s">
        <v>2265</v>
      </c>
    </row>
    <row r="162" spans="1:8" x14ac:dyDescent="0.2">
      <c r="A162" s="1" t="s">
        <v>2259</v>
      </c>
    </row>
    <row r="164" spans="1:8" x14ac:dyDescent="0.2">
      <c r="A164" s="1" t="s">
        <v>2260</v>
      </c>
    </row>
    <row r="165" spans="1:8" x14ac:dyDescent="0.2">
      <c r="A165" s="1" t="s">
        <v>2261</v>
      </c>
    </row>
    <row r="167" spans="1:8" x14ac:dyDescent="0.2">
      <c r="A167" s="1" t="s">
        <v>2266</v>
      </c>
      <c r="D167" s="343">
        <f>103038/96000-1</f>
        <v>7.3312499999999892E-2</v>
      </c>
    </row>
    <row r="169" spans="1:8" x14ac:dyDescent="0.2">
      <c r="A169" s="1" t="s">
        <v>796</v>
      </c>
      <c r="D169" s="351">
        <f>(1+D167)^2-1</f>
        <v>0.15199972265624973</v>
      </c>
    </row>
    <row r="170" spans="1:8" x14ac:dyDescent="0.2">
      <c r="D170" s="351"/>
    </row>
    <row r="172" spans="1:8" ht="17" thickBot="1" x14ac:dyDescent="0.25">
      <c r="A172" s="1" t="s">
        <v>2267</v>
      </c>
    </row>
    <row r="173" spans="1:8" x14ac:dyDescent="0.2">
      <c r="A173" s="21" t="s">
        <v>290</v>
      </c>
      <c r="B173" s="352">
        <v>0.12682499999999999</v>
      </c>
      <c r="C173" s="22"/>
      <c r="D173" s="22"/>
      <c r="E173" s="123"/>
    </row>
    <row r="174" spans="1:8" x14ac:dyDescent="0.2">
      <c r="A174" s="124" t="s">
        <v>291</v>
      </c>
      <c r="B174" s="353">
        <v>0.10803409999999999</v>
      </c>
      <c r="C174" s="354"/>
      <c r="D174" s="354"/>
      <c r="E174" s="125"/>
    </row>
    <row r="175" spans="1:8" x14ac:dyDescent="0.2">
      <c r="A175" s="124" t="s">
        <v>292</v>
      </c>
      <c r="B175" s="353">
        <v>0.27689999999999998</v>
      </c>
      <c r="C175" s="354"/>
      <c r="D175" s="354"/>
      <c r="E175" s="125"/>
      <c r="G175" s="1" t="s">
        <v>2269</v>
      </c>
    </row>
    <row r="176" spans="1:8" x14ac:dyDescent="0.2">
      <c r="A176" s="124" t="s">
        <v>1170</v>
      </c>
      <c r="B176" s="355">
        <f>D169</f>
        <v>0.15199972265624973</v>
      </c>
      <c r="C176" s="354"/>
      <c r="D176" s="354"/>
      <c r="E176" s="125"/>
      <c r="G176" s="1" t="s">
        <v>2270</v>
      </c>
    </row>
    <row r="177" spans="1:8" x14ac:dyDescent="0.2">
      <c r="A177" s="124"/>
      <c r="B177" s="354"/>
      <c r="C177" s="354"/>
      <c r="D177" s="354"/>
      <c r="E177" s="125"/>
    </row>
    <row r="178" spans="1:8" ht="17" thickBot="1" x14ac:dyDescent="0.25">
      <c r="A178" s="126" t="s">
        <v>2268</v>
      </c>
      <c r="B178" s="356"/>
      <c r="C178" s="356"/>
      <c r="D178" s="356"/>
      <c r="E178" s="127"/>
    </row>
    <row r="181" spans="1:8" x14ac:dyDescent="0.2">
      <c r="A181" s="340" t="s">
        <v>2271</v>
      </c>
      <c r="B181" s="340"/>
      <c r="C181" s="340"/>
      <c r="D181" s="340"/>
      <c r="E181" s="340"/>
      <c r="F181" s="340"/>
      <c r="G181" s="340"/>
      <c r="H181" s="340"/>
    </row>
    <row r="182" spans="1:8" x14ac:dyDescent="0.2">
      <c r="A182" s="1" t="s">
        <v>2272</v>
      </c>
    </row>
    <row r="183" spans="1:8" x14ac:dyDescent="0.2">
      <c r="A183" s="1" t="s">
        <v>2273</v>
      </c>
    </row>
    <row r="184" spans="1:8" x14ac:dyDescent="0.2">
      <c r="A184" s="1" t="s">
        <v>2274</v>
      </c>
    </row>
    <row r="185" spans="1:8" x14ac:dyDescent="0.2">
      <c r="A185" s="1" t="s">
        <v>2275</v>
      </c>
    </row>
    <row r="187" spans="1:8" x14ac:dyDescent="0.2">
      <c r="A187" s="1" t="s">
        <v>711</v>
      </c>
    </row>
    <row r="188" spans="1:8" x14ac:dyDescent="0.2">
      <c r="A188" s="1" t="s">
        <v>2276</v>
      </c>
    </row>
    <row r="189" spans="1:8" x14ac:dyDescent="0.2">
      <c r="A189" s="1" t="s">
        <v>2040</v>
      </c>
    </row>
    <row r="191" spans="1:8" x14ac:dyDescent="0.2">
      <c r="A191" s="2" t="s">
        <v>2282</v>
      </c>
    </row>
    <row r="192" spans="1:8" x14ac:dyDescent="0.2">
      <c r="A192" s="2" t="s">
        <v>2283</v>
      </c>
    </row>
    <row r="194" spans="1:7" x14ac:dyDescent="0.2">
      <c r="A194" s="1" t="s">
        <v>2284</v>
      </c>
    </row>
    <row r="195" spans="1:7" x14ac:dyDescent="0.2">
      <c r="A195" s="1" t="s">
        <v>2285</v>
      </c>
      <c r="G195" s="157" t="s">
        <v>2286</v>
      </c>
    </row>
    <row r="196" spans="1:7" x14ac:dyDescent="0.2">
      <c r="G196" s="157" t="s">
        <v>2287</v>
      </c>
    </row>
    <row r="197" spans="1:7" x14ac:dyDescent="0.2">
      <c r="G197" s="157" t="s">
        <v>2288</v>
      </c>
    </row>
    <row r="198" spans="1:7" x14ac:dyDescent="0.2">
      <c r="G198" s="157" t="s">
        <v>2289</v>
      </c>
    </row>
    <row r="199" spans="1:7" x14ac:dyDescent="0.2">
      <c r="A199" s="1" t="s">
        <v>2291</v>
      </c>
      <c r="G199" s="157" t="s">
        <v>2290</v>
      </c>
    </row>
    <row r="200" spans="1:7" x14ac:dyDescent="0.2">
      <c r="A200" s="1" t="s">
        <v>2292</v>
      </c>
    </row>
    <row r="202" spans="1:7" x14ac:dyDescent="0.2">
      <c r="A202" s="2" t="s">
        <v>2293</v>
      </c>
    </row>
    <row r="203" spans="1:7" x14ac:dyDescent="0.2">
      <c r="A203" s="2" t="s">
        <v>2294</v>
      </c>
    </row>
    <row r="205" spans="1:7" x14ac:dyDescent="0.2">
      <c r="B205" s="359">
        <f>500000*0.96</f>
        <v>480000</v>
      </c>
    </row>
    <row r="207" spans="1:7" x14ac:dyDescent="0.2">
      <c r="B207" s="359">
        <f>500000*1.01^24</f>
        <v>634867.32426595746</v>
      </c>
    </row>
    <row r="209" spans="1:2" x14ac:dyDescent="0.2">
      <c r="B209" s="1" t="s">
        <v>2295</v>
      </c>
    </row>
    <row r="210" spans="1:2" x14ac:dyDescent="0.2">
      <c r="B210" s="1" t="s">
        <v>2296</v>
      </c>
    </row>
    <row r="211" spans="1:2" x14ac:dyDescent="0.2">
      <c r="B211" s="1" t="s">
        <v>2297</v>
      </c>
    </row>
    <row r="212" spans="1:2" x14ac:dyDescent="0.2">
      <c r="B212" s="1" t="s">
        <v>2298</v>
      </c>
    </row>
    <row r="213" spans="1:2" x14ac:dyDescent="0.2">
      <c r="B213" s="1" t="s">
        <v>2299</v>
      </c>
    </row>
    <row r="214" spans="1:2" x14ac:dyDescent="0.2">
      <c r="B214" s="1" t="s">
        <v>2300</v>
      </c>
    </row>
    <row r="216" spans="1:2" x14ac:dyDescent="0.2">
      <c r="B216" s="360">
        <f>B207/B205-1</f>
        <v>0.32264025888741132</v>
      </c>
    </row>
    <row r="217" spans="1:2" x14ac:dyDescent="0.2">
      <c r="B217" s="1" t="s">
        <v>1396</v>
      </c>
    </row>
    <row r="218" spans="1:2" x14ac:dyDescent="0.2">
      <c r="B218" s="1" t="s">
        <v>2301</v>
      </c>
    </row>
    <row r="219" spans="1:2" x14ac:dyDescent="0.2">
      <c r="B219" s="1" t="s">
        <v>2302</v>
      </c>
    </row>
    <row r="221" spans="1:2" x14ac:dyDescent="0.2">
      <c r="A221" s="2" t="s">
        <v>2303</v>
      </c>
    </row>
    <row r="225" spans="1:8" x14ac:dyDescent="0.2">
      <c r="B225" s="20">
        <f>(1+B216)^0.5-1</f>
        <v>0.15006098050816918</v>
      </c>
    </row>
    <row r="226" spans="1:8" x14ac:dyDescent="0.2">
      <c r="B226" s="1" t="s">
        <v>2304</v>
      </c>
    </row>
    <row r="228" spans="1:8" x14ac:dyDescent="0.2">
      <c r="A228" s="1" t="s">
        <v>2306</v>
      </c>
    </row>
    <row r="229" spans="1:8" x14ac:dyDescent="0.2">
      <c r="A229" s="1" t="s">
        <v>2305</v>
      </c>
    </row>
    <row r="231" spans="1:8" x14ac:dyDescent="0.2">
      <c r="A231" s="361" t="s">
        <v>2308</v>
      </c>
      <c r="B231" s="361"/>
      <c r="C231" s="361"/>
      <c r="D231" s="361"/>
      <c r="E231" s="361"/>
      <c r="F231" s="361"/>
      <c r="G231" s="361"/>
      <c r="H231" s="361"/>
    </row>
    <row r="233" spans="1:8" x14ac:dyDescent="0.2">
      <c r="A233" s="2" t="s">
        <v>2307</v>
      </c>
    </row>
    <row r="258" spans="1:5" x14ac:dyDescent="0.2">
      <c r="A258" s="2" t="s">
        <v>2309</v>
      </c>
    </row>
    <row r="268" spans="1:5" x14ac:dyDescent="0.2">
      <c r="A268" s="1" t="s">
        <v>27</v>
      </c>
    </row>
    <row r="270" spans="1:5" x14ac:dyDescent="0.2">
      <c r="A270" s="1" t="s">
        <v>2310</v>
      </c>
      <c r="B270" s="1" t="s">
        <v>1396</v>
      </c>
      <c r="E270" s="1" t="s">
        <v>2312</v>
      </c>
    </row>
    <row r="271" spans="1:5" x14ac:dyDescent="0.2">
      <c r="A271" s="1" t="s">
        <v>290</v>
      </c>
      <c r="B271" s="362">
        <f>(1+10%/4)^4-1</f>
        <v>0.10381289062499977</v>
      </c>
      <c r="C271" s="1" t="s">
        <v>2311</v>
      </c>
    </row>
    <row r="272" spans="1:5" x14ac:dyDescent="0.2">
      <c r="A272" s="1" t="s">
        <v>291</v>
      </c>
      <c r="B272" s="363">
        <f>(1+4%)^2-1</f>
        <v>8.1600000000000117E-2</v>
      </c>
    </row>
    <row r="273" spans="1:8" x14ac:dyDescent="0.2">
      <c r="A273" s="1" t="s">
        <v>292</v>
      </c>
      <c r="B273" s="363">
        <f>(1+3%/6)^12-1</f>
        <v>6.1677811864497611E-2</v>
      </c>
    </row>
    <row r="274" spans="1:8" x14ac:dyDescent="0.2">
      <c r="A274" s="1" t="s">
        <v>1170</v>
      </c>
      <c r="B274" s="363">
        <f>(1+10%)^1-1</f>
        <v>0.10000000000000009</v>
      </c>
    </row>
    <row r="276" spans="1:8" x14ac:dyDescent="0.2">
      <c r="A276" s="2" t="s">
        <v>2313</v>
      </c>
    </row>
    <row r="277" spans="1:8" x14ac:dyDescent="0.2">
      <c r="A277" s="364" t="s">
        <v>2314</v>
      </c>
      <c r="B277" s="364"/>
      <c r="C277" s="364"/>
      <c r="D277" s="364"/>
      <c r="E277" s="364"/>
      <c r="F277" s="364"/>
      <c r="G277" s="364"/>
      <c r="H277" s="364"/>
    </row>
    <row r="278" spans="1:8" x14ac:dyDescent="0.2">
      <c r="A278" s="364" t="s">
        <v>2315</v>
      </c>
      <c r="B278" s="364"/>
      <c r="C278" s="364"/>
      <c r="D278" s="364"/>
      <c r="E278" s="365"/>
      <c r="F278" s="365"/>
      <c r="G278" s="365"/>
      <c r="H278" s="365"/>
    </row>
    <row r="279" spans="1:8" x14ac:dyDescent="0.2">
      <c r="A279" s="364" t="s">
        <v>2316</v>
      </c>
      <c r="B279" s="364"/>
      <c r="C279" s="364"/>
      <c r="D279" s="364"/>
      <c r="E279" s="365"/>
      <c r="F279" s="365"/>
      <c r="G279" s="365"/>
      <c r="H279" s="365"/>
    </row>
    <row r="280" spans="1:8" x14ac:dyDescent="0.2">
      <c r="A280" s="364" t="s">
        <v>2317</v>
      </c>
      <c r="B280" s="364"/>
      <c r="C280" s="364"/>
      <c r="D280" s="364"/>
      <c r="E280" s="365"/>
      <c r="F280" s="365"/>
      <c r="G280" s="365"/>
      <c r="H280" s="365"/>
    </row>
    <row r="281" spans="1:8" x14ac:dyDescent="0.2">
      <c r="A281" s="364" t="s">
        <v>2318</v>
      </c>
      <c r="B281" s="364"/>
      <c r="C281" s="364"/>
      <c r="D281" s="364"/>
      <c r="E281" s="365"/>
      <c r="F281" s="365"/>
      <c r="G281" s="365"/>
      <c r="H281" s="365"/>
    </row>
    <row r="282" spans="1:8" x14ac:dyDescent="0.2">
      <c r="A282" s="365"/>
      <c r="B282" s="365"/>
      <c r="C282" s="365"/>
      <c r="D282" s="365"/>
      <c r="E282" s="365"/>
      <c r="F282" s="365"/>
      <c r="G282" s="365"/>
      <c r="H282" s="365"/>
    </row>
    <row r="283" spans="1:8" x14ac:dyDescent="0.2">
      <c r="A283" s="364" t="s">
        <v>2319</v>
      </c>
      <c r="B283" s="364"/>
      <c r="C283" s="364"/>
      <c r="D283" s="364"/>
      <c r="E283" s="364"/>
      <c r="F283" s="364"/>
      <c r="G283" s="365"/>
      <c r="H283" s="365"/>
    </row>
    <row r="284" spans="1:8" x14ac:dyDescent="0.2">
      <c r="A284" s="365"/>
      <c r="B284" s="365"/>
      <c r="C284" s="365"/>
      <c r="D284" s="365"/>
      <c r="E284" s="365"/>
      <c r="F284" s="365"/>
      <c r="G284" s="365"/>
      <c r="H284" s="365"/>
    </row>
    <row r="285" spans="1:8" x14ac:dyDescent="0.2">
      <c r="A285" s="365" t="s">
        <v>2323</v>
      </c>
      <c r="B285" s="365"/>
      <c r="C285" s="365"/>
      <c r="D285" s="365"/>
      <c r="E285" s="365"/>
      <c r="F285" s="365"/>
      <c r="G285" s="365"/>
      <c r="H285" s="365"/>
    </row>
    <row r="286" spans="1:8" x14ac:dyDescent="0.2">
      <c r="A286" s="365"/>
      <c r="B286" s="365"/>
      <c r="C286" s="365"/>
      <c r="D286" s="365"/>
      <c r="E286" s="365"/>
      <c r="F286" s="365"/>
      <c r="G286" s="365"/>
      <c r="H286" s="365"/>
    </row>
    <row r="287" spans="1:8" x14ac:dyDescent="0.2">
      <c r="A287" s="364" t="s">
        <v>2320</v>
      </c>
      <c r="B287" s="364" t="s">
        <v>2321</v>
      </c>
      <c r="C287" s="365"/>
      <c r="D287" s="365"/>
      <c r="E287" s="365"/>
      <c r="F287" s="365"/>
      <c r="G287" s="365"/>
      <c r="H287" s="365"/>
    </row>
    <row r="288" spans="1:8" x14ac:dyDescent="0.2">
      <c r="A288" s="364" t="s">
        <v>290</v>
      </c>
      <c r="B288" s="366">
        <v>8.2400000000000001E-2</v>
      </c>
      <c r="C288" s="365"/>
      <c r="D288" s="365"/>
      <c r="E288" s="365"/>
      <c r="F288" s="365"/>
      <c r="G288" s="365"/>
      <c r="H288" s="365"/>
    </row>
    <row r="289" spans="1:8" x14ac:dyDescent="0.2">
      <c r="A289" s="364" t="s">
        <v>291</v>
      </c>
      <c r="B289" s="366">
        <v>0.08</v>
      </c>
      <c r="C289" s="365"/>
      <c r="D289" s="364" t="s">
        <v>2322</v>
      </c>
      <c r="E289" s="364"/>
      <c r="F289" s="364"/>
      <c r="G289" s="365"/>
      <c r="H289" s="365"/>
    </row>
    <row r="290" spans="1:8" x14ac:dyDescent="0.2">
      <c r="A290" s="364" t="s">
        <v>292</v>
      </c>
      <c r="B290" s="366">
        <v>0.1038</v>
      </c>
      <c r="C290" s="365"/>
      <c r="D290" s="365"/>
      <c r="E290" s="365"/>
      <c r="F290" s="365"/>
      <c r="G290" s="365"/>
      <c r="H290" s="365"/>
    </row>
    <row r="291" spans="1:8" x14ac:dyDescent="0.2">
      <c r="A291" s="364" t="s">
        <v>1170</v>
      </c>
      <c r="B291" s="366">
        <v>0.09</v>
      </c>
      <c r="C291" s="365"/>
      <c r="D291" s="365"/>
      <c r="E291" s="365"/>
      <c r="F291" s="365"/>
      <c r="G291" s="365"/>
      <c r="H291" s="365"/>
    </row>
    <row r="293" spans="1:8" x14ac:dyDescent="0.2">
      <c r="A293" s="2" t="s">
        <v>2324</v>
      </c>
      <c r="B293" s="1" t="s">
        <v>2331</v>
      </c>
    </row>
    <row r="294" spans="1:8" x14ac:dyDescent="0.2">
      <c r="A294" s="1" t="s">
        <v>2325</v>
      </c>
    </row>
    <row r="295" spans="1:8" x14ac:dyDescent="0.2">
      <c r="A295" s="1" t="s">
        <v>2326</v>
      </c>
    </row>
    <row r="296" spans="1:8" x14ac:dyDescent="0.2">
      <c r="A296" s="1" t="s">
        <v>2327</v>
      </c>
    </row>
    <row r="297" spans="1:8" x14ac:dyDescent="0.2">
      <c r="A297" s="1" t="s">
        <v>2328</v>
      </c>
    </row>
    <row r="298" spans="1:8" x14ac:dyDescent="0.2">
      <c r="A298" s="1" t="s">
        <v>2329</v>
      </c>
    </row>
    <row r="299" spans="1:8" x14ac:dyDescent="0.2">
      <c r="A299" s="1" t="s">
        <v>2339</v>
      </c>
    </row>
    <row r="301" spans="1:8" x14ac:dyDescent="0.2">
      <c r="A301" s="1" t="s">
        <v>711</v>
      </c>
    </row>
    <row r="302" spans="1:8" x14ac:dyDescent="0.2">
      <c r="A302" s="1" t="s">
        <v>2330</v>
      </c>
    </row>
    <row r="304" spans="1:8" x14ac:dyDescent="0.2">
      <c r="A304" s="1" t="s">
        <v>2332</v>
      </c>
      <c r="B304" s="140">
        <f>(1+10%/2)^2-1</f>
        <v>0.10250000000000004</v>
      </c>
    </row>
    <row r="305" spans="1:6" x14ac:dyDescent="0.2">
      <c r="B305" s="140"/>
    </row>
    <row r="306" spans="1:6" x14ac:dyDescent="0.2">
      <c r="A306" s="1" t="s">
        <v>2333</v>
      </c>
      <c r="B306" s="140">
        <f>(1+4%/6)^12-1</f>
        <v>8.2999506807510004E-2</v>
      </c>
    </row>
    <row r="307" spans="1:6" x14ac:dyDescent="0.2">
      <c r="B307" s="140"/>
    </row>
    <row r="308" spans="1:6" x14ac:dyDescent="0.2">
      <c r="A308" s="1" t="s">
        <v>2334</v>
      </c>
      <c r="B308" s="140">
        <f>F309</f>
        <v>0.10756634324829006</v>
      </c>
      <c r="C308" s="1" t="s">
        <v>2335</v>
      </c>
      <c r="F308" s="141">
        <f>1/0.6-1</f>
        <v>0.66666666666666674</v>
      </c>
    </row>
    <row r="309" spans="1:6" x14ac:dyDescent="0.2">
      <c r="B309" s="140"/>
      <c r="C309" s="1" t="s">
        <v>2336</v>
      </c>
      <c r="F309" s="141">
        <f>(1+F308)^0.2-1</f>
        <v>0.10756634324829006</v>
      </c>
    </row>
    <row r="310" spans="1:6" x14ac:dyDescent="0.2">
      <c r="B310" s="140"/>
    </row>
    <row r="311" spans="1:6" x14ac:dyDescent="0.2">
      <c r="A311" s="1" t="s">
        <v>2337</v>
      </c>
      <c r="B311" s="140">
        <f>F312</f>
        <v>0.10606272597558308</v>
      </c>
      <c r="C311" s="1" t="s">
        <v>2335</v>
      </c>
      <c r="F311" s="140">
        <f>(1+2%/3)^60/(1-10%)-1</f>
        <v>0.65538412033511784</v>
      </c>
    </row>
    <row r="312" spans="1:6" x14ac:dyDescent="0.2">
      <c r="C312" s="1" t="s">
        <v>2338</v>
      </c>
      <c r="F312" s="140">
        <f>(1+F311)^0.2-1</f>
        <v>0.10606272597558308</v>
      </c>
    </row>
    <row r="314" spans="1:6" x14ac:dyDescent="0.2">
      <c r="A314" s="1" t="s">
        <v>2340</v>
      </c>
    </row>
  </sheetData>
  <mergeCells count="3">
    <mergeCell ref="E83:E84"/>
    <mergeCell ref="E117:E118"/>
    <mergeCell ref="D169:D17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EB664-E0CD-D34F-93DC-332102F2CA03}">
  <dimension ref="A1:K415"/>
  <sheetViews>
    <sheetView rightToLeft="1" topLeftCell="A232" zoomScale="238" zoomScaleNormal="240" workbookViewId="0">
      <selection activeCell="D249" sqref="D249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2166</v>
      </c>
      <c r="B1" s="29"/>
      <c r="C1" s="29"/>
      <c r="D1" s="29"/>
      <c r="E1" s="29"/>
      <c r="F1" s="29"/>
      <c r="G1" s="29"/>
      <c r="H1" s="139">
        <v>45908</v>
      </c>
    </row>
    <row r="3" spans="1:8" x14ac:dyDescent="0.2">
      <c r="A3" s="11" t="s">
        <v>2167</v>
      </c>
      <c r="B3" s="197"/>
      <c r="C3" s="197"/>
      <c r="D3" s="197"/>
      <c r="E3" s="197"/>
      <c r="F3" s="197"/>
      <c r="G3" s="197"/>
      <c r="H3" s="197"/>
    </row>
    <row r="5" spans="1:8" x14ac:dyDescent="0.2">
      <c r="A5" s="1" t="s">
        <v>2168</v>
      </c>
    </row>
    <row r="7" spans="1:8" x14ac:dyDescent="0.2">
      <c r="A7" s="159" t="s">
        <v>2169</v>
      </c>
      <c r="B7" s="58"/>
      <c r="C7" s="58"/>
      <c r="D7" s="58"/>
      <c r="E7" s="58"/>
      <c r="F7" s="58"/>
      <c r="G7" s="58"/>
      <c r="H7" s="58"/>
    </row>
    <row r="8" spans="1:8" x14ac:dyDescent="0.2">
      <c r="A8" s="12" t="s">
        <v>2143</v>
      </c>
      <c r="B8" s="1" t="s">
        <v>2170</v>
      </c>
    </row>
    <row r="9" spans="1:8" x14ac:dyDescent="0.2">
      <c r="A9" s="12" t="s">
        <v>2145</v>
      </c>
      <c r="B9" s="1" t="s">
        <v>2171</v>
      </c>
    </row>
    <row r="10" spans="1:8" x14ac:dyDescent="0.2">
      <c r="A10" s="12" t="s">
        <v>45</v>
      </c>
      <c r="B10" s="1" t="s">
        <v>2172</v>
      </c>
    </row>
    <row r="11" spans="1:8" x14ac:dyDescent="0.2">
      <c r="A11" s="12" t="s">
        <v>2148</v>
      </c>
      <c r="B11" s="1" t="s">
        <v>2173</v>
      </c>
    </row>
    <row r="13" spans="1:8" x14ac:dyDescent="0.2">
      <c r="A13" s="159" t="s">
        <v>2174</v>
      </c>
      <c r="B13" s="58"/>
      <c r="C13" s="58"/>
      <c r="D13" s="58"/>
      <c r="E13" s="58"/>
      <c r="F13" s="58"/>
      <c r="G13" s="58"/>
      <c r="H13" s="58"/>
    </row>
    <row r="16" spans="1:8" x14ac:dyDescent="0.2">
      <c r="A16" s="12" t="s">
        <v>2143</v>
      </c>
      <c r="B16" s="1" t="s">
        <v>2175</v>
      </c>
    </row>
    <row r="17" spans="1:8" x14ac:dyDescent="0.2">
      <c r="A17" s="12" t="s">
        <v>2176</v>
      </c>
      <c r="B17" s="1" t="s">
        <v>2177</v>
      </c>
    </row>
    <row r="19" spans="1:8" x14ac:dyDescent="0.2">
      <c r="A19" s="159" t="s">
        <v>2178</v>
      </c>
      <c r="B19" s="58"/>
      <c r="C19" s="58"/>
      <c r="D19" s="58"/>
      <c r="E19" s="58"/>
      <c r="F19" s="58"/>
      <c r="G19" s="58"/>
      <c r="H19" s="58"/>
    </row>
    <row r="23" spans="1:8" x14ac:dyDescent="0.2">
      <c r="A23" s="12" t="s">
        <v>2143</v>
      </c>
      <c r="B23" s="1" t="s">
        <v>2175</v>
      </c>
    </row>
    <row r="24" spans="1:8" x14ac:dyDescent="0.2">
      <c r="A24" s="12" t="s">
        <v>2087</v>
      </c>
      <c r="B24" s="1" t="s">
        <v>2179</v>
      </c>
    </row>
    <row r="25" spans="1:8" x14ac:dyDescent="0.2">
      <c r="A25" s="12" t="s">
        <v>2092</v>
      </c>
      <c r="B25" s="1" t="s">
        <v>2180</v>
      </c>
    </row>
    <row r="27" spans="1:8" x14ac:dyDescent="0.2">
      <c r="A27" s="159" t="s">
        <v>2181</v>
      </c>
      <c r="B27" s="58"/>
      <c r="C27" s="58"/>
      <c r="D27" s="58"/>
      <c r="E27" s="58"/>
      <c r="F27" s="58"/>
      <c r="G27" s="58"/>
      <c r="H27" s="58"/>
    </row>
    <row r="30" spans="1:8" x14ac:dyDescent="0.2">
      <c r="A30" s="12" t="s">
        <v>2143</v>
      </c>
      <c r="B30" s="1" t="s">
        <v>2183</v>
      </c>
    </row>
    <row r="31" spans="1:8" x14ac:dyDescent="0.2">
      <c r="A31" s="12" t="s">
        <v>1757</v>
      </c>
      <c r="B31" s="1" t="s">
        <v>2184</v>
      </c>
    </row>
    <row r="32" spans="1:8" x14ac:dyDescent="0.2">
      <c r="A32" s="12" t="s">
        <v>2148</v>
      </c>
      <c r="B32" s="1" t="s">
        <v>2182</v>
      </c>
    </row>
    <row r="33" spans="1:8" x14ac:dyDescent="0.2">
      <c r="A33" s="12"/>
    </row>
    <row r="34" spans="1:8" x14ac:dyDescent="0.2">
      <c r="A34" s="358" t="s">
        <v>2277</v>
      </c>
      <c r="B34" s="357"/>
      <c r="C34" s="357"/>
      <c r="D34" s="357"/>
      <c r="E34" s="357"/>
      <c r="F34" s="357"/>
      <c r="G34" s="357"/>
      <c r="H34" s="357"/>
    </row>
    <row r="35" spans="1:8" x14ac:dyDescent="0.2">
      <c r="A35" s="12"/>
    </row>
    <row r="36" spans="1:8" x14ac:dyDescent="0.2">
      <c r="A36" s="12"/>
    </row>
    <row r="37" spans="1:8" x14ac:dyDescent="0.2">
      <c r="A37" s="12"/>
    </row>
    <row r="38" spans="1:8" x14ac:dyDescent="0.2">
      <c r="A38" s="12" t="s">
        <v>2015</v>
      </c>
      <c r="B38" s="1" t="s">
        <v>2278</v>
      </c>
    </row>
    <row r="39" spans="1:8" x14ac:dyDescent="0.2">
      <c r="A39" s="12" t="s">
        <v>2145</v>
      </c>
      <c r="B39" s="1" t="s">
        <v>2279</v>
      </c>
    </row>
    <row r="40" spans="1:8" x14ac:dyDescent="0.2">
      <c r="A40" s="12" t="s">
        <v>45</v>
      </c>
      <c r="B40" s="1" t="s">
        <v>2280</v>
      </c>
    </row>
    <row r="41" spans="1:8" x14ac:dyDescent="0.2">
      <c r="A41" s="12" t="s">
        <v>2148</v>
      </c>
      <c r="B41" s="1" t="s">
        <v>2281</v>
      </c>
    </row>
    <row r="43" spans="1:8" x14ac:dyDescent="0.2">
      <c r="A43" s="340" t="s">
        <v>2185</v>
      </c>
      <c r="B43" s="340"/>
      <c r="C43" s="340"/>
      <c r="D43" s="340"/>
      <c r="E43" s="340"/>
      <c r="F43" s="340"/>
      <c r="G43" s="340"/>
      <c r="H43" s="340"/>
    </row>
    <row r="44" spans="1:8" x14ac:dyDescent="0.2">
      <c r="A44" s="1" t="s">
        <v>2186</v>
      </c>
    </row>
    <row r="45" spans="1:8" x14ac:dyDescent="0.2">
      <c r="A45" s="1" t="s">
        <v>2187</v>
      </c>
    </row>
    <row r="46" spans="1:8" x14ac:dyDescent="0.2">
      <c r="A46" s="1" t="s">
        <v>2190</v>
      </c>
    </row>
    <row r="47" spans="1:8" x14ac:dyDescent="0.2">
      <c r="A47" s="1" t="s">
        <v>2188</v>
      </c>
    </row>
    <row r="48" spans="1:8" x14ac:dyDescent="0.2">
      <c r="A48" s="1" t="s">
        <v>2189</v>
      </c>
    </row>
    <row r="49" spans="1:8" x14ac:dyDescent="0.2">
      <c r="A49" s="1" t="s">
        <v>2191</v>
      </c>
    </row>
    <row r="50" spans="1:8" x14ac:dyDescent="0.2">
      <c r="A50" s="1" t="s">
        <v>2192</v>
      </c>
    </row>
    <row r="52" spans="1:8" x14ac:dyDescent="0.2">
      <c r="A52" s="1" t="s">
        <v>2193</v>
      </c>
    </row>
    <row r="54" spans="1:8" x14ac:dyDescent="0.2">
      <c r="A54" s="1" t="s">
        <v>27</v>
      </c>
    </row>
    <row r="55" spans="1:8" ht="17" thickBot="1" x14ac:dyDescent="0.25"/>
    <row r="56" spans="1:8" ht="17" thickBot="1" x14ac:dyDescent="0.25">
      <c r="A56" s="8" t="s">
        <v>2230</v>
      </c>
      <c r="B56" s="341"/>
      <c r="C56" s="341"/>
      <c r="D56" s="341"/>
      <c r="E56" s="341"/>
      <c r="F56" s="341"/>
      <c r="G56" s="341"/>
      <c r="H56" s="342"/>
    </row>
    <row r="57" spans="1:8" x14ac:dyDescent="0.2">
      <c r="A57" s="1" t="s">
        <v>2194</v>
      </c>
    </row>
    <row r="58" spans="1:8" x14ac:dyDescent="0.2">
      <c r="A58" s="1" t="s">
        <v>2195</v>
      </c>
    </row>
    <row r="59" spans="1:8" x14ac:dyDescent="0.2">
      <c r="A59" s="1" t="s">
        <v>2196</v>
      </c>
    </row>
    <row r="60" spans="1:8" x14ac:dyDescent="0.2">
      <c r="A60" s="1" t="s">
        <v>2197</v>
      </c>
    </row>
    <row r="61" spans="1:8" x14ac:dyDescent="0.2">
      <c r="A61" s="1" t="s">
        <v>2198</v>
      </c>
    </row>
    <row r="62" spans="1:8" x14ac:dyDescent="0.2">
      <c r="A62" s="1" t="s">
        <v>2199</v>
      </c>
    </row>
    <row r="63" spans="1:8" x14ac:dyDescent="0.2">
      <c r="A63" s="1" t="s">
        <v>2202</v>
      </c>
    </row>
    <row r="64" spans="1:8" x14ac:dyDescent="0.2">
      <c r="A64" s="2" t="s">
        <v>2208</v>
      </c>
    </row>
    <row r="66" spans="1:8" x14ac:dyDescent="0.2">
      <c r="A66" s="232" t="s">
        <v>2145</v>
      </c>
      <c r="B66" s="232" t="s">
        <v>2200</v>
      </c>
    </row>
    <row r="67" spans="1:8" x14ac:dyDescent="0.2">
      <c r="A67" s="232" t="s">
        <v>45</v>
      </c>
      <c r="B67" s="232" t="s">
        <v>2201</v>
      </c>
    </row>
    <row r="68" spans="1:8" x14ac:dyDescent="0.2">
      <c r="A68" s="232" t="s">
        <v>2148</v>
      </c>
      <c r="B68" s="232" t="s">
        <v>2207</v>
      </c>
      <c r="E68" s="344">
        <f>(1.01^12-1)</f>
        <v>0.12682503013196977</v>
      </c>
    </row>
    <row r="70" spans="1:8" x14ac:dyDescent="0.2">
      <c r="B70" s="345" t="s">
        <v>2203</v>
      </c>
      <c r="C70" s="345"/>
      <c r="D70" s="345"/>
      <c r="E70" s="345"/>
      <c r="F70" s="345"/>
      <c r="G70" s="345"/>
    </row>
    <row r="71" spans="1:8" x14ac:dyDescent="0.2">
      <c r="B71" s="345" t="s">
        <v>2204</v>
      </c>
      <c r="C71" s="345"/>
      <c r="D71" s="345"/>
      <c r="E71" s="345"/>
      <c r="F71" s="345"/>
      <c r="G71" s="345"/>
    </row>
    <row r="72" spans="1:8" x14ac:dyDescent="0.2">
      <c r="B72" s="345" t="s">
        <v>2205</v>
      </c>
      <c r="C72" s="345"/>
      <c r="D72" s="345"/>
      <c r="E72" s="345"/>
      <c r="F72" s="345"/>
      <c r="G72" s="345"/>
    </row>
    <row r="73" spans="1:8" x14ac:dyDescent="0.2">
      <c r="B73" s="345" t="s">
        <v>2206</v>
      </c>
      <c r="C73" s="345"/>
      <c r="D73" s="345"/>
      <c r="E73" s="345"/>
      <c r="F73" s="345"/>
      <c r="G73" s="345"/>
    </row>
    <row r="74" spans="1:8" x14ac:dyDescent="0.2">
      <c r="B74" s="345"/>
      <c r="C74" s="345"/>
      <c r="D74" s="345"/>
      <c r="E74" s="345"/>
      <c r="F74" s="345"/>
      <c r="G74" s="345"/>
    </row>
    <row r="76" spans="1:8" x14ac:dyDescent="0.2">
      <c r="A76" s="75" t="s">
        <v>2212</v>
      </c>
      <c r="B76" s="29"/>
      <c r="C76" s="29"/>
      <c r="D76" s="29"/>
      <c r="E76" s="29"/>
      <c r="F76" s="29"/>
      <c r="G76" s="29"/>
      <c r="H76" s="29"/>
    </row>
    <row r="77" spans="1:8" x14ac:dyDescent="0.2">
      <c r="A77" s="1" t="s">
        <v>2209</v>
      </c>
    </row>
    <row r="78" spans="1:8" x14ac:dyDescent="0.2">
      <c r="A78" s="1" t="s">
        <v>2210</v>
      </c>
    </row>
    <row r="80" spans="1:8" x14ac:dyDescent="0.2">
      <c r="A80" s="12" t="s">
        <v>2143</v>
      </c>
      <c r="B80" s="1" t="s">
        <v>2211</v>
      </c>
    </row>
    <row r="81" spans="1:7" x14ac:dyDescent="0.2">
      <c r="A81" s="12" t="s">
        <v>2176</v>
      </c>
      <c r="B81" s="1" t="s">
        <v>2213</v>
      </c>
    </row>
    <row r="83" spans="1:7" x14ac:dyDescent="0.2">
      <c r="A83" s="1" t="s">
        <v>2217</v>
      </c>
      <c r="E83" s="346">
        <f>1/0.95-1</f>
        <v>5.2631578947368363E-2</v>
      </c>
    </row>
    <row r="84" spans="1:7" x14ac:dyDescent="0.2">
      <c r="E84" s="346"/>
    </row>
    <row r="86" spans="1:7" x14ac:dyDescent="0.2">
      <c r="A86" s="1" t="s">
        <v>2214</v>
      </c>
    </row>
    <row r="87" spans="1:7" x14ac:dyDescent="0.2">
      <c r="A87" s="1" t="s">
        <v>2215</v>
      </c>
    </row>
    <row r="88" spans="1:7" x14ac:dyDescent="0.2">
      <c r="A88" s="1" t="s">
        <v>2216</v>
      </c>
    </row>
    <row r="90" spans="1:7" x14ac:dyDescent="0.2">
      <c r="A90" s="1" t="s">
        <v>2218</v>
      </c>
    </row>
    <row r="91" spans="1:7" x14ac:dyDescent="0.2">
      <c r="A91" s="1" t="s">
        <v>2219</v>
      </c>
    </row>
    <row r="95" spans="1:7" x14ac:dyDescent="0.2">
      <c r="E95" s="232" t="s">
        <v>2223</v>
      </c>
      <c r="F95" s="232" t="s">
        <v>1396</v>
      </c>
      <c r="G95" s="232" t="s">
        <v>2220</v>
      </c>
    </row>
    <row r="96" spans="1:7" x14ac:dyDescent="0.2">
      <c r="E96" s="232" t="s">
        <v>2224</v>
      </c>
      <c r="F96" s="232" t="s">
        <v>2221</v>
      </c>
      <c r="G96" s="232"/>
    </row>
    <row r="97" spans="1:8" x14ac:dyDescent="0.2">
      <c r="E97" s="232" t="s">
        <v>2225</v>
      </c>
      <c r="F97" s="232" t="s">
        <v>2222</v>
      </c>
      <c r="G97" s="232"/>
    </row>
    <row r="98" spans="1:8" x14ac:dyDescent="0.2">
      <c r="E98" s="232" t="s">
        <v>2228</v>
      </c>
    </row>
    <row r="99" spans="1:8" x14ac:dyDescent="0.2">
      <c r="E99" s="232" t="s">
        <v>2229</v>
      </c>
    </row>
    <row r="100" spans="1:8" x14ac:dyDescent="0.2">
      <c r="E100" s="232" t="s">
        <v>2226</v>
      </c>
    </row>
    <row r="103" spans="1:8" x14ac:dyDescent="0.2">
      <c r="A103" s="1" t="s">
        <v>2227</v>
      </c>
      <c r="D103" s="347">
        <f>1.052632^2-1</f>
        <v>0.10803412742399998</v>
      </c>
    </row>
    <row r="105" spans="1:8" x14ac:dyDescent="0.2">
      <c r="A105" s="29" t="s">
        <v>2189</v>
      </c>
      <c r="B105" s="29"/>
      <c r="C105" s="29"/>
      <c r="D105" s="29"/>
      <c r="E105" s="29"/>
      <c r="F105" s="29"/>
      <c r="G105" s="29"/>
      <c r="H105" s="29"/>
    </row>
    <row r="107" spans="1:8" x14ac:dyDescent="0.2">
      <c r="A107" s="1" t="s">
        <v>2233</v>
      </c>
    </row>
    <row r="108" spans="1:8" x14ac:dyDescent="0.2">
      <c r="A108" s="1" t="s">
        <v>2234</v>
      </c>
    </row>
    <row r="110" spans="1:8" x14ac:dyDescent="0.2">
      <c r="A110" s="1" t="s">
        <v>2231</v>
      </c>
    </row>
    <row r="111" spans="1:8" x14ac:dyDescent="0.2">
      <c r="A111" s="1" t="s">
        <v>2232</v>
      </c>
    </row>
    <row r="113" spans="1:7" x14ac:dyDescent="0.2">
      <c r="A113" s="12" t="s">
        <v>2143</v>
      </c>
      <c r="B113" s="1" t="s">
        <v>2175</v>
      </c>
    </row>
    <row r="114" spans="1:7" x14ac:dyDescent="0.2">
      <c r="A114" s="12" t="s">
        <v>2092</v>
      </c>
      <c r="B114" s="1" t="s">
        <v>2236</v>
      </c>
    </row>
    <row r="115" spans="1:7" x14ac:dyDescent="0.2">
      <c r="A115" s="12" t="s">
        <v>2087</v>
      </c>
      <c r="B115" s="1" t="s">
        <v>2235</v>
      </c>
    </row>
    <row r="117" spans="1:7" x14ac:dyDescent="0.2">
      <c r="A117" s="1" t="s">
        <v>2237</v>
      </c>
      <c r="E117" s="348">
        <v>0.13</v>
      </c>
    </row>
    <row r="118" spans="1:7" x14ac:dyDescent="0.2">
      <c r="A118" s="1" t="s">
        <v>2238</v>
      </c>
      <c r="E118" s="348"/>
    </row>
    <row r="119" spans="1:7" x14ac:dyDescent="0.2">
      <c r="A119" s="1" t="s">
        <v>2239</v>
      </c>
      <c r="E119" s="128" t="s">
        <v>2243</v>
      </c>
    </row>
    <row r="120" spans="1:7" x14ac:dyDescent="0.2">
      <c r="A120" s="1" t="s">
        <v>2240</v>
      </c>
    </row>
    <row r="122" spans="1:7" x14ac:dyDescent="0.2">
      <c r="A122" s="1" t="s">
        <v>2241</v>
      </c>
    </row>
    <row r="123" spans="1:7" x14ac:dyDescent="0.2">
      <c r="A123" s="1" t="s">
        <v>2242</v>
      </c>
    </row>
    <row r="128" spans="1:7" x14ac:dyDescent="0.2">
      <c r="E128" s="232" t="s">
        <v>2223</v>
      </c>
      <c r="F128" s="232" t="s">
        <v>1396</v>
      </c>
      <c r="G128" s="232" t="s">
        <v>2220</v>
      </c>
    </row>
    <row r="129" spans="1:8" x14ac:dyDescent="0.2">
      <c r="E129" s="232" t="s">
        <v>2224</v>
      </c>
      <c r="F129" s="232" t="s">
        <v>2221</v>
      </c>
      <c r="G129" s="232"/>
    </row>
    <row r="130" spans="1:8" x14ac:dyDescent="0.2">
      <c r="E130" s="232" t="s">
        <v>2225</v>
      </c>
      <c r="F130" s="232" t="s">
        <v>2222</v>
      </c>
      <c r="G130" s="232"/>
    </row>
    <row r="131" spans="1:8" x14ac:dyDescent="0.2">
      <c r="E131" s="232" t="s">
        <v>2228</v>
      </c>
    </row>
    <row r="132" spans="1:8" x14ac:dyDescent="0.2">
      <c r="E132" s="232" t="s">
        <v>2229</v>
      </c>
    </row>
    <row r="133" spans="1:8" x14ac:dyDescent="0.2">
      <c r="E133" s="232" t="s">
        <v>2226</v>
      </c>
    </row>
    <row r="136" spans="1:8" x14ac:dyDescent="0.2">
      <c r="A136" s="1" t="s">
        <v>2244</v>
      </c>
      <c r="D136" s="349">
        <f>1.13^2-1</f>
        <v>0.2768999999999997</v>
      </c>
    </row>
    <row r="138" spans="1:8" x14ac:dyDescent="0.2">
      <c r="A138" s="29" t="s">
        <v>2191</v>
      </c>
      <c r="B138" s="29"/>
      <c r="C138" s="29"/>
      <c r="D138" s="29"/>
      <c r="E138" s="29"/>
      <c r="F138" s="29"/>
      <c r="G138" s="29"/>
      <c r="H138" s="29"/>
    </row>
    <row r="139" spans="1:8" x14ac:dyDescent="0.2">
      <c r="A139" s="29" t="s">
        <v>2192</v>
      </c>
      <c r="B139" s="29"/>
      <c r="C139" s="29"/>
      <c r="D139" s="29"/>
      <c r="E139" s="29"/>
      <c r="F139" s="29"/>
      <c r="G139" s="29"/>
      <c r="H139" s="29"/>
    </row>
    <row r="141" spans="1:8" x14ac:dyDescent="0.2">
      <c r="A141" s="1" t="s">
        <v>2245</v>
      </c>
    </row>
    <row r="142" spans="1:8" x14ac:dyDescent="0.2">
      <c r="A142" s="1" t="s">
        <v>2252</v>
      </c>
    </row>
    <row r="144" spans="1:8" x14ac:dyDescent="0.2">
      <c r="A144" s="1" t="s">
        <v>2246</v>
      </c>
    </row>
    <row r="145" spans="1:8" x14ac:dyDescent="0.2">
      <c r="A145" s="1" t="s">
        <v>2247</v>
      </c>
    </row>
    <row r="146" spans="1:8" x14ac:dyDescent="0.2">
      <c r="A146" s="1" t="s">
        <v>2248</v>
      </c>
    </row>
    <row r="148" spans="1:8" x14ac:dyDescent="0.2">
      <c r="C148" s="12">
        <v>0.5</v>
      </c>
      <c r="D148" s="12"/>
      <c r="E148" s="12"/>
      <c r="G148" s="12">
        <v>0</v>
      </c>
    </row>
    <row r="149" spans="1:8" x14ac:dyDescent="0.2">
      <c r="A149" s="1" t="s">
        <v>1289</v>
      </c>
    </row>
    <row r="150" spans="1:8" x14ac:dyDescent="0.2">
      <c r="B150" s="1" t="s">
        <v>2087</v>
      </c>
      <c r="C150" s="18">
        <f>100000*1.005^6</f>
        <v>103037.75093937646</v>
      </c>
      <c r="G150" s="18">
        <v>100000</v>
      </c>
      <c r="H150" s="1" t="s">
        <v>2249</v>
      </c>
    </row>
    <row r="151" spans="1:8" x14ac:dyDescent="0.2">
      <c r="G151" s="18">
        <v>-4000</v>
      </c>
      <c r="H151" s="1" t="s">
        <v>2250</v>
      </c>
    </row>
    <row r="152" spans="1:8" x14ac:dyDescent="0.2">
      <c r="G152" s="350">
        <f>G150+G151</f>
        <v>96000</v>
      </c>
      <c r="H152" s="1" t="s">
        <v>2251</v>
      </c>
    </row>
    <row r="155" spans="1:8" x14ac:dyDescent="0.2">
      <c r="D155" s="1" t="s">
        <v>2253</v>
      </c>
    </row>
    <row r="156" spans="1:8" x14ac:dyDescent="0.2">
      <c r="D156" s="1" t="s">
        <v>2254</v>
      </c>
    </row>
    <row r="157" spans="1:8" x14ac:dyDescent="0.2">
      <c r="A157" s="1" t="s">
        <v>2255</v>
      </c>
    </row>
    <row r="158" spans="1:8" x14ac:dyDescent="0.2">
      <c r="A158" s="1" t="s">
        <v>2256</v>
      </c>
      <c r="H158" s="195" t="s">
        <v>2262</v>
      </c>
    </row>
    <row r="159" spans="1:8" x14ac:dyDescent="0.2">
      <c r="H159" s="195" t="s">
        <v>2263</v>
      </c>
    </row>
    <row r="160" spans="1:8" x14ac:dyDescent="0.2">
      <c r="A160" s="1" t="s">
        <v>2257</v>
      </c>
      <c r="H160" s="195" t="s">
        <v>2264</v>
      </c>
    </row>
    <row r="161" spans="1:8" x14ac:dyDescent="0.2">
      <c r="A161" s="1" t="s">
        <v>2258</v>
      </c>
      <c r="H161" s="195" t="s">
        <v>2265</v>
      </c>
    </row>
    <row r="162" spans="1:8" x14ac:dyDescent="0.2">
      <c r="A162" s="1" t="s">
        <v>2259</v>
      </c>
    </row>
    <row r="164" spans="1:8" x14ac:dyDescent="0.2">
      <c r="A164" s="1" t="s">
        <v>2260</v>
      </c>
    </row>
    <row r="165" spans="1:8" x14ac:dyDescent="0.2">
      <c r="A165" s="1" t="s">
        <v>2261</v>
      </c>
    </row>
    <row r="167" spans="1:8" x14ac:dyDescent="0.2">
      <c r="A167" s="1" t="s">
        <v>2266</v>
      </c>
      <c r="D167" s="343">
        <f>103038/96000-1</f>
        <v>7.3312499999999892E-2</v>
      </c>
    </row>
    <row r="169" spans="1:8" x14ac:dyDescent="0.2">
      <c r="A169" s="1" t="s">
        <v>796</v>
      </c>
      <c r="D169" s="351">
        <f>(1+D167)^2-1</f>
        <v>0.15199972265624973</v>
      </c>
    </row>
    <row r="170" spans="1:8" x14ac:dyDescent="0.2">
      <c r="D170" s="351"/>
    </row>
    <row r="172" spans="1:8" ht="17" thickBot="1" x14ac:dyDescent="0.25">
      <c r="A172" s="1" t="s">
        <v>2267</v>
      </c>
    </row>
    <row r="173" spans="1:8" x14ac:dyDescent="0.2">
      <c r="A173" s="21" t="s">
        <v>290</v>
      </c>
      <c r="B173" s="352">
        <v>0.12682499999999999</v>
      </c>
      <c r="C173" s="22"/>
      <c r="D173" s="22"/>
      <c r="E173" s="123"/>
    </row>
    <row r="174" spans="1:8" x14ac:dyDescent="0.2">
      <c r="A174" s="124" t="s">
        <v>291</v>
      </c>
      <c r="B174" s="353">
        <v>0.10803409999999999</v>
      </c>
      <c r="C174" s="354"/>
      <c r="D174" s="354"/>
      <c r="E174" s="125"/>
    </row>
    <row r="175" spans="1:8" x14ac:dyDescent="0.2">
      <c r="A175" s="124" t="s">
        <v>292</v>
      </c>
      <c r="B175" s="353">
        <v>0.27689999999999998</v>
      </c>
      <c r="C175" s="354"/>
      <c r="D175" s="354"/>
      <c r="E175" s="125"/>
      <c r="G175" s="1" t="s">
        <v>2269</v>
      </c>
    </row>
    <row r="176" spans="1:8" x14ac:dyDescent="0.2">
      <c r="A176" s="124" t="s">
        <v>1170</v>
      </c>
      <c r="B176" s="355">
        <f>D169</f>
        <v>0.15199972265624973</v>
      </c>
      <c r="C176" s="354"/>
      <c r="D176" s="354"/>
      <c r="E176" s="125"/>
      <c r="G176" s="1" t="s">
        <v>2270</v>
      </c>
    </row>
    <row r="177" spans="1:8" x14ac:dyDescent="0.2">
      <c r="A177" s="124"/>
      <c r="B177" s="354"/>
      <c r="C177" s="354"/>
      <c r="D177" s="354"/>
      <c r="E177" s="125"/>
    </row>
    <row r="178" spans="1:8" ht="17" thickBot="1" x14ac:dyDescent="0.25">
      <c r="A178" s="126" t="s">
        <v>2268</v>
      </c>
      <c r="B178" s="356"/>
      <c r="C178" s="356"/>
      <c r="D178" s="356"/>
      <c r="E178" s="127"/>
    </row>
    <row r="181" spans="1:8" x14ac:dyDescent="0.2">
      <c r="A181" s="340" t="s">
        <v>2271</v>
      </c>
      <c r="B181" s="340"/>
      <c r="C181" s="340"/>
      <c r="D181" s="340"/>
      <c r="E181" s="340"/>
      <c r="F181" s="340"/>
      <c r="G181" s="340"/>
      <c r="H181" s="340"/>
    </row>
    <row r="182" spans="1:8" x14ac:dyDescent="0.2">
      <c r="A182" s="1" t="s">
        <v>2272</v>
      </c>
    </row>
    <row r="183" spans="1:8" x14ac:dyDescent="0.2">
      <c r="A183" s="1" t="s">
        <v>2273</v>
      </c>
    </row>
    <row r="184" spans="1:8" x14ac:dyDescent="0.2">
      <c r="A184" s="1" t="s">
        <v>2274</v>
      </c>
    </row>
    <row r="185" spans="1:8" x14ac:dyDescent="0.2">
      <c r="A185" s="1" t="s">
        <v>2275</v>
      </c>
    </row>
    <row r="187" spans="1:8" x14ac:dyDescent="0.2">
      <c r="A187" s="1" t="s">
        <v>711</v>
      </c>
    </row>
    <row r="188" spans="1:8" x14ac:dyDescent="0.2">
      <c r="A188" s="1" t="s">
        <v>2276</v>
      </c>
    </row>
    <row r="189" spans="1:8" x14ac:dyDescent="0.2">
      <c r="A189" s="1" t="s">
        <v>2040</v>
      </c>
    </row>
    <row r="191" spans="1:8" x14ac:dyDescent="0.2">
      <c r="A191" s="2" t="s">
        <v>2282</v>
      </c>
    </row>
    <row r="192" spans="1:8" x14ac:dyDescent="0.2">
      <c r="A192" s="2" t="s">
        <v>2283</v>
      </c>
    </row>
    <row r="194" spans="1:7" x14ac:dyDescent="0.2">
      <c r="A194" s="1" t="s">
        <v>2284</v>
      </c>
    </row>
    <row r="195" spans="1:7" x14ac:dyDescent="0.2">
      <c r="A195" s="1" t="s">
        <v>2285</v>
      </c>
      <c r="G195" s="157" t="s">
        <v>2286</v>
      </c>
    </row>
    <row r="196" spans="1:7" x14ac:dyDescent="0.2">
      <c r="G196" s="157" t="s">
        <v>2287</v>
      </c>
    </row>
    <row r="197" spans="1:7" x14ac:dyDescent="0.2">
      <c r="G197" s="157" t="s">
        <v>2288</v>
      </c>
    </row>
    <row r="198" spans="1:7" x14ac:dyDescent="0.2">
      <c r="G198" s="157" t="s">
        <v>2289</v>
      </c>
    </row>
    <row r="199" spans="1:7" x14ac:dyDescent="0.2">
      <c r="A199" s="1" t="s">
        <v>2291</v>
      </c>
      <c r="G199" s="157" t="s">
        <v>2290</v>
      </c>
    </row>
    <row r="200" spans="1:7" x14ac:dyDescent="0.2">
      <c r="A200" s="1" t="s">
        <v>2292</v>
      </c>
    </row>
    <row r="202" spans="1:7" x14ac:dyDescent="0.2">
      <c r="A202" s="2" t="s">
        <v>2293</v>
      </c>
    </row>
    <row r="203" spans="1:7" x14ac:dyDescent="0.2">
      <c r="A203" s="2" t="s">
        <v>2294</v>
      </c>
    </row>
    <row r="205" spans="1:7" x14ac:dyDescent="0.2">
      <c r="B205" s="359">
        <f>500000*0.96</f>
        <v>480000</v>
      </c>
    </row>
    <row r="207" spans="1:7" x14ac:dyDescent="0.2">
      <c r="B207" s="359">
        <f>500000*1.01^24</f>
        <v>634867.32426595746</v>
      </c>
    </row>
    <row r="209" spans="1:2" x14ac:dyDescent="0.2">
      <c r="B209" s="1" t="s">
        <v>2295</v>
      </c>
    </row>
    <row r="210" spans="1:2" x14ac:dyDescent="0.2">
      <c r="B210" s="1" t="s">
        <v>2296</v>
      </c>
    </row>
    <row r="211" spans="1:2" x14ac:dyDescent="0.2">
      <c r="B211" s="1" t="s">
        <v>2297</v>
      </c>
    </row>
    <row r="212" spans="1:2" x14ac:dyDescent="0.2">
      <c r="B212" s="1" t="s">
        <v>2298</v>
      </c>
    </row>
    <row r="213" spans="1:2" x14ac:dyDescent="0.2">
      <c r="B213" s="1" t="s">
        <v>2299</v>
      </c>
    </row>
    <row r="214" spans="1:2" x14ac:dyDescent="0.2">
      <c r="B214" s="1" t="s">
        <v>2300</v>
      </c>
    </row>
    <row r="216" spans="1:2" x14ac:dyDescent="0.2">
      <c r="B216" s="360">
        <f>B207/B205-1</f>
        <v>0.32264025888741132</v>
      </c>
    </row>
    <row r="217" spans="1:2" x14ac:dyDescent="0.2">
      <c r="B217" s="1" t="s">
        <v>1396</v>
      </c>
    </row>
    <row r="218" spans="1:2" x14ac:dyDescent="0.2">
      <c r="B218" s="1" t="s">
        <v>2301</v>
      </c>
    </row>
    <row r="219" spans="1:2" x14ac:dyDescent="0.2">
      <c r="B219" s="1" t="s">
        <v>2302</v>
      </c>
    </row>
    <row r="221" spans="1:2" x14ac:dyDescent="0.2">
      <c r="A221" s="2" t="s">
        <v>2303</v>
      </c>
    </row>
    <row r="225" spans="1:8" x14ac:dyDescent="0.2">
      <c r="B225" s="20">
        <f>(1+B216)^0.5-1</f>
        <v>0.15006098050816918</v>
      </c>
    </row>
    <row r="226" spans="1:8" x14ac:dyDescent="0.2">
      <c r="B226" s="1" t="s">
        <v>2304</v>
      </c>
    </row>
    <row r="228" spans="1:8" x14ac:dyDescent="0.2">
      <c r="A228" s="1" t="s">
        <v>2306</v>
      </c>
    </row>
    <row r="229" spans="1:8" x14ac:dyDescent="0.2">
      <c r="A229" s="1" t="s">
        <v>2305</v>
      </c>
    </row>
    <row r="231" spans="1:8" ht="17" thickBot="1" x14ac:dyDescent="0.25"/>
    <row r="232" spans="1:8" ht="17" thickBot="1" x14ac:dyDescent="0.25">
      <c r="A232" s="102" t="s">
        <v>1067</v>
      </c>
      <c r="B232" s="6"/>
      <c r="C232" s="6"/>
      <c r="D232" s="6"/>
      <c r="E232" s="6"/>
      <c r="F232" s="6"/>
      <c r="G232" s="6"/>
      <c r="H232" s="7"/>
    </row>
    <row r="234" spans="1:8" x14ac:dyDescent="0.2">
      <c r="A234" s="1" t="s">
        <v>1068</v>
      </c>
      <c r="B234" s="1" t="s">
        <v>1075</v>
      </c>
      <c r="F234" s="87">
        <v>45655</v>
      </c>
      <c r="G234" s="1" t="s">
        <v>1076</v>
      </c>
    </row>
    <row r="235" spans="1:8" x14ac:dyDescent="0.2">
      <c r="A235" s="1" t="s">
        <v>1069</v>
      </c>
      <c r="B235" s="1" t="s">
        <v>1070</v>
      </c>
      <c r="F235" s="87">
        <v>45662</v>
      </c>
      <c r="G235" s="1" t="s">
        <v>1077</v>
      </c>
    </row>
    <row r="236" spans="1:8" x14ac:dyDescent="0.2">
      <c r="A236" s="1" t="s">
        <v>1071</v>
      </c>
      <c r="B236" s="1" t="s">
        <v>1078</v>
      </c>
      <c r="F236" s="87">
        <v>45669</v>
      </c>
      <c r="G236" s="1" t="s">
        <v>1072</v>
      </c>
    </row>
    <row r="237" spans="1:8" x14ac:dyDescent="0.2">
      <c r="A237" s="1" t="s">
        <v>1073</v>
      </c>
      <c r="B237" s="1" t="s">
        <v>1074</v>
      </c>
      <c r="F237" s="87">
        <v>45690</v>
      </c>
    </row>
    <row r="238" spans="1:8" ht="17" thickBot="1" x14ac:dyDescent="0.25"/>
    <row r="239" spans="1:8" ht="17" thickBot="1" x14ac:dyDescent="0.25">
      <c r="A239" s="102" t="s">
        <v>1079</v>
      </c>
      <c r="B239" s="6"/>
      <c r="C239" s="6"/>
      <c r="D239" s="6"/>
      <c r="E239" s="6"/>
      <c r="F239" s="6"/>
      <c r="G239" s="6"/>
      <c r="H239" s="7"/>
    </row>
    <row r="241" spans="1:8" x14ac:dyDescent="0.2">
      <c r="A241" s="1" t="s">
        <v>1080</v>
      </c>
    </row>
    <row r="242" spans="1:8" x14ac:dyDescent="0.2">
      <c r="A242" s="1" t="s">
        <v>1081</v>
      </c>
    </row>
    <row r="243" spans="1:8" x14ac:dyDescent="0.2">
      <c r="A243" s="1" t="s">
        <v>1082</v>
      </c>
    </row>
    <row r="244" spans="1:8" x14ac:dyDescent="0.2">
      <c r="A244" s="1" t="s">
        <v>1083</v>
      </c>
    </row>
    <row r="245" spans="1:8" x14ac:dyDescent="0.2">
      <c r="A245" s="1" t="s">
        <v>1084</v>
      </c>
    </row>
    <row r="247" spans="1:8" x14ac:dyDescent="0.2">
      <c r="A247" s="1" t="s">
        <v>1085</v>
      </c>
    </row>
    <row r="248" spans="1:8" x14ac:dyDescent="0.2">
      <c r="A248" s="1" t="s">
        <v>1086</v>
      </c>
    </row>
    <row r="249" spans="1:8" x14ac:dyDescent="0.2">
      <c r="A249" s="1" t="s">
        <v>1087</v>
      </c>
    </row>
    <row r="250" spans="1:8" ht="17" thickBot="1" x14ac:dyDescent="0.25"/>
    <row r="251" spans="1:8" ht="17" thickBot="1" x14ac:dyDescent="0.25">
      <c r="A251" s="102" t="s">
        <v>1088</v>
      </c>
      <c r="B251" s="6"/>
      <c r="C251" s="6"/>
      <c r="D251" s="6"/>
      <c r="E251" s="6"/>
      <c r="F251" s="6"/>
      <c r="G251" s="6"/>
      <c r="H251" s="7"/>
    </row>
    <row r="252" spans="1:8" x14ac:dyDescent="0.2">
      <c r="A252" s="1" t="s">
        <v>1089</v>
      </c>
    </row>
    <row r="253" spans="1:8" x14ac:dyDescent="0.2">
      <c r="A253" s="1" t="s">
        <v>1090</v>
      </c>
    </row>
    <row r="254" spans="1:8" x14ac:dyDescent="0.2">
      <c r="A254" s="1" t="s">
        <v>1091</v>
      </c>
    </row>
    <row r="255" spans="1:8" x14ac:dyDescent="0.2">
      <c r="A255" s="1" t="s">
        <v>1092</v>
      </c>
    </row>
    <row r="256" spans="1:8" x14ac:dyDescent="0.2">
      <c r="A256" s="1" t="s">
        <v>1093</v>
      </c>
    </row>
    <row r="257" spans="1:9" x14ac:dyDescent="0.2">
      <c r="A257" s="1" t="s">
        <v>1094</v>
      </c>
    </row>
    <row r="259" spans="1:9" x14ac:dyDescent="0.2">
      <c r="A259" s="299" t="s">
        <v>1095</v>
      </c>
      <c r="B259" s="299"/>
      <c r="C259" s="299"/>
      <c r="D259" s="299"/>
      <c r="E259" s="300" t="s">
        <v>1099</v>
      </c>
      <c r="F259" s="300"/>
      <c r="G259" s="300"/>
      <c r="H259" s="300"/>
    </row>
    <row r="260" spans="1:9" x14ac:dyDescent="0.2">
      <c r="A260" s="144" t="s">
        <v>1096</v>
      </c>
      <c r="B260" s="144" t="s">
        <v>1097</v>
      </c>
      <c r="C260" s="144" t="s">
        <v>1098</v>
      </c>
      <c r="D260" s="144" t="s">
        <v>1119</v>
      </c>
      <c r="E260" s="144" t="s">
        <v>1096</v>
      </c>
      <c r="F260" s="144" t="s">
        <v>1097</v>
      </c>
      <c r="G260" s="144" t="s">
        <v>1098</v>
      </c>
      <c r="H260" s="144" t="s">
        <v>1119</v>
      </c>
    </row>
    <row r="261" spans="1:9" x14ac:dyDescent="0.2">
      <c r="A261" s="144">
        <v>0</v>
      </c>
      <c r="B261" s="145"/>
      <c r="C261" s="145"/>
      <c r="D261" s="146">
        <v>400000</v>
      </c>
      <c r="E261" s="144">
        <v>0</v>
      </c>
      <c r="F261" s="145"/>
      <c r="G261" s="145"/>
      <c r="H261" s="146">
        <v>400000</v>
      </c>
    </row>
    <row r="262" spans="1:9" x14ac:dyDescent="0.2">
      <c r="A262" s="144">
        <v>1</v>
      </c>
      <c r="B262" s="146">
        <f>400000/5</f>
        <v>80000</v>
      </c>
      <c r="C262" s="146">
        <f>10%*400000</f>
        <v>40000</v>
      </c>
      <c r="D262" s="146">
        <f>400000-80000</f>
        <v>320000</v>
      </c>
      <c r="E262" s="144">
        <v>1</v>
      </c>
      <c r="F262" s="146">
        <f>-G280-40000</f>
        <v>65518.992317898155</v>
      </c>
      <c r="G262" s="146">
        <f>400000*10%</f>
        <v>40000</v>
      </c>
      <c r="H262" s="146">
        <f>H261-F262</f>
        <v>334481.00768210186</v>
      </c>
    </row>
    <row r="263" spans="1:9" x14ac:dyDescent="0.2">
      <c r="A263" s="144">
        <v>2</v>
      </c>
      <c r="B263" s="146">
        <f>B262</f>
        <v>80000</v>
      </c>
      <c r="C263" s="146">
        <f>10%*D262</f>
        <v>32000</v>
      </c>
      <c r="D263" s="146">
        <f>320000-80000</f>
        <v>240000</v>
      </c>
      <c r="E263" s="144">
        <v>2</v>
      </c>
      <c r="F263" s="146">
        <f>-G280-G263</f>
        <v>72070.891549687978</v>
      </c>
      <c r="G263" s="146">
        <f>H262*10%</f>
        <v>33448.100768210184</v>
      </c>
      <c r="H263" s="146">
        <f>H262-F263</f>
        <v>262410.11613241385</v>
      </c>
    </row>
    <row r="264" spans="1:9" x14ac:dyDescent="0.2">
      <c r="A264" s="144">
        <v>3</v>
      </c>
      <c r="B264" s="146">
        <f>B263</f>
        <v>80000</v>
      </c>
      <c r="C264" s="146">
        <f t="shared" ref="C264:C266" si="0">10%*D263</f>
        <v>24000</v>
      </c>
      <c r="D264" s="146">
        <f>D263-B264</f>
        <v>160000</v>
      </c>
      <c r="E264" s="144">
        <v>3</v>
      </c>
      <c r="F264" s="146">
        <f>-G280-G264</f>
        <v>79277.980704656773</v>
      </c>
      <c r="G264" s="146">
        <f>10%*H263</f>
        <v>26241.011613241386</v>
      </c>
      <c r="H264" s="146">
        <f>H263-F264</f>
        <v>183132.13542775708</v>
      </c>
    </row>
    <row r="265" spans="1:9" x14ac:dyDescent="0.2">
      <c r="A265" s="144">
        <v>4</v>
      </c>
      <c r="B265" s="146">
        <f>B264</f>
        <v>80000</v>
      </c>
      <c r="C265" s="146">
        <f t="shared" si="0"/>
        <v>16000</v>
      </c>
      <c r="D265" s="146">
        <f>D264-B265</f>
        <v>80000</v>
      </c>
      <c r="E265" s="144">
        <v>4</v>
      </c>
      <c r="F265" s="146">
        <f>-G280-G265</f>
        <v>87205.778775122453</v>
      </c>
      <c r="G265" s="146">
        <f>10%*H264</f>
        <v>18313.213542775709</v>
      </c>
      <c r="H265" s="146">
        <f t="shared" ref="H265:H266" si="1">H264-F265</f>
        <v>95926.356652634626</v>
      </c>
    </row>
    <row r="266" spans="1:9" x14ac:dyDescent="0.2">
      <c r="A266" s="144">
        <v>5</v>
      </c>
      <c r="B266" s="146">
        <f>B265</f>
        <v>80000</v>
      </c>
      <c r="C266" s="146">
        <f t="shared" si="0"/>
        <v>8000</v>
      </c>
      <c r="D266" s="146">
        <f>D265-B266</f>
        <v>0</v>
      </c>
      <c r="E266" s="144">
        <v>5</v>
      </c>
      <c r="F266" s="146">
        <f>-G280-G266</f>
        <v>95926.356652634699</v>
      </c>
      <c r="G266" s="146">
        <f>10%*H265</f>
        <v>9592.6356652634622</v>
      </c>
      <c r="H266" s="146">
        <f t="shared" si="1"/>
        <v>0</v>
      </c>
    </row>
    <row r="267" spans="1:9" x14ac:dyDescent="0.2">
      <c r="E267" s="147"/>
      <c r="F267" s="147"/>
      <c r="G267" s="147"/>
      <c r="H267" s="147"/>
      <c r="I267" s="147"/>
    </row>
    <row r="268" spans="1:9" x14ac:dyDescent="0.2">
      <c r="A268" s="147"/>
      <c r="B268" s="147"/>
      <c r="C268" s="147"/>
      <c r="D268" s="147"/>
      <c r="E268" s="147"/>
      <c r="F268" s="147"/>
      <c r="G268" s="147"/>
      <c r="H268" s="147"/>
      <c r="I268" s="147"/>
    </row>
    <row r="269" spans="1:9" x14ac:dyDescent="0.2">
      <c r="A269" s="147"/>
      <c r="B269" s="147"/>
      <c r="C269" s="147"/>
      <c r="D269" s="147"/>
      <c r="E269" s="147"/>
      <c r="F269" s="147"/>
      <c r="G269" s="147"/>
      <c r="H269" s="147"/>
      <c r="I269" s="147"/>
    </row>
    <row r="270" spans="1:9" x14ac:dyDescent="0.2">
      <c r="A270" s="147"/>
      <c r="B270" s="147"/>
      <c r="C270" s="147"/>
      <c r="D270" s="147"/>
      <c r="E270" s="147"/>
      <c r="F270" s="147"/>
      <c r="G270" s="147"/>
      <c r="H270" s="147"/>
      <c r="I270" s="147"/>
    </row>
    <row r="271" spans="1:9" x14ac:dyDescent="0.2">
      <c r="A271" s="147"/>
      <c r="B271" s="147"/>
      <c r="C271" s="147"/>
      <c r="D271" s="147"/>
      <c r="E271" s="147"/>
      <c r="F271" s="147"/>
      <c r="G271" s="147"/>
      <c r="H271" s="147"/>
      <c r="I271" s="147"/>
    </row>
    <row r="272" spans="1:9" x14ac:dyDescent="0.2">
      <c r="A272" s="147"/>
      <c r="B272" s="147"/>
      <c r="C272" s="147"/>
      <c r="D272" s="147"/>
      <c r="E272" s="147"/>
      <c r="F272" s="147"/>
      <c r="G272" s="147"/>
      <c r="H272" s="147"/>
      <c r="I272" s="147"/>
    </row>
    <row r="273" spans="1:9" x14ac:dyDescent="0.2">
      <c r="A273" s="147"/>
      <c r="B273" s="147"/>
      <c r="C273" s="147"/>
      <c r="D273" s="147"/>
      <c r="E273" s="147"/>
      <c r="F273" s="147"/>
      <c r="G273" s="147"/>
      <c r="H273" s="147"/>
      <c r="I273" s="147"/>
    </row>
    <row r="275" spans="1:9" x14ac:dyDescent="0.2">
      <c r="A275" s="1" t="s">
        <v>1100</v>
      </c>
      <c r="D275" s="1" t="s">
        <v>1101</v>
      </c>
      <c r="F275" s="1" t="s">
        <v>1109</v>
      </c>
      <c r="H275" s="32" t="s">
        <v>177</v>
      </c>
    </row>
    <row r="276" spans="1:9" x14ac:dyDescent="0.2">
      <c r="A276" s="1" t="s">
        <v>1102</v>
      </c>
      <c r="G276" s="12" t="s">
        <v>179</v>
      </c>
      <c r="H276" s="1" t="s">
        <v>1110</v>
      </c>
    </row>
    <row r="277" spans="1:9" x14ac:dyDescent="0.2">
      <c r="A277" s="1" t="s">
        <v>1103</v>
      </c>
      <c r="G277" s="12">
        <v>5</v>
      </c>
      <c r="H277" s="1" t="s">
        <v>45</v>
      </c>
    </row>
    <row r="278" spans="1:9" x14ac:dyDescent="0.2">
      <c r="A278" s="1" t="s">
        <v>1104</v>
      </c>
      <c r="G278" s="12">
        <v>10</v>
      </c>
      <c r="H278" s="1" t="s">
        <v>42</v>
      </c>
    </row>
    <row r="279" spans="1:9" x14ac:dyDescent="0.2">
      <c r="B279" s="1" t="s">
        <v>1105</v>
      </c>
      <c r="D279" s="1" t="s">
        <v>1106</v>
      </c>
      <c r="G279" s="12">
        <v>400000</v>
      </c>
      <c r="H279" s="1" t="s">
        <v>39</v>
      </c>
    </row>
    <row r="280" spans="1:9" x14ac:dyDescent="0.2">
      <c r="B280" s="1" t="s">
        <v>1107</v>
      </c>
      <c r="D280" s="1" t="s">
        <v>1108</v>
      </c>
      <c r="G280" s="42">
        <f>PMT(G278/100,G277,G279,G281)</f>
        <v>-105518.99231789816</v>
      </c>
      <c r="H280" s="1" t="s">
        <v>47</v>
      </c>
      <c r="I280" s="1" t="s">
        <v>798</v>
      </c>
    </row>
    <row r="281" spans="1:9" x14ac:dyDescent="0.2">
      <c r="G281" s="12">
        <v>0</v>
      </c>
      <c r="H281" s="1" t="s">
        <v>50</v>
      </c>
    </row>
    <row r="282" spans="1:9" x14ac:dyDescent="0.2">
      <c r="F282" s="1" t="s">
        <v>1111</v>
      </c>
    </row>
    <row r="283" spans="1:9" x14ac:dyDescent="0.2">
      <c r="G283" s="1" t="s">
        <v>1112</v>
      </c>
    </row>
    <row r="284" spans="1:9" x14ac:dyDescent="0.2">
      <c r="G284" s="1" t="s">
        <v>1113</v>
      </c>
    </row>
    <row r="285" spans="1:9" x14ac:dyDescent="0.2">
      <c r="F285" s="1" t="s">
        <v>1114</v>
      </c>
    </row>
    <row r="286" spans="1:9" x14ac:dyDescent="0.2">
      <c r="G286" s="1" t="s">
        <v>1115</v>
      </c>
    </row>
    <row r="287" spans="1:9" x14ac:dyDescent="0.2">
      <c r="G287" s="1" t="s">
        <v>1116</v>
      </c>
    </row>
    <row r="289" spans="1:8" x14ac:dyDescent="0.2">
      <c r="F289" s="1" t="s">
        <v>1117</v>
      </c>
    </row>
    <row r="290" spans="1:8" x14ac:dyDescent="0.2">
      <c r="H290" s="1" t="s">
        <v>1118</v>
      </c>
    </row>
    <row r="292" spans="1:8" x14ac:dyDescent="0.2">
      <c r="F292" s="1" t="s">
        <v>1120</v>
      </c>
    </row>
    <row r="293" spans="1:8" x14ac:dyDescent="0.2">
      <c r="F293" s="1" t="s">
        <v>1121</v>
      </c>
    </row>
    <row r="294" spans="1:8" ht="17" thickBot="1" x14ac:dyDescent="0.25"/>
    <row r="295" spans="1:8" ht="17" thickBot="1" x14ac:dyDescent="0.25">
      <c r="A295" s="102" t="s">
        <v>1122</v>
      </c>
      <c r="B295" s="6"/>
      <c r="C295" s="6"/>
      <c r="D295" s="6"/>
      <c r="E295" s="6"/>
      <c r="F295" s="6"/>
      <c r="G295" s="6"/>
      <c r="H295" s="7"/>
    </row>
    <row r="296" spans="1:8" x14ac:dyDescent="0.2">
      <c r="A296" s="1" t="s">
        <v>1123</v>
      </c>
    </row>
    <row r="297" spans="1:8" x14ac:dyDescent="0.2">
      <c r="A297" s="1" t="s">
        <v>1124</v>
      </c>
    </row>
    <row r="298" spans="1:8" x14ac:dyDescent="0.2">
      <c r="A298" s="1" t="s">
        <v>1125</v>
      </c>
    </row>
    <row r="299" spans="1:8" x14ac:dyDescent="0.2">
      <c r="A299" s="1" t="s">
        <v>1126</v>
      </c>
    </row>
    <row r="300" spans="1:8" x14ac:dyDescent="0.2">
      <c r="A300" s="1" t="s">
        <v>1127</v>
      </c>
    </row>
    <row r="301" spans="1:8" x14ac:dyDescent="0.2">
      <c r="A301" s="1" t="s">
        <v>1128</v>
      </c>
    </row>
    <row r="302" spans="1:8" x14ac:dyDescent="0.2">
      <c r="A302" s="1" t="s">
        <v>1129</v>
      </c>
    </row>
    <row r="304" spans="1:8" x14ac:dyDescent="0.2">
      <c r="A304" s="1" t="s">
        <v>27</v>
      </c>
    </row>
    <row r="306" spans="1:8" x14ac:dyDescent="0.2">
      <c r="A306" s="1" t="s">
        <v>1130</v>
      </c>
      <c r="E306" s="1">
        <f>20*12</f>
        <v>240</v>
      </c>
      <c r="F306" s="33" t="s">
        <v>1131</v>
      </c>
    </row>
    <row r="307" spans="1:8" x14ac:dyDescent="0.2">
      <c r="A307" s="1" t="s">
        <v>1132</v>
      </c>
    </row>
    <row r="308" spans="1:8" x14ac:dyDescent="0.2">
      <c r="A308" s="1" t="s">
        <v>1133</v>
      </c>
    </row>
    <row r="309" spans="1:8" x14ac:dyDescent="0.2">
      <c r="A309" s="1" t="s">
        <v>1134</v>
      </c>
    </row>
    <row r="311" spans="1:8" x14ac:dyDescent="0.2">
      <c r="A311" s="2" t="s">
        <v>1126</v>
      </c>
    </row>
    <row r="313" spans="1:8" x14ac:dyDescent="0.2">
      <c r="A313" s="1" t="s">
        <v>1135</v>
      </c>
    </row>
    <row r="315" spans="1:8" x14ac:dyDescent="0.2">
      <c r="G315" s="32" t="s">
        <v>177</v>
      </c>
    </row>
    <row r="316" spans="1:8" x14ac:dyDescent="0.2">
      <c r="F316" s="12" t="s">
        <v>179</v>
      </c>
      <c r="G316" s="1" t="s">
        <v>178</v>
      </c>
    </row>
    <row r="317" spans="1:8" x14ac:dyDescent="0.2">
      <c r="A317" s="1" t="s">
        <v>1136</v>
      </c>
      <c r="F317" s="12">
        <v>240</v>
      </c>
      <c r="G317" s="1" t="s">
        <v>45</v>
      </c>
    </row>
    <row r="318" spans="1:8" x14ac:dyDescent="0.2">
      <c r="A318" s="1" t="s">
        <v>1137</v>
      </c>
      <c r="F318" s="12">
        <v>1</v>
      </c>
      <c r="G318" s="1" t="s">
        <v>42</v>
      </c>
    </row>
    <row r="319" spans="1:8" ht="17" thickBot="1" x14ac:dyDescent="0.25">
      <c r="A319" s="1" t="s">
        <v>1138</v>
      </c>
      <c r="F319" s="12">
        <v>500000</v>
      </c>
      <c r="G319" s="1" t="s">
        <v>39</v>
      </c>
    </row>
    <row r="320" spans="1:8" ht="17" thickBot="1" x14ac:dyDescent="0.25">
      <c r="A320" s="1" t="s">
        <v>1139</v>
      </c>
      <c r="F320" s="148">
        <f>PMT(F318/100,F317,F319,F321)</f>
        <v>-5505.4306678480489</v>
      </c>
      <c r="G320" s="1" t="s">
        <v>47</v>
      </c>
      <c r="H320" s="1" t="s">
        <v>798</v>
      </c>
    </row>
    <row r="321" spans="1:11" x14ac:dyDescent="0.2">
      <c r="F321" s="12">
        <v>0</v>
      </c>
      <c r="G321" s="1" t="s">
        <v>50</v>
      </c>
    </row>
    <row r="323" spans="1:11" x14ac:dyDescent="0.2">
      <c r="A323" s="2" t="s">
        <v>1127</v>
      </c>
    </row>
    <row r="325" spans="1:11" x14ac:dyDescent="0.2">
      <c r="A325" s="1" t="s">
        <v>1149</v>
      </c>
      <c r="I325" s="147"/>
      <c r="J325" s="147"/>
      <c r="K325" s="147"/>
    </row>
    <row r="326" spans="1:11" x14ac:dyDescent="0.2">
      <c r="A326" s="2" t="s">
        <v>1140</v>
      </c>
      <c r="I326" s="147"/>
      <c r="J326" s="147"/>
      <c r="K326" s="147"/>
    </row>
    <row r="327" spans="1:11" x14ac:dyDescent="0.2">
      <c r="I327" s="147"/>
      <c r="J327" s="147"/>
      <c r="K327" s="147"/>
    </row>
    <row r="328" spans="1:11" x14ac:dyDescent="0.2">
      <c r="G328" s="32" t="s">
        <v>1141</v>
      </c>
      <c r="I328" s="147"/>
      <c r="J328" s="147"/>
      <c r="K328" s="147"/>
    </row>
    <row r="329" spans="1:11" x14ac:dyDescent="0.2">
      <c r="A329" s="1" t="s">
        <v>1144</v>
      </c>
      <c r="F329" s="12">
        <v>168</v>
      </c>
      <c r="G329" s="12" t="s">
        <v>1142</v>
      </c>
      <c r="I329" s="147"/>
      <c r="J329" s="147"/>
      <c r="K329" s="147"/>
    </row>
    <row r="330" spans="1:11" x14ac:dyDescent="0.2">
      <c r="A330" s="1" t="s">
        <v>1145</v>
      </c>
      <c r="D330" s="1">
        <f>14*12</f>
        <v>168</v>
      </c>
      <c r="E330" s="1" t="s">
        <v>1146</v>
      </c>
      <c r="F330" s="12">
        <v>168</v>
      </c>
      <c r="G330" s="12" t="s">
        <v>1143</v>
      </c>
      <c r="I330" s="147"/>
      <c r="J330" s="147"/>
      <c r="K330" s="147"/>
    </row>
    <row r="331" spans="1:11" ht="17" thickBot="1" x14ac:dyDescent="0.25">
      <c r="I331" s="147"/>
      <c r="J331" s="147"/>
      <c r="K331" s="147"/>
    </row>
    <row r="332" spans="1:11" ht="17" thickBot="1" x14ac:dyDescent="0.25">
      <c r="A332" s="1" t="s">
        <v>1148</v>
      </c>
      <c r="F332" s="60">
        <v>281604</v>
      </c>
      <c r="G332" s="12" t="s">
        <v>1147</v>
      </c>
      <c r="H332" s="1" t="s">
        <v>51</v>
      </c>
      <c r="I332" s="147"/>
      <c r="J332" s="147"/>
      <c r="K332" s="147"/>
    </row>
    <row r="333" spans="1:11" x14ac:dyDescent="0.2">
      <c r="I333" s="147"/>
      <c r="J333" s="147"/>
      <c r="K333" s="147"/>
    </row>
    <row r="334" spans="1:11" x14ac:dyDescent="0.2">
      <c r="A334" s="2" t="s">
        <v>1128</v>
      </c>
      <c r="I334" s="147"/>
      <c r="J334" s="147"/>
      <c r="K334" s="147"/>
    </row>
    <row r="335" spans="1:11" x14ac:dyDescent="0.2">
      <c r="G335" s="32" t="s">
        <v>1141</v>
      </c>
      <c r="I335" s="147"/>
      <c r="J335" s="147"/>
      <c r="K335" s="147"/>
    </row>
    <row r="336" spans="1:11" x14ac:dyDescent="0.2">
      <c r="A336" s="1" t="s">
        <v>1151</v>
      </c>
      <c r="F336" s="12">
        <v>127</v>
      </c>
      <c r="G336" s="12" t="s">
        <v>1142</v>
      </c>
      <c r="I336" s="147"/>
      <c r="J336" s="147"/>
      <c r="K336" s="147"/>
    </row>
    <row r="337" spans="1:11" x14ac:dyDescent="0.2">
      <c r="F337" s="12">
        <v>127</v>
      </c>
      <c r="G337" s="12" t="s">
        <v>1143</v>
      </c>
      <c r="I337" s="147"/>
      <c r="J337" s="147"/>
      <c r="K337" s="147"/>
    </row>
    <row r="338" spans="1:11" ht="17" thickBot="1" x14ac:dyDescent="0.25">
      <c r="I338" s="147"/>
      <c r="J338" s="147"/>
      <c r="K338" s="147"/>
    </row>
    <row r="339" spans="1:11" ht="17" thickBot="1" x14ac:dyDescent="0.25">
      <c r="A339" s="1" t="s">
        <v>1152</v>
      </c>
      <c r="F339" s="60">
        <v>-3734.69</v>
      </c>
      <c r="G339" s="12" t="s">
        <v>1150</v>
      </c>
      <c r="H339" s="1" t="s">
        <v>51</v>
      </c>
      <c r="I339" s="147"/>
      <c r="J339" s="147"/>
      <c r="K339" s="147"/>
    </row>
    <row r="340" spans="1:11" x14ac:dyDescent="0.2">
      <c r="I340" s="147"/>
      <c r="J340" s="147"/>
      <c r="K340" s="147"/>
    </row>
    <row r="341" spans="1:11" x14ac:dyDescent="0.2">
      <c r="A341" s="2" t="s">
        <v>1129</v>
      </c>
      <c r="I341" s="147"/>
      <c r="J341" s="147"/>
      <c r="K341" s="147"/>
    </row>
    <row r="343" spans="1:11" x14ac:dyDescent="0.2">
      <c r="G343" s="32" t="s">
        <v>1141</v>
      </c>
    </row>
    <row r="344" spans="1:11" x14ac:dyDescent="0.2">
      <c r="A344" s="1" t="s">
        <v>1153</v>
      </c>
      <c r="F344" s="12">
        <v>85</v>
      </c>
      <c r="G344" s="12" t="s">
        <v>1142</v>
      </c>
    </row>
    <row r="345" spans="1:11" x14ac:dyDescent="0.2">
      <c r="A345" s="1" t="s">
        <v>1154</v>
      </c>
      <c r="B345" s="1">
        <f>7*12</f>
        <v>84</v>
      </c>
      <c r="C345" s="1" t="s">
        <v>382</v>
      </c>
      <c r="F345" s="12">
        <v>96</v>
      </c>
      <c r="G345" s="12" t="s">
        <v>1143</v>
      </c>
    </row>
    <row r="346" spans="1:11" x14ac:dyDescent="0.2">
      <c r="A346" s="1" t="s">
        <v>1155</v>
      </c>
      <c r="B346" s="1">
        <f>8*12</f>
        <v>96</v>
      </c>
      <c r="C346" s="1" t="s">
        <v>382</v>
      </c>
      <c r="F346" s="12"/>
      <c r="G346" s="12"/>
    </row>
    <row r="347" spans="1:11" x14ac:dyDescent="0.2">
      <c r="A347" s="1" t="s">
        <v>1156</v>
      </c>
      <c r="F347" s="12"/>
      <c r="G347" s="12"/>
    </row>
    <row r="348" spans="1:11" x14ac:dyDescent="0.2">
      <c r="A348" s="1" t="s">
        <v>1157</v>
      </c>
    </row>
    <row r="349" spans="1:11" ht="17" thickBot="1" x14ac:dyDescent="0.25"/>
    <row r="350" spans="1:11" ht="17" thickBot="1" x14ac:dyDescent="0.25">
      <c r="A350" s="1" t="s">
        <v>1152</v>
      </c>
      <c r="F350" s="60">
        <v>-51278.78</v>
      </c>
      <c r="G350" s="12"/>
      <c r="H350" s="1" t="s">
        <v>51</v>
      </c>
    </row>
    <row r="352" spans="1:11" x14ac:dyDescent="0.2">
      <c r="A352" s="1" t="s">
        <v>1158</v>
      </c>
      <c r="C352" s="1" t="s">
        <v>1159</v>
      </c>
    </row>
    <row r="353" spans="1:8" ht="17" thickBot="1" x14ac:dyDescent="0.25"/>
    <row r="354" spans="1:8" ht="17" thickBot="1" x14ac:dyDescent="0.25">
      <c r="A354" s="102" t="s">
        <v>1160</v>
      </c>
      <c r="B354" s="6"/>
      <c r="C354" s="6"/>
      <c r="D354" s="6"/>
      <c r="E354" s="6"/>
      <c r="F354" s="6"/>
      <c r="G354" s="6"/>
      <c r="H354" s="7"/>
    </row>
    <row r="355" spans="1:8" x14ac:dyDescent="0.2">
      <c r="A355" s="1" t="s">
        <v>1161</v>
      </c>
    </row>
    <row r="356" spans="1:8" x14ac:dyDescent="0.2">
      <c r="A356" s="1" t="s">
        <v>1162</v>
      </c>
    </row>
    <row r="357" spans="1:8" x14ac:dyDescent="0.2">
      <c r="A357" s="1" t="s">
        <v>1163</v>
      </c>
    </row>
    <row r="358" spans="1:8" x14ac:dyDescent="0.2">
      <c r="A358" s="1" t="s">
        <v>1126</v>
      </c>
    </row>
    <row r="359" spans="1:8" x14ac:dyDescent="0.2">
      <c r="A359" s="1" t="s">
        <v>1164</v>
      </c>
    </row>
    <row r="360" spans="1:8" x14ac:dyDescent="0.2">
      <c r="A360" s="1" t="s">
        <v>1165</v>
      </c>
    </row>
    <row r="361" spans="1:8" x14ac:dyDescent="0.2">
      <c r="A361" s="1" t="s">
        <v>1166</v>
      </c>
    </row>
    <row r="363" spans="1:8" x14ac:dyDescent="0.2">
      <c r="D363" s="149" t="s">
        <v>291</v>
      </c>
      <c r="G363" s="149" t="s">
        <v>290</v>
      </c>
    </row>
    <row r="364" spans="1:8" x14ac:dyDescent="0.2">
      <c r="D364" s="12">
        <f>6*12</f>
        <v>72</v>
      </c>
      <c r="E364" s="1" t="s">
        <v>1142</v>
      </c>
      <c r="G364" s="70">
        <f>15*12</f>
        <v>180</v>
      </c>
      <c r="H364" s="1" t="s">
        <v>1167</v>
      </c>
    </row>
    <row r="365" spans="1:8" x14ac:dyDescent="0.2">
      <c r="D365" s="12">
        <f>D364</f>
        <v>72</v>
      </c>
      <c r="E365" s="1" t="s">
        <v>1143</v>
      </c>
      <c r="G365" s="150">
        <f>((1+10%)^(1/12)-1)*100</f>
        <v>0.79741404289037643</v>
      </c>
      <c r="H365" s="1" t="s">
        <v>42</v>
      </c>
    </row>
    <row r="366" spans="1:8" x14ac:dyDescent="0.2">
      <c r="D366" s="12"/>
      <c r="G366" s="70">
        <v>400000</v>
      </c>
      <c r="H366" s="1" t="s">
        <v>39</v>
      </c>
    </row>
    <row r="367" spans="1:8" x14ac:dyDescent="0.2">
      <c r="D367" s="80">
        <f>PV(G365/100,G364-D365,G367,G368)</f>
        <v>302864.24492400908</v>
      </c>
      <c r="E367" s="1" t="s">
        <v>1169</v>
      </c>
      <c r="G367" s="80">
        <f>PMT(G365/100,G364,G366,G368)</f>
        <v>-4193.5614384730661</v>
      </c>
      <c r="H367" s="1" t="s">
        <v>47</v>
      </c>
    </row>
    <row r="368" spans="1:8" x14ac:dyDescent="0.2">
      <c r="D368" s="12"/>
      <c r="G368" s="70">
        <v>0</v>
      </c>
      <c r="H368" s="1" t="s">
        <v>50</v>
      </c>
    </row>
    <row r="369" spans="1:8" x14ac:dyDescent="0.2">
      <c r="A369" s="149" t="s">
        <v>1170</v>
      </c>
      <c r="D369" s="149" t="s">
        <v>292</v>
      </c>
    </row>
    <row r="370" spans="1:8" x14ac:dyDescent="0.2">
      <c r="A370" s="12">
        <v>1</v>
      </c>
      <c r="B370" s="1" t="s">
        <v>1142</v>
      </c>
      <c r="D370" s="12">
        <v>78</v>
      </c>
      <c r="E370" s="1" t="s">
        <v>1142</v>
      </c>
    </row>
    <row r="371" spans="1:8" x14ac:dyDescent="0.2">
      <c r="A371" s="12">
        <v>12</v>
      </c>
      <c r="B371" s="1" t="s">
        <v>1143</v>
      </c>
      <c r="D371" s="12">
        <v>78</v>
      </c>
      <c r="E371" s="1" t="s">
        <v>1143</v>
      </c>
    </row>
    <row r="372" spans="1:8" x14ac:dyDescent="0.2">
      <c r="A372" s="12"/>
      <c r="D372" s="12"/>
    </row>
    <row r="373" spans="1:8" x14ac:dyDescent="0.2">
      <c r="A373" s="91">
        <v>37732.550000000003</v>
      </c>
      <c r="B373" s="1" t="s">
        <v>1171</v>
      </c>
      <c r="D373" s="80">
        <f>PV(G365/100,G364-D370+1,G367,G368)*G365/100</f>
        <v>2343.0328627345934</v>
      </c>
      <c r="E373" s="1" t="s">
        <v>1168</v>
      </c>
    </row>
    <row r="374" spans="1:8" ht="17" thickBot="1" x14ac:dyDescent="0.25"/>
    <row r="375" spans="1:8" ht="17" thickBot="1" x14ac:dyDescent="0.25">
      <c r="A375" s="102" t="s">
        <v>1172</v>
      </c>
      <c r="B375" s="6"/>
      <c r="C375" s="6"/>
      <c r="D375" s="6"/>
      <c r="E375" s="6"/>
      <c r="F375" s="6"/>
      <c r="G375" s="6"/>
      <c r="H375" s="7"/>
    </row>
    <row r="376" spans="1:8" x14ac:dyDescent="0.2">
      <c r="A376" s="1" t="s">
        <v>1173</v>
      </c>
    </row>
    <row r="377" spans="1:8" x14ac:dyDescent="0.2">
      <c r="A377" s="1" t="s">
        <v>1174</v>
      </c>
    </row>
    <row r="378" spans="1:8" x14ac:dyDescent="0.2">
      <c r="A378" s="1" t="s">
        <v>1175</v>
      </c>
    </row>
    <row r="379" spans="1:8" x14ac:dyDescent="0.2">
      <c r="A379" s="1" t="s">
        <v>1176</v>
      </c>
      <c r="B379" s="151">
        <v>0.3</v>
      </c>
      <c r="C379" s="1" t="s">
        <v>1177</v>
      </c>
      <c r="D379" s="1" t="s">
        <v>1178</v>
      </c>
    </row>
    <row r="380" spans="1:8" x14ac:dyDescent="0.2">
      <c r="A380" s="1" t="s">
        <v>1179</v>
      </c>
      <c r="B380" s="151">
        <v>0.7</v>
      </c>
      <c r="C380" s="1" t="s">
        <v>1177</v>
      </c>
      <c r="D380" s="1" t="s">
        <v>1180</v>
      </c>
    </row>
    <row r="382" spans="1:8" x14ac:dyDescent="0.2">
      <c r="A382" s="1" t="s">
        <v>1181</v>
      </c>
    </row>
    <row r="384" spans="1:8" x14ac:dyDescent="0.2">
      <c r="A384" s="1" t="s">
        <v>711</v>
      </c>
    </row>
    <row r="385" spans="1:9" x14ac:dyDescent="0.2">
      <c r="A385" s="1" t="s">
        <v>1189</v>
      </c>
    </row>
    <row r="386" spans="1:9" x14ac:dyDescent="0.2">
      <c r="A386" s="1" t="s">
        <v>1182</v>
      </c>
    </row>
    <row r="387" spans="1:9" x14ac:dyDescent="0.2">
      <c r="A387" s="1" t="s">
        <v>1184</v>
      </c>
    </row>
    <row r="388" spans="1:9" x14ac:dyDescent="0.2">
      <c r="B388" s="1" t="s">
        <v>1185</v>
      </c>
    </row>
    <row r="389" spans="1:9" x14ac:dyDescent="0.2">
      <c r="B389" s="1" t="s">
        <v>1186</v>
      </c>
    </row>
    <row r="390" spans="1:9" x14ac:dyDescent="0.2">
      <c r="A390" s="1" t="s">
        <v>1183</v>
      </c>
    </row>
    <row r="391" spans="1:9" x14ac:dyDescent="0.2">
      <c r="B391" s="1" t="s">
        <v>1185</v>
      </c>
    </row>
    <row r="392" spans="1:9" x14ac:dyDescent="0.2">
      <c r="B392" s="1" t="s">
        <v>1196</v>
      </c>
    </row>
    <row r="394" spans="1:9" x14ac:dyDescent="0.2">
      <c r="A394" s="152" t="s">
        <v>1190</v>
      </c>
      <c r="B394" s="152"/>
      <c r="C394" s="152"/>
      <c r="D394" s="152"/>
      <c r="E394" s="152"/>
      <c r="F394" s="152"/>
      <c r="G394" s="152"/>
      <c r="H394" s="152"/>
      <c r="I394" s="152"/>
    </row>
    <row r="395" spans="1:9" x14ac:dyDescent="0.2">
      <c r="A395" s="1" t="s">
        <v>1176</v>
      </c>
      <c r="D395" s="1" t="s">
        <v>1179</v>
      </c>
      <c r="G395" s="1" t="s">
        <v>1187</v>
      </c>
    </row>
    <row r="396" spans="1:9" x14ac:dyDescent="0.2">
      <c r="A396" s="70">
        <f>30*12</f>
        <v>360</v>
      </c>
      <c r="B396" s="1" t="s">
        <v>1167</v>
      </c>
      <c r="D396" s="70">
        <f>30*12</f>
        <v>360</v>
      </c>
      <c r="E396" s="1" t="s">
        <v>1167</v>
      </c>
    </row>
    <row r="397" spans="1:9" x14ac:dyDescent="0.2">
      <c r="A397" s="150">
        <f>((1+6.5%)^(1/12)-1)*100</f>
        <v>0.52616942768477504</v>
      </c>
      <c r="B397" s="1" t="s">
        <v>42</v>
      </c>
      <c r="D397" s="150">
        <f>((1+7%)^(1/12)-1)*100</f>
        <v>0.56541453874052738</v>
      </c>
      <c r="E397" s="1" t="s">
        <v>42</v>
      </c>
    </row>
    <row r="398" spans="1:9" x14ac:dyDescent="0.2">
      <c r="A398" s="70">
        <f>30%*600000</f>
        <v>180000</v>
      </c>
      <c r="B398" s="1" t="s">
        <v>39</v>
      </c>
      <c r="D398" s="70">
        <f>600000*70%</f>
        <v>420000</v>
      </c>
      <c r="E398" s="1" t="s">
        <v>39</v>
      </c>
    </row>
    <row r="399" spans="1:9" x14ac:dyDescent="0.2">
      <c r="A399" s="80">
        <f>PMT(A397/100,A396,A398,A400)</f>
        <v>-1115.7980942795512</v>
      </c>
      <c r="B399" s="1" t="s">
        <v>47</v>
      </c>
      <c r="D399" s="80">
        <f>PMT(D397/100,D396,D398,D400)</f>
        <v>-2733.8834501995775</v>
      </c>
      <c r="E399" s="1" t="s">
        <v>47</v>
      </c>
      <c r="G399" s="36">
        <f>A399+D399</f>
        <v>-3849.6815444791287</v>
      </c>
      <c r="I399" s="1" t="s">
        <v>1188</v>
      </c>
    </row>
    <row r="400" spans="1:9" x14ac:dyDescent="0.2">
      <c r="A400" s="70">
        <v>0</v>
      </c>
      <c r="B400" s="1" t="s">
        <v>50</v>
      </c>
      <c r="D400" s="70">
        <v>0</v>
      </c>
      <c r="E400" s="1" t="s">
        <v>50</v>
      </c>
    </row>
    <row r="401" spans="1:9" x14ac:dyDescent="0.2">
      <c r="A401" s="12"/>
    </row>
    <row r="402" spans="1:9" x14ac:dyDescent="0.2">
      <c r="A402" s="153" t="s">
        <v>1191</v>
      </c>
      <c r="B402" s="152"/>
      <c r="C402" s="152"/>
      <c r="D402" s="152"/>
      <c r="E402" s="152"/>
      <c r="F402" s="152"/>
      <c r="G402" s="152"/>
      <c r="H402" s="152"/>
      <c r="I402" s="152"/>
    </row>
    <row r="403" spans="1:9" x14ac:dyDescent="0.2">
      <c r="A403" s="12" t="s">
        <v>1176</v>
      </c>
      <c r="D403" s="1" t="s">
        <v>1179</v>
      </c>
      <c r="G403" s="1" t="s">
        <v>1187</v>
      </c>
    </row>
    <row r="404" spans="1:9" x14ac:dyDescent="0.2">
      <c r="A404" s="12">
        <v>60</v>
      </c>
      <c r="B404" s="1" t="s">
        <v>1192</v>
      </c>
      <c r="D404" s="12">
        <v>60</v>
      </c>
      <c r="E404" s="1" t="s">
        <v>1192</v>
      </c>
    </row>
    <row r="405" spans="1:9" x14ac:dyDescent="0.2">
      <c r="A405" s="12">
        <v>60</v>
      </c>
      <c r="B405" s="1" t="s">
        <v>1193</v>
      </c>
      <c r="D405" s="12">
        <v>60</v>
      </c>
      <c r="E405" s="1" t="s">
        <v>1193</v>
      </c>
    </row>
    <row r="406" spans="1:9" x14ac:dyDescent="0.2">
      <c r="A406" s="12"/>
    </row>
    <row r="407" spans="1:9" x14ac:dyDescent="0.2">
      <c r="A407" s="42">
        <f>PV(A397/100,A396-A404,A399,A400)</f>
        <v>168134.79607843474</v>
      </c>
      <c r="B407" s="1" t="s">
        <v>1169</v>
      </c>
      <c r="D407" s="42">
        <f>PV(D397/100,D396-D404,D399,D400)</f>
        <v>394430.54966828175</v>
      </c>
      <c r="E407" s="1" t="s">
        <v>1169</v>
      </c>
      <c r="G407" s="36">
        <f>A407+D407</f>
        <v>562565.34574671648</v>
      </c>
      <c r="I407" s="1" t="s">
        <v>1194</v>
      </c>
    </row>
    <row r="408" spans="1:9" x14ac:dyDescent="0.2">
      <c r="A408" s="12"/>
    </row>
    <row r="409" spans="1:9" x14ac:dyDescent="0.2">
      <c r="A409" s="153" t="s">
        <v>1195</v>
      </c>
      <c r="B409" s="152"/>
      <c r="C409" s="152"/>
      <c r="D409" s="152"/>
      <c r="E409" s="152"/>
      <c r="F409" s="152"/>
      <c r="G409" s="152"/>
      <c r="H409" s="152"/>
      <c r="I409" s="152"/>
    </row>
    <row r="410" spans="1:9" x14ac:dyDescent="0.2">
      <c r="A410" s="12" t="s">
        <v>1176</v>
      </c>
      <c r="D410" s="1" t="s">
        <v>1179</v>
      </c>
      <c r="G410" s="1" t="s">
        <v>1187</v>
      </c>
    </row>
    <row r="411" spans="1:9" x14ac:dyDescent="0.2">
      <c r="A411" s="12">
        <v>1</v>
      </c>
      <c r="B411" s="1" t="s">
        <v>1192</v>
      </c>
      <c r="D411" s="1">
        <v>1</v>
      </c>
      <c r="E411" s="1" t="s">
        <v>1192</v>
      </c>
    </row>
    <row r="412" spans="1:9" x14ac:dyDescent="0.2">
      <c r="A412" s="12">
        <v>60</v>
      </c>
      <c r="B412" s="1" t="s">
        <v>1193</v>
      </c>
      <c r="D412" s="1">
        <v>60</v>
      </c>
      <c r="E412" s="1" t="s">
        <v>1193</v>
      </c>
    </row>
    <row r="413" spans="1:9" ht="17" thickBot="1" x14ac:dyDescent="0.25"/>
    <row r="414" spans="1:9" x14ac:dyDescent="0.2">
      <c r="A414" s="154">
        <v>-54414</v>
      </c>
      <c r="B414" s="1" t="s">
        <v>1171</v>
      </c>
      <c r="D414" s="154">
        <v>-138462.06</v>
      </c>
      <c r="E414" s="1" t="s">
        <v>1171</v>
      </c>
      <c r="G414" s="36">
        <f>A414+D414</f>
        <v>-192876.06</v>
      </c>
      <c r="I414" s="1" t="s">
        <v>1194</v>
      </c>
    </row>
    <row r="415" spans="1:9" ht="17" thickBot="1" x14ac:dyDescent="0.25">
      <c r="A415" s="44" t="s">
        <v>1197</v>
      </c>
      <c r="D415" s="44" t="s">
        <v>1198</v>
      </c>
    </row>
  </sheetData>
  <mergeCells count="5">
    <mergeCell ref="E83:E84"/>
    <mergeCell ref="E117:E118"/>
    <mergeCell ref="D169:D170"/>
    <mergeCell ref="A259:D259"/>
    <mergeCell ref="E259:H25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K223"/>
  <sheetViews>
    <sheetView rightToLeft="1" topLeftCell="A207" zoomScale="280" zoomScaleNormal="280" workbookViewId="0">
      <selection sqref="A1:XFD1"/>
    </sheetView>
  </sheetViews>
  <sheetFormatPr baseColWidth="10" defaultRowHeight="16" x14ac:dyDescent="0.2"/>
  <cols>
    <col min="1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1203</v>
      </c>
      <c r="B1" s="29"/>
      <c r="C1" s="29"/>
      <c r="D1" s="29"/>
      <c r="E1" s="29"/>
      <c r="F1" s="29"/>
      <c r="G1" s="29"/>
      <c r="H1" s="139">
        <v>45296</v>
      </c>
    </row>
    <row r="2" spans="1:8" ht="17" thickBot="1" x14ac:dyDescent="0.25"/>
    <row r="3" spans="1:8" ht="17" thickBot="1" x14ac:dyDescent="0.25">
      <c r="A3" s="102" t="s">
        <v>1067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1068</v>
      </c>
      <c r="B5" s="1" t="s">
        <v>1199</v>
      </c>
      <c r="F5" s="87">
        <v>45655</v>
      </c>
      <c r="G5" s="1" t="s">
        <v>1201</v>
      </c>
    </row>
    <row r="6" spans="1:8" x14ac:dyDescent="0.2">
      <c r="A6" s="1" t="s">
        <v>1069</v>
      </c>
      <c r="B6" s="1" t="s">
        <v>1200</v>
      </c>
      <c r="F6" s="87">
        <v>45662</v>
      </c>
      <c r="G6" s="1" t="s">
        <v>1202</v>
      </c>
    </row>
    <row r="7" spans="1:8" x14ac:dyDescent="0.2">
      <c r="A7" s="1" t="s">
        <v>1071</v>
      </c>
      <c r="B7" s="1" t="s">
        <v>1078</v>
      </c>
      <c r="F7" s="87">
        <v>45669</v>
      </c>
      <c r="G7" s="1" t="s">
        <v>1072</v>
      </c>
    </row>
    <row r="8" spans="1:8" x14ac:dyDescent="0.2">
      <c r="A8" s="1" t="s">
        <v>1073</v>
      </c>
      <c r="B8" s="1" t="s">
        <v>1074</v>
      </c>
      <c r="F8" s="87">
        <v>45690</v>
      </c>
    </row>
    <row r="10" spans="1:8" ht="31" x14ac:dyDescent="0.35">
      <c r="A10" s="155" t="s">
        <v>1264</v>
      </c>
    </row>
    <row r="11" spans="1:8" ht="17" thickBot="1" x14ac:dyDescent="0.25"/>
    <row r="12" spans="1:8" ht="17" thickBot="1" x14ac:dyDescent="0.25">
      <c r="A12" s="102" t="s">
        <v>1204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1205</v>
      </c>
    </row>
    <row r="14" spans="1:8" x14ac:dyDescent="0.2">
      <c r="A14" s="1" t="s">
        <v>1206</v>
      </c>
    </row>
    <row r="15" spans="1:8" x14ac:dyDescent="0.2">
      <c r="A15" s="1" t="s">
        <v>1207</v>
      </c>
    </row>
    <row r="16" spans="1:8" x14ac:dyDescent="0.2">
      <c r="A16" s="1" t="s">
        <v>1208</v>
      </c>
    </row>
    <row r="17" spans="1:8" x14ac:dyDescent="0.2">
      <c r="A17" s="1" t="s">
        <v>1209</v>
      </c>
    </row>
    <row r="18" spans="1:8" x14ac:dyDescent="0.2">
      <c r="A18" s="1" t="s">
        <v>1210</v>
      </c>
    </row>
    <row r="20" spans="1:8" x14ac:dyDescent="0.2">
      <c r="A20" s="1" t="s">
        <v>1211</v>
      </c>
    </row>
    <row r="21" spans="1:8" x14ac:dyDescent="0.2">
      <c r="A21" s="1" t="s">
        <v>1212</v>
      </c>
    </row>
    <row r="23" spans="1:8" x14ac:dyDescent="0.2">
      <c r="A23" s="1" t="s">
        <v>1213</v>
      </c>
    </row>
    <row r="24" spans="1:8" x14ac:dyDescent="0.2">
      <c r="A24" s="1" t="s">
        <v>1214</v>
      </c>
    </row>
    <row r="26" spans="1:8" x14ac:dyDescent="0.2">
      <c r="A26" s="1" t="s">
        <v>1215</v>
      </c>
    </row>
    <row r="27" spans="1:8" x14ac:dyDescent="0.2">
      <c r="A27" s="1" t="s">
        <v>1216</v>
      </c>
    </row>
    <row r="29" spans="1:8" x14ac:dyDescent="0.2">
      <c r="A29" s="2" t="s">
        <v>1217</v>
      </c>
      <c r="B29" s="2"/>
      <c r="C29" s="2"/>
      <c r="D29" s="2"/>
      <c r="E29" s="2"/>
      <c r="F29" s="2"/>
      <c r="G29" s="2"/>
      <c r="H29" s="2"/>
    </row>
    <row r="30" spans="1:8" x14ac:dyDescent="0.2">
      <c r="A30" s="2" t="s">
        <v>1218</v>
      </c>
      <c r="B30" s="2"/>
      <c r="C30" s="2"/>
      <c r="D30" s="2"/>
      <c r="E30" s="2"/>
      <c r="F30" s="2"/>
      <c r="G30" s="2"/>
      <c r="H30" s="2"/>
    </row>
    <row r="31" spans="1:8" ht="17" thickBot="1" x14ac:dyDescent="0.25"/>
    <row r="32" spans="1:8" ht="17" thickBot="1" x14ac:dyDescent="0.25">
      <c r="A32" s="3" t="s">
        <v>1219</v>
      </c>
      <c r="B32" s="4"/>
      <c r="C32" s="4"/>
      <c r="D32" s="4"/>
      <c r="E32" s="4"/>
      <c r="F32" s="4"/>
      <c r="G32" s="4"/>
      <c r="H32" s="5"/>
    </row>
    <row r="33" spans="1:7" x14ac:dyDescent="0.2">
      <c r="A33" s="1" t="s">
        <v>1220</v>
      </c>
    </row>
    <row r="34" spans="1:7" x14ac:dyDescent="0.2">
      <c r="A34" s="1" t="s">
        <v>1221</v>
      </c>
    </row>
    <row r="35" spans="1:7" x14ac:dyDescent="0.2">
      <c r="A35" s="1" t="s">
        <v>1222</v>
      </c>
    </row>
    <row r="37" spans="1:7" x14ac:dyDescent="0.2">
      <c r="A37" s="1" t="s">
        <v>1223</v>
      </c>
    </row>
    <row r="39" spans="1:7" x14ac:dyDescent="0.2">
      <c r="A39" s="1" t="s">
        <v>1224</v>
      </c>
    </row>
    <row r="40" spans="1:7" x14ac:dyDescent="0.2">
      <c r="A40" s="1" t="s">
        <v>1225</v>
      </c>
    </row>
    <row r="42" spans="1:7" x14ac:dyDescent="0.2">
      <c r="A42" s="2" t="s">
        <v>27</v>
      </c>
    </row>
    <row r="44" spans="1:7" x14ac:dyDescent="0.2">
      <c r="A44" s="1" t="s">
        <v>1226</v>
      </c>
    </row>
    <row r="45" spans="1:7" x14ac:dyDescent="0.2">
      <c r="B45" s="1" t="s">
        <v>1227</v>
      </c>
    </row>
    <row r="46" spans="1:7" x14ac:dyDescent="0.2">
      <c r="B46" s="1" t="s">
        <v>1228</v>
      </c>
    </row>
    <row r="48" spans="1:7" x14ac:dyDescent="0.2">
      <c r="A48" s="58" t="s">
        <v>1237</v>
      </c>
      <c r="B48" s="58"/>
      <c r="C48" s="58"/>
      <c r="D48" s="58"/>
      <c r="E48" s="58"/>
      <c r="F48" s="58"/>
      <c r="G48" s="58"/>
    </row>
    <row r="50" spans="1:11" x14ac:dyDescent="0.2">
      <c r="D50" s="59"/>
      <c r="E50" s="58" t="s">
        <v>1141</v>
      </c>
      <c r="H50" s="59"/>
      <c r="I50" s="58" t="s">
        <v>177</v>
      </c>
    </row>
    <row r="51" spans="1:11" x14ac:dyDescent="0.2">
      <c r="A51" s="1" t="s">
        <v>1233</v>
      </c>
      <c r="D51" s="12">
        <v>24</v>
      </c>
      <c r="E51" s="1" t="s">
        <v>1142</v>
      </c>
      <c r="H51" s="12" t="s">
        <v>179</v>
      </c>
      <c r="I51" s="1" t="s">
        <v>178</v>
      </c>
    </row>
    <row r="52" spans="1:11" x14ac:dyDescent="0.2">
      <c r="A52" s="1" t="s">
        <v>1234</v>
      </c>
      <c r="D52" s="12">
        <v>24</v>
      </c>
      <c r="E52" s="1" t="s">
        <v>1143</v>
      </c>
      <c r="H52" s="12">
        <v>60</v>
      </c>
      <c r="I52" s="1" t="s">
        <v>45</v>
      </c>
      <c r="J52" s="1" t="s">
        <v>1231</v>
      </c>
    </row>
    <row r="53" spans="1:11" x14ac:dyDescent="0.2">
      <c r="A53" s="1" t="s">
        <v>1235</v>
      </c>
      <c r="D53" s="12"/>
      <c r="H53" s="12">
        <f>((1+4%)^(1/12)-1)*100</f>
        <v>0.32737397821989145</v>
      </c>
      <c r="I53" s="1" t="s">
        <v>42</v>
      </c>
      <c r="K53" s="106" t="s">
        <v>1229</v>
      </c>
    </row>
    <row r="54" spans="1:11" x14ac:dyDescent="0.2">
      <c r="D54" s="12"/>
      <c r="H54" s="12">
        <v>50000</v>
      </c>
      <c r="I54" s="1" t="s">
        <v>39</v>
      </c>
      <c r="J54" s="1" t="s">
        <v>1230</v>
      </c>
    </row>
    <row r="55" spans="1:11" x14ac:dyDescent="0.2">
      <c r="A55" s="1" t="s">
        <v>1236</v>
      </c>
      <c r="D55" s="109">
        <v>31168</v>
      </c>
      <c r="E55" s="1" t="s">
        <v>1147</v>
      </c>
      <c r="F55" s="1" t="s">
        <v>51</v>
      </c>
      <c r="H55" s="42">
        <f>PMT(H53/100,H52,H54,H56)</f>
        <v>-919.21339700330691</v>
      </c>
      <c r="I55" s="1" t="s">
        <v>47</v>
      </c>
      <c r="J55" s="1" t="s">
        <v>51</v>
      </c>
    </row>
    <row r="56" spans="1:11" x14ac:dyDescent="0.2">
      <c r="H56" s="12">
        <v>0</v>
      </c>
      <c r="I56" s="1" t="s">
        <v>50</v>
      </c>
      <c r="J56" s="1" t="s">
        <v>1232</v>
      </c>
    </row>
    <row r="57" spans="1:11" x14ac:dyDescent="0.2">
      <c r="H57" s="12"/>
    </row>
    <row r="58" spans="1:11" x14ac:dyDescent="0.2">
      <c r="A58" s="58" t="s">
        <v>1238</v>
      </c>
      <c r="B58" s="58"/>
      <c r="C58" s="58"/>
      <c r="D58" s="58"/>
      <c r="E58" s="58"/>
      <c r="F58" s="58"/>
      <c r="G58" s="58"/>
    </row>
    <row r="60" spans="1:11" ht="17" thickBot="1" x14ac:dyDescent="0.25">
      <c r="D60" s="143" t="s">
        <v>1240</v>
      </c>
      <c r="E60" s="282" t="s">
        <v>1239</v>
      </c>
      <c r="F60" s="282"/>
    </row>
    <row r="61" spans="1:11" x14ac:dyDescent="0.2">
      <c r="D61" s="12" t="s">
        <v>1241</v>
      </c>
      <c r="E61" s="282"/>
      <c r="F61" s="282"/>
    </row>
    <row r="63" spans="1:11" ht="17" thickBot="1" x14ac:dyDescent="0.25">
      <c r="B63" s="301">
        <f>31168*108.5/104</f>
        <v>32516.615384615383</v>
      </c>
      <c r="C63" s="282" t="s">
        <v>138</v>
      </c>
      <c r="D63" s="143">
        <v>108.5</v>
      </c>
      <c r="E63" s="282" t="s">
        <v>1242</v>
      </c>
      <c r="F63" s="282"/>
    </row>
    <row r="64" spans="1:11" x14ac:dyDescent="0.2">
      <c r="B64" s="301"/>
      <c r="C64" s="282"/>
      <c r="D64" s="12">
        <v>104</v>
      </c>
      <c r="E64" s="282"/>
      <c r="F64" s="282"/>
    </row>
    <row r="66" spans="1:9" x14ac:dyDescent="0.2">
      <c r="A66" s="2" t="s">
        <v>1243</v>
      </c>
    </row>
    <row r="67" spans="1:9" ht="17" thickBot="1" x14ac:dyDescent="0.25"/>
    <row r="68" spans="1:9" ht="17" thickBot="1" x14ac:dyDescent="0.25">
      <c r="A68" s="3" t="s">
        <v>1244</v>
      </c>
      <c r="B68" s="4"/>
      <c r="C68" s="4"/>
      <c r="D68" s="4"/>
      <c r="E68" s="4"/>
      <c r="F68" s="4"/>
      <c r="G68" s="4"/>
      <c r="H68" s="5"/>
    </row>
    <row r="69" spans="1:9" x14ac:dyDescent="0.2">
      <c r="B69" s="1" t="s">
        <v>1248</v>
      </c>
    </row>
    <row r="70" spans="1:9" x14ac:dyDescent="0.2">
      <c r="B70" s="1" t="s">
        <v>1245</v>
      </c>
    </row>
    <row r="71" spans="1:9" x14ac:dyDescent="0.2">
      <c r="B71" s="1" t="s">
        <v>1246</v>
      </c>
    </row>
    <row r="72" spans="1:9" x14ac:dyDescent="0.2">
      <c r="B72" s="1" t="s">
        <v>1247</v>
      </c>
    </row>
    <row r="73" spans="1:9" x14ac:dyDescent="0.2">
      <c r="B73" s="1" t="s">
        <v>1256</v>
      </c>
    </row>
    <row r="74" spans="1:9" x14ac:dyDescent="0.2">
      <c r="B74" s="1" t="s">
        <v>1255</v>
      </c>
    </row>
    <row r="76" spans="1:9" x14ac:dyDescent="0.2">
      <c r="A76" s="2" t="s">
        <v>1257</v>
      </c>
    </row>
    <row r="78" spans="1:9" x14ac:dyDescent="0.2">
      <c r="A78" s="58" t="s">
        <v>1237</v>
      </c>
      <c r="B78" s="58"/>
      <c r="C78" s="58"/>
      <c r="D78" s="58"/>
      <c r="E78" s="58"/>
      <c r="F78" s="58"/>
      <c r="G78" s="58"/>
    </row>
    <row r="80" spans="1:9" x14ac:dyDescent="0.2">
      <c r="D80" s="59"/>
      <c r="E80" s="58" t="s">
        <v>1141</v>
      </c>
      <c r="H80" s="59"/>
      <c r="I80" s="58" t="s">
        <v>177</v>
      </c>
    </row>
    <row r="81" spans="1:11" x14ac:dyDescent="0.2">
      <c r="A81" s="1" t="s">
        <v>1251</v>
      </c>
      <c r="D81" s="12">
        <v>12</v>
      </c>
      <c r="E81" s="1" t="s">
        <v>1142</v>
      </c>
      <c r="H81" s="12" t="s">
        <v>179</v>
      </c>
      <c r="I81" s="1" t="s">
        <v>178</v>
      </c>
    </row>
    <row r="82" spans="1:11" x14ac:dyDescent="0.2">
      <c r="A82" s="1" t="s">
        <v>1252</v>
      </c>
      <c r="D82" s="12">
        <v>12</v>
      </c>
      <c r="E82" s="1" t="s">
        <v>1143</v>
      </c>
      <c r="H82" s="12">
        <v>48</v>
      </c>
      <c r="I82" s="1" t="s">
        <v>45</v>
      </c>
      <c r="J82" s="1" t="s">
        <v>1249</v>
      </c>
    </row>
    <row r="83" spans="1:11" x14ac:dyDescent="0.2">
      <c r="D83" s="12"/>
      <c r="H83" s="106">
        <f>((1 + 3%)^(1/12) - 1) * 100</f>
        <v>0.24662697723036864</v>
      </c>
      <c r="I83" s="1" t="s">
        <v>42</v>
      </c>
      <c r="K83" s="106" t="s">
        <v>1250</v>
      </c>
    </row>
    <row r="84" spans="1:11" x14ac:dyDescent="0.2">
      <c r="D84" s="12"/>
      <c r="H84" s="12">
        <v>50000</v>
      </c>
      <c r="I84" s="1" t="s">
        <v>39</v>
      </c>
      <c r="J84" s="1" t="s">
        <v>1230</v>
      </c>
    </row>
    <row r="85" spans="1:11" x14ac:dyDescent="0.2">
      <c r="A85" s="1" t="s">
        <v>1236</v>
      </c>
      <c r="D85" s="109">
        <v>38048</v>
      </c>
      <c r="E85" s="1" t="s">
        <v>1147</v>
      </c>
      <c r="F85" s="1" t="s">
        <v>51</v>
      </c>
      <c r="H85" s="42">
        <f>PMT(H83/100,H82,H84,H86)</f>
        <v>-1105.8221158197584</v>
      </c>
      <c r="I85" s="1" t="s">
        <v>47</v>
      </c>
      <c r="J85" s="1" t="s">
        <v>51</v>
      </c>
    </row>
    <row r="86" spans="1:11" x14ac:dyDescent="0.2">
      <c r="A86" s="1" t="s">
        <v>1253</v>
      </c>
      <c r="H86" s="12">
        <v>0</v>
      </c>
      <c r="I86" s="1" t="s">
        <v>50</v>
      </c>
      <c r="J86" s="1" t="s">
        <v>1232</v>
      </c>
    </row>
    <row r="87" spans="1:11" x14ac:dyDescent="0.2">
      <c r="H87" s="12"/>
    </row>
    <row r="88" spans="1:11" x14ac:dyDescent="0.2">
      <c r="A88" s="58" t="s">
        <v>1238</v>
      </c>
      <c r="B88" s="58"/>
      <c r="C88" s="58"/>
      <c r="D88" s="58"/>
      <c r="E88" s="58"/>
      <c r="F88" s="58"/>
      <c r="G88" s="58"/>
    </row>
    <row r="90" spans="1:11" ht="17" thickBot="1" x14ac:dyDescent="0.25">
      <c r="D90" s="143" t="s">
        <v>1240</v>
      </c>
      <c r="E90" s="282" t="s">
        <v>1239</v>
      </c>
      <c r="F90" s="282"/>
    </row>
    <row r="91" spans="1:11" x14ac:dyDescent="0.2">
      <c r="D91" s="12" t="s">
        <v>1241</v>
      </c>
      <c r="E91" s="282"/>
      <c r="F91" s="282"/>
    </row>
    <row r="93" spans="1:11" ht="17" thickBot="1" x14ac:dyDescent="0.25">
      <c r="B93" s="301">
        <f>D85*106/102</f>
        <v>39540.078431372553</v>
      </c>
      <c r="C93" s="282" t="s">
        <v>138</v>
      </c>
      <c r="D93" s="143">
        <v>106</v>
      </c>
      <c r="E93" s="282" t="s">
        <v>1254</v>
      </c>
      <c r="F93" s="282"/>
    </row>
    <row r="94" spans="1:11" x14ac:dyDescent="0.2">
      <c r="B94" s="301"/>
      <c r="C94" s="282"/>
      <c r="D94" s="12">
        <v>102</v>
      </c>
      <c r="E94" s="282"/>
      <c r="F94" s="282"/>
    </row>
    <row r="96" spans="1:11" x14ac:dyDescent="0.2">
      <c r="A96" s="2" t="s">
        <v>1263</v>
      </c>
    </row>
    <row r="99" spans="1:11" x14ac:dyDescent="0.2">
      <c r="A99" s="2" t="s">
        <v>1258</v>
      </c>
    </row>
    <row r="100" spans="1:11" x14ac:dyDescent="0.2">
      <c r="A100" s="1" t="s">
        <v>1259</v>
      </c>
    </row>
    <row r="102" spans="1:11" x14ac:dyDescent="0.2">
      <c r="D102" s="59"/>
      <c r="E102" s="58" t="s">
        <v>1141</v>
      </c>
      <c r="H102" s="59"/>
      <c r="I102" s="58" t="s">
        <v>177</v>
      </c>
    </row>
    <row r="103" spans="1:11" x14ac:dyDescent="0.2">
      <c r="A103" s="1" t="s">
        <v>1251</v>
      </c>
      <c r="D103" s="12">
        <v>12</v>
      </c>
      <c r="E103" s="1" t="s">
        <v>1142</v>
      </c>
      <c r="H103" s="12" t="s">
        <v>179</v>
      </c>
      <c r="I103" s="1" t="s">
        <v>178</v>
      </c>
    </row>
    <row r="104" spans="1:11" x14ac:dyDescent="0.2">
      <c r="A104" s="1" t="s">
        <v>1252</v>
      </c>
      <c r="D104" s="12">
        <v>12</v>
      </c>
      <c r="E104" s="1" t="s">
        <v>1143</v>
      </c>
      <c r="H104" s="12">
        <v>48</v>
      </c>
      <c r="I104" s="1" t="s">
        <v>45</v>
      </c>
      <c r="J104" s="1" t="s">
        <v>1249</v>
      </c>
    </row>
    <row r="105" spans="1:11" x14ac:dyDescent="0.2">
      <c r="D105" s="12"/>
      <c r="H105" s="106">
        <f>((1 + 8%)^(1/12) - 1) * 100</f>
        <v>0.64340301100034303</v>
      </c>
      <c r="I105" s="1" t="s">
        <v>42</v>
      </c>
      <c r="K105" s="106" t="s">
        <v>1250</v>
      </c>
    </row>
    <row r="106" spans="1:11" x14ac:dyDescent="0.2">
      <c r="D106" s="12"/>
      <c r="H106" s="12">
        <v>50000</v>
      </c>
      <c r="I106" s="1" t="s">
        <v>39</v>
      </c>
      <c r="J106" s="1" t="s">
        <v>1230</v>
      </c>
    </row>
    <row r="107" spans="1:11" x14ac:dyDescent="0.2">
      <c r="A107" s="1" t="s">
        <v>1236</v>
      </c>
      <c r="D107" s="109">
        <v>38903.949999999997</v>
      </c>
      <c r="E107" s="1" t="s">
        <v>1147</v>
      </c>
      <c r="F107" s="1" t="s">
        <v>51</v>
      </c>
      <c r="H107" s="42">
        <f>PMT(H105/100,H104,H106,H108)</f>
        <v>-1214.1047166835956</v>
      </c>
      <c r="I107" s="1" t="s">
        <v>47</v>
      </c>
      <c r="J107" s="1" t="s">
        <v>51</v>
      </c>
    </row>
    <row r="108" spans="1:11" x14ac:dyDescent="0.2">
      <c r="A108" s="1" t="s">
        <v>1260</v>
      </c>
      <c r="H108" s="12">
        <v>0</v>
      </c>
      <c r="I108" s="1" t="s">
        <v>50</v>
      </c>
      <c r="J108" s="1" t="s">
        <v>1232</v>
      </c>
    </row>
    <row r="109" spans="1:11" x14ac:dyDescent="0.2">
      <c r="A109" s="1" t="s">
        <v>1261</v>
      </c>
    </row>
    <row r="111" spans="1:11" x14ac:dyDescent="0.2">
      <c r="A111" s="2" t="s">
        <v>1262</v>
      </c>
    </row>
    <row r="113" spans="1:8" ht="31" x14ac:dyDescent="0.35">
      <c r="A113" s="155" t="s">
        <v>1265</v>
      </c>
    </row>
    <row r="114" spans="1:8" ht="17" thickBot="1" x14ac:dyDescent="0.25"/>
    <row r="115" spans="1:8" ht="17" thickBot="1" x14ac:dyDescent="0.25">
      <c r="A115" s="3" t="s">
        <v>1266</v>
      </c>
      <c r="B115" s="4"/>
      <c r="C115" s="4"/>
      <c r="D115" s="4"/>
      <c r="E115" s="4"/>
      <c r="F115" s="4"/>
      <c r="G115" s="4"/>
      <c r="H115" s="5"/>
    </row>
    <row r="116" spans="1:8" x14ac:dyDescent="0.2">
      <c r="A116" s="1" t="s">
        <v>1267</v>
      </c>
    </row>
    <row r="117" spans="1:8" x14ac:dyDescent="0.2">
      <c r="A117" s="1" t="s">
        <v>1268</v>
      </c>
    </row>
    <row r="118" spans="1:8" x14ac:dyDescent="0.2">
      <c r="A118" s="1" t="s">
        <v>1269</v>
      </c>
    </row>
    <row r="119" spans="1:8" x14ac:dyDescent="0.2">
      <c r="A119" s="1" t="s">
        <v>1270</v>
      </c>
    </row>
    <row r="121" spans="1:8" x14ac:dyDescent="0.2">
      <c r="A121" s="1" t="s">
        <v>1271</v>
      </c>
    </row>
    <row r="122" spans="1:8" ht="17" thickBot="1" x14ac:dyDescent="0.25">
      <c r="C122" s="12"/>
      <c r="D122" s="143">
        <v>0</v>
      </c>
      <c r="E122" s="143">
        <v>1</v>
      </c>
      <c r="F122" s="143">
        <v>2</v>
      </c>
      <c r="G122" s="143">
        <v>3</v>
      </c>
    </row>
    <row r="123" spans="1:8" x14ac:dyDescent="0.2">
      <c r="C123" s="12" t="s">
        <v>1272</v>
      </c>
      <c r="D123" s="12">
        <v>-100</v>
      </c>
      <c r="E123" s="12">
        <v>40</v>
      </c>
      <c r="F123" s="12">
        <v>50</v>
      </c>
      <c r="G123" s="12">
        <v>30</v>
      </c>
    </row>
    <row r="125" spans="1:8" x14ac:dyDescent="0.2">
      <c r="A125" s="1" t="s">
        <v>1273</v>
      </c>
    </row>
    <row r="126" spans="1:8" ht="17" thickBot="1" x14ac:dyDescent="0.25"/>
    <row r="127" spans="1:8" ht="17" thickBot="1" x14ac:dyDescent="0.25">
      <c r="A127" s="3" t="s">
        <v>1274</v>
      </c>
      <c r="B127" s="4"/>
      <c r="C127" s="4"/>
      <c r="D127" s="4"/>
      <c r="E127" s="4"/>
      <c r="F127" s="4"/>
      <c r="G127" s="4"/>
      <c r="H127" s="5"/>
    </row>
    <row r="128" spans="1:8" x14ac:dyDescent="0.2">
      <c r="A128" s="1" t="s">
        <v>1275</v>
      </c>
    </row>
    <row r="129" spans="1:8" x14ac:dyDescent="0.2">
      <c r="A129" s="1" t="s">
        <v>1276</v>
      </c>
    </row>
    <row r="130" spans="1:8" ht="17" thickBot="1" x14ac:dyDescent="0.25"/>
    <row r="131" spans="1:8" ht="17" thickBot="1" x14ac:dyDescent="0.25">
      <c r="A131" s="3" t="s">
        <v>1277</v>
      </c>
      <c r="B131" s="4"/>
      <c r="C131" s="4"/>
      <c r="D131" s="4"/>
      <c r="E131" s="4"/>
      <c r="F131" s="4"/>
      <c r="G131" s="4"/>
      <c r="H131" s="5"/>
    </row>
    <row r="132" spans="1:8" x14ac:dyDescent="0.2">
      <c r="A132" s="1" t="s">
        <v>1278</v>
      </c>
    </row>
    <row r="133" spans="1:8" x14ac:dyDescent="0.2">
      <c r="A133" s="1" t="s">
        <v>1279</v>
      </c>
    </row>
    <row r="134" spans="1:8" x14ac:dyDescent="0.2">
      <c r="A134" s="1" t="s">
        <v>1283</v>
      </c>
    </row>
    <row r="136" spans="1:8" x14ac:dyDescent="0.2">
      <c r="C136" s="1" t="s">
        <v>1289</v>
      </c>
      <c r="D136" s="1" t="s">
        <v>1282</v>
      </c>
    </row>
    <row r="137" spans="1:8" x14ac:dyDescent="0.2">
      <c r="C137" s="1">
        <v>0</v>
      </c>
      <c r="D137" s="1">
        <v>-50</v>
      </c>
    </row>
    <row r="138" spans="1:8" x14ac:dyDescent="0.2">
      <c r="C138" s="1">
        <v>1</v>
      </c>
      <c r="D138" s="1">
        <v>0</v>
      </c>
    </row>
    <row r="139" spans="1:8" x14ac:dyDescent="0.2">
      <c r="C139" s="1">
        <v>2</v>
      </c>
      <c r="D139" s="1">
        <v>30</v>
      </c>
    </row>
    <row r="140" spans="1:8" x14ac:dyDescent="0.2">
      <c r="C140" s="1">
        <v>3</v>
      </c>
      <c r="D140" s="1">
        <v>25</v>
      </c>
    </row>
    <row r="141" spans="1:8" x14ac:dyDescent="0.2">
      <c r="C141" s="1">
        <v>4</v>
      </c>
      <c r="D141" s="1">
        <v>40</v>
      </c>
    </row>
    <row r="143" spans="1:8" x14ac:dyDescent="0.2">
      <c r="A143" s="1" t="s">
        <v>1280</v>
      </c>
    </row>
    <row r="145" spans="1:10" x14ac:dyDescent="0.2">
      <c r="A145" s="1" t="s">
        <v>1092</v>
      </c>
    </row>
    <row r="146" spans="1:10" x14ac:dyDescent="0.2">
      <c r="A146" s="1" t="s">
        <v>1281</v>
      </c>
    </row>
    <row r="148" spans="1:10" x14ac:dyDescent="0.2">
      <c r="A148" s="2" t="s">
        <v>27</v>
      </c>
    </row>
    <row r="149" spans="1:10" x14ac:dyDescent="0.2">
      <c r="I149" s="12" t="s">
        <v>1286</v>
      </c>
    </row>
    <row r="150" spans="1:10" x14ac:dyDescent="0.2">
      <c r="A150" s="1" t="s">
        <v>1284</v>
      </c>
      <c r="I150" s="12" t="s">
        <v>1287</v>
      </c>
    </row>
    <row r="151" spans="1:10" x14ac:dyDescent="0.2">
      <c r="I151" s="12" t="s">
        <v>1288</v>
      </c>
    </row>
    <row r="152" spans="1:10" x14ac:dyDescent="0.2">
      <c r="C152" s="1" t="s">
        <v>1289</v>
      </c>
      <c r="D152" s="1" t="s">
        <v>1282</v>
      </c>
      <c r="I152" s="32" t="s">
        <v>1285</v>
      </c>
    </row>
    <row r="153" spans="1:10" x14ac:dyDescent="0.2">
      <c r="C153" s="12">
        <v>0</v>
      </c>
      <c r="D153" s="12">
        <v>-50</v>
      </c>
      <c r="H153" s="12">
        <v>8</v>
      </c>
      <c r="I153" s="12" t="s">
        <v>42</v>
      </c>
      <c r="J153" s="1" t="s">
        <v>1321</v>
      </c>
    </row>
    <row r="154" spans="1:10" x14ac:dyDescent="0.2">
      <c r="C154" s="12">
        <v>1</v>
      </c>
      <c r="D154" s="12">
        <v>0</v>
      </c>
      <c r="F154" s="12" t="s">
        <v>1291</v>
      </c>
      <c r="I154" s="1" t="s">
        <v>1290</v>
      </c>
    </row>
    <row r="155" spans="1:10" x14ac:dyDescent="0.2">
      <c r="C155" s="12">
        <v>2</v>
      </c>
      <c r="D155" s="12">
        <v>30</v>
      </c>
      <c r="F155" s="156">
        <v>-50</v>
      </c>
      <c r="G155" s="12">
        <v>1</v>
      </c>
      <c r="H155" s="128" t="s">
        <v>1292</v>
      </c>
    </row>
    <row r="156" spans="1:10" x14ac:dyDescent="0.2">
      <c r="C156" s="12">
        <v>3</v>
      </c>
      <c r="D156" s="12">
        <v>25</v>
      </c>
      <c r="F156" s="156">
        <v>0</v>
      </c>
      <c r="G156" s="12">
        <v>2</v>
      </c>
      <c r="H156" s="128" t="s">
        <v>1293</v>
      </c>
    </row>
    <row r="157" spans="1:10" x14ac:dyDescent="0.2">
      <c r="C157" s="12">
        <v>4</v>
      </c>
      <c r="D157" s="12">
        <v>40</v>
      </c>
      <c r="F157" s="156">
        <v>30</v>
      </c>
      <c r="G157" s="12">
        <v>3</v>
      </c>
      <c r="H157" s="128" t="s">
        <v>1294</v>
      </c>
    </row>
    <row r="158" spans="1:10" x14ac:dyDescent="0.2">
      <c r="F158" s="156">
        <v>25</v>
      </c>
      <c r="G158" s="12">
        <v>4</v>
      </c>
      <c r="H158" s="128" t="s">
        <v>1295</v>
      </c>
    </row>
    <row r="159" spans="1:10" x14ac:dyDescent="0.2">
      <c r="F159" s="156">
        <v>40</v>
      </c>
      <c r="G159" s="12">
        <v>5</v>
      </c>
      <c r="H159" s="128" t="s">
        <v>1296</v>
      </c>
    </row>
    <row r="161" spans="3:10" x14ac:dyDescent="0.2">
      <c r="F161" s="1" t="s">
        <v>1297</v>
      </c>
      <c r="H161" s="16">
        <f>NPV(8%,F156:F159)+F155</f>
        <v>24.967164746415861</v>
      </c>
      <c r="I161" s="157" t="s">
        <v>1298</v>
      </c>
      <c r="J161" s="1" t="s">
        <v>1305</v>
      </c>
    </row>
    <row r="162" spans="3:10" x14ac:dyDescent="0.2">
      <c r="H162" s="36">
        <f>IRR(F155:F159)*100</f>
        <v>23.61368775864241</v>
      </c>
      <c r="I162" s="157" t="s">
        <v>1299</v>
      </c>
      <c r="J162" s="1" t="s">
        <v>1312</v>
      </c>
    </row>
    <row r="163" spans="3:10" x14ac:dyDescent="0.2">
      <c r="J163" s="1" t="s">
        <v>1313</v>
      </c>
    </row>
    <row r="164" spans="3:10" x14ac:dyDescent="0.2">
      <c r="C164" s="2" t="s">
        <v>1300</v>
      </c>
    </row>
    <row r="165" spans="3:10" x14ac:dyDescent="0.2">
      <c r="C165" s="1" t="s">
        <v>1301</v>
      </c>
    </row>
    <row r="166" spans="3:10" x14ac:dyDescent="0.2">
      <c r="C166" s="1" t="s">
        <v>1302</v>
      </c>
    </row>
    <row r="167" spans="3:10" x14ac:dyDescent="0.2">
      <c r="C167" s="1" t="s">
        <v>1303</v>
      </c>
    </row>
    <row r="168" spans="3:10" x14ac:dyDescent="0.2">
      <c r="C168" s="2" t="s">
        <v>1304</v>
      </c>
    </row>
    <row r="170" spans="3:10" x14ac:dyDescent="0.2">
      <c r="C170" s="1" t="s">
        <v>1306</v>
      </c>
    </row>
    <row r="171" spans="3:10" x14ac:dyDescent="0.2">
      <c r="C171" s="1" t="s">
        <v>1307</v>
      </c>
    </row>
    <row r="172" spans="3:10" x14ac:dyDescent="0.2">
      <c r="C172" s="1" t="s">
        <v>1308</v>
      </c>
    </row>
    <row r="173" spans="3:10" x14ac:dyDescent="0.2">
      <c r="C173" s="1" t="s">
        <v>1309</v>
      </c>
    </row>
    <row r="174" spans="3:10" x14ac:dyDescent="0.2">
      <c r="C174" s="1" t="s">
        <v>1310</v>
      </c>
    </row>
    <row r="175" spans="3:10" x14ac:dyDescent="0.2">
      <c r="C175" s="2" t="s">
        <v>1311</v>
      </c>
    </row>
    <row r="176" spans="3:10" ht="17" thickBot="1" x14ac:dyDescent="0.25"/>
    <row r="177" spans="1:10" ht="17" thickBot="1" x14ac:dyDescent="0.25">
      <c r="A177" s="3" t="s">
        <v>1314</v>
      </c>
      <c r="B177" s="4"/>
      <c r="C177" s="4"/>
      <c r="D177" s="4"/>
      <c r="E177" s="4"/>
      <c r="F177" s="4"/>
      <c r="G177" s="4"/>
      <c r="H177" s="5"/>
    </row>
    <row r="178" spans="1:10" x14ac:dyDescent="0.2">
      <c r="A178" s="1" t="s">
        <v>1315</v>
      </c>
    </row>
    <row r="179" spans="1:10" x14ac:dyDescent="0.2">
      <c r="A179" s="1" t="s">
        <v>1316</v>
      </c>
    </row>
    <row r="180" spans="1:10" x14ac:dyDescent="0.2">
      <c r="A180" s="1" t="s">
        <v>1317</v>
      </c>
    </row>
    <row r="181" spans="1:10" x14ac:dyDescent="0.2">
      <c r="A181" s="1" t="s">
        <v>1318</v>
      </c>
    </row>
    <row r="183" spans="1:10" x14ac:dyDescent="0.2">
      <c r="A183" s="1" t="s">
        <v>1320</v>
      </c>
    </row>
    <row r="185" spans="1:10" x14ac:dyDescent="0.2">
      <c r="A185" s="1" t="s">
        <v>1319</v>
      </c>
    </row>
    <row r="187" spans="1:10" x14ac:dyDescent="0.2">
      <c r="I187" s="12" t="s">
        <v>1286</v>
      </c>
    </row>
    <row r="188" spans="1:10" x14ac:dyDescent="0.2">
      <c r="A188" s="1" t="s">
        <v>1284</v>
      </c>
      <c r="I188" s="12" t="s">
        <v>1287</v>
      </c>
    </row>
    <row r="189" spans="1:10" x14ac:dyDescent="0.2">
      <c r="I189" s="12" t="s">
        <v>1288</v>
      </c>
    </row>
    <row r="190" spans="1:10" x14ac:dyDescent="0.2">
      <c r="C190" s="1" t="s">
        <v>1289</v>
      </c>
      <c r="D190" s="1" t="s">
        <v>1282</v>
      </c>
      <c r="I190" s="32" t="s">
        <v>1285</v>
      </c>
    </row>
    <row r="191" spans="1:10" x14ac:dyDescent="0.2">
      <c r="C191" s="12">
        <v>0</v>
      </c>
      <c r="D191" s="12">
        <v>-2</v>
      </c>
      <c r="H191" s="12">
        <v>7</v>
      </c>
      <c r="I191" s="12" t="s">
        <v>42</v>
      </c>
      <c r="J191" s="1" t="s">
        <v>1321</v>
      </c>
    </row>
    <row r="192" spans="1:10" x14ac:dyDescent="0.2">
      <c r="C192" s="12">
        <v>1</v>
      </c>
      <c r="D192" s="12">
        <v>0.5</v>
      </c>
      <c r="F192" s="12" t="s">
        <v>1291</v>
      </c>
      <c r="I192" s="1" t="s">
        <v>1290</v>
      </c>
    </row>
    <row r="193" spans="1:9" x14ac:dyDescent="0.2">
      <c r="C193" s="12">
        <v>2</v>
      </c>
      <c r="D193" s="12">
        <v>0.5</v>
      </c>
      <c r="F193" s="156">
        <v>-2</v>
      </c>
      <c r="G193" s="12">
        <v>1</v>
      </c>
      <c r="H193" s="128" t="s">
        <v>1292</v>
      </c>
    </row>
    <row r="194" spans="1:9" x14ac:dyDescent="0.2">
      <c r="C194" s="12">
        <v>3</v>
      </c>
      <c r="D194" s="12">
        <v>0.5</v>
      </c>
      <c r="F194" s="156">
        <v>0.5</v>
      </c>
      <c r="G194" s="12">
        <v>2</v>
      </c>
      <c r="H194" s="128" t="s">
        <v>1293</v>
      </c>
    </row>
    <row r="195" spans="1:9" x14ac:dyDescent="0.2">
      <c r="C195" s="12">
        <v>4</v>
      </c>
      <c r="D195" s="12">
        <v>0.8</v>
      </c>
      <c r="F195" s="156">
        <v>0.5</v>
      </c>
      <c r="G195" s="12">
        <v>3</v>
      </c>
      <c r="H195" s="128" t="s">
        <v>1294</v>
      </c>
    </row>
    <row r="196" spans="1:9" x14ac:dyDescent="0.2">
      <c r="C196" s="12">
        <v>5</v>
      </c>
      <c r="D196" s="12">
        <v>0.8</v>
      </c>
      <c r="F196" s="156">
        <v>0.5</v>
      </c>
      <c r="G196" s="12">
        <v>4</v>
      </c>
      <c r="H196" s="128" t="s">
        <v>1295</v>
      </c>
    </row>
    <row r="197" spans="1:9" x14ac:dyDescent="0.2">
      <c r="F197" s="156">
        <v>0.8</v>
      </c>
      <c r="G197" s="12">
        <v>5</v>
      </c>
      <c r="H197" s="128" t="s">
        <v>1296</v>
      </c>
    </row>
    <row r="198" spans="1:9" x14ac:dyDescent="0.2">
      <c r="F198" s="156">
        <v>0.8</v>
      </c>
      <c r="G198" s="12">
        <v>6</v>
      </c>
      <c r="H198" s="128"/>
    </row>
    <row r="200" spans="1:9" x14ac:dyDescent="0.2">
      <c r="F200" s="1" t="s">
        <v>1297</v>
      </c>
      <c r="H200" s="158">
        <f>NPV(7%,F194:F198)+F193</f>
        <v>0.49286313543315519</v>
      </c>
      <c r="I200" s="157" t="s">
        <v>1298</v>
      </c>
    </row>
    <row r="201" spans="1:9" x14ac:dyDescent="0.2">
      <c r="H201" s="42">
        <f>IRR(F193:F198)*100</f>
        <v>14.937866205536409</v>
      </c>
      <c r="I201" s="157" t="s">
        <v>1299</v>
      </c>
    </row>
    <row r="203" spans="1:9" x14ac:dyDescent="0.2">
      <c r="A203" s="1" t="s">
        <v>1322</v>
      </c>
    </row>
    <row r="204" spans="1:9" x14ac:dyDescent="0.2">
      <c r="A204" s="1" t="s">
        <v>1323</v>
      </c>
    </row>
    <row r="205" spans="1:9" x14ac:dyDescent="0.2">
      <c r="A205" s="1" t="s">
        <v>1324</v>
      </c>
    </row>
    <row r="206" spans="1:9" x14ac:dyDescent="0.2">
      <c r="A206" s="1" t="s">
        <v>1325</v>
      </c>
    </row>
    <row r="207" spans="1:9" x14ac:dyDescent="0.2">
      <c r="A207" s="1" t="s">
        <v>1326</v>
      </c>
    </row>
    <row r="210" spans="1:9" x14ac:dyDescent="0.2">
      <c r="A210" s="1" t="s">
        <v>1327</v>
      </c>
    </row>
    <row r="211" spans="1:9" x14ac:dyDescent="0.2">
      <c r="A211" s="2" t="s">
        <v>1329</v>
      </c>
    </row>
    <row r="212" spans="1:9" x14ac:dyDescent="0.2">
      <c r="A212" s="1" t="s">
        <v>1330</v>
      </c>
    </row>
    <row r="213" spans="1:9" x14ac:dyDescent="0.2">
      <c r="A213" s="1" t="s">
        <v>1328</v>
      </c>
    </row>
    <row r="215" spans="1:9" x14ac:dyDescent="0.2">
      <c r="A215" s="2" t="s">
        <v>1331</v>
      </c>
    </row>
    <row r="216" spans="1:9" x14ac:dyDescent="0.2">
      <c r="A216" s="1" t="s">
        <v>1332</v>
      </c>
    </row>
    <row r="218" spans="1:9" x14ac:dyDescent="0.2">
      <c r="A218" s="75" t="s">
        <v>1333</v>
      </c>
      <c r="B218" s="29"/>
    </row>
    <row r="219" spans="1:9" x14ac:dyDescent="0.2">
      <c r="A219" s="1" t="s">
        <v>1334</v>
      </c>
      <c r="I219" s="151">
        <v>7.0000000000000007E-2</v>
      </c>
    </row>
    <row r="221" spans="1:9" x14ac:dyDescent="0.2">
      <c r="A221" s="2" t="s">
        <v>1335</v>
      </c>
    </row>
    <row r="222" spans="1:9" x14ac:dyDescent="0.2">
      <c r="A222" s="1" t="s">
        <v>1336</v>
      </c>
    </row>
    <row r="223" spans="1:9" x14ac:dyDescent="0.2">
      <c r="A223" s="1" t="s">
        <v>1337</v>
      </c>
    </row>
  </sheetData>
  <mergeCells count="8">
    <mergeCell ref="B93:B94"/>
    <mergeCell ref="C93:C94"/>
    <mergeCell ref="E93:F94"/>
    <mergeCell ref="E60:F61"/>
    <mergeCell ref="E63:F64"/>
    <mergeCell ref="C63:C64"/>
    <mergeCell ref="B63:B64"/>
    <mergeCell ref="E90:F9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1EE0C-B113-DC4B-B47E-428DF39D9955}">
  <dimension ref="A1:K190"/>
  <sheetViews>
    <sheetView rightToLeft="1" topLeftCell="A165" zoomScale="242" zoomScaleNormal="330" workbookViewId="0">
      <selection activeCell="E156" sqref="E156"/>
    </sheetView>
  </sheetViews>
  <sheetFormatPr baseColWidth="10" defaultRowHeight="16" x14ac:dyDescent="0.2"/>
  <cols>
    <col min="1" max="16384" width="10.83203125" style="1"/>
  </cols>
  <sheetData>
    <row r="1" spans="1:10" x14ac:dyDescent="0.2">
      <c r="A1" s="75" t="s">
        <v>1338</v>
      </c>
      <c r="B1" s="75"/>
      <c r="C1" s="75"/>
      <c r="D1" s="75"/>
      <c r="E1" s="75"/>
      <c r="F1" s="75"/>
      <c r="G1" s="75"/>
      <c r="H1" s="76">
        <v>45669</v>
      </c>
    </row>
    <row r="2" spans="1:10" ht="17" thickBot="1" x14ac:dyDescent="0.25"/>
    <row r="3" spans="1:10" ht="17" thickBot="1" x14ac:dyDescent="0.25">
      <c r="A3" s="3" t="s">
        <v>1339</v>
      </c>
      <c r="B3" s="6"/>
      <c r="C3" s="6"/>
      <c r="D3" s="6"/>
      <c r="E3" s="6"/>
      <c r="F3" s="6"/>
      <c r="G3" s="6"/>
      <c r="H3" s="7"/>
    </row>
    <row r="4" spans="1:10" x14ac:dyDescent="0.2">
      <c r="A4" s="1" t="s">
        <v>1340</v>
      </c>
    </row>
    <row r="5" spans="1:10" x14ac:dyDescent="0.2">
      <c r="A5" s="1" t="s">
        <v>1341</v>
      </c>
    </row>
    <row r="6" spans="1:10" ht="17" thickBot="1" x14ac:dyDescent="0.25"/>
    <row r="7" spans="1:10" x14ac:dyDescent="0.2">
      <c r="A7" s="21" t="s">
        <v>1342</v>
      </c>
      <c r="B7" s="31"/>
      <c r="C7" s="31"/>
      <c r="D7" s="31"/>
      <c r="E7" s="31"/>
      <c r="F7" s="31"/>
      <c r="G7" s="31"/>
      <c r="H7" s="23"/>
    </row>
    <row r="8" spans="1:10" x14ac:dyDescent="0.2">
      <c r="A8" s="24"/>
      <c r="B8" s="1" t="s">
        <v>1343</v>
      </c>
      <c r="C8" s="1" t="s">
        <v>1344</v>
      </c>
      <c r="H8" s="25"/>
    </row>
    <row r="9" spans="1:10" x14ac:dyDescent="0.2">
      <c r="A9" s="24"/>
      <c r="B9" s="1" t="s">
        <v>1345</v>
      </c>
      <c r="C9" s="1" t="s">
        <v>1347</v>
      </c>
      <c r="H9" s="25"/>
    </row>
    <row r="10" spans="1:10" x14ac:dyDescent="0.2">
      <c r="A10" s="24"/>
      <c r="C10" s="1" t="s">
        <v>1346</v>
      </c>
      <c r="H10" s="25"/>
    </row>
    <row r="11" spans="1:10" x14ac:dyDescent="0.2">
      <c r="A11" s="24"/>
      <c r="B11" s="1" t="s">
        <v>1348</v>
      </c>
      <c r="C11" s="1" t="s">
        <v>1349</v>
      </c>
      <c r="H11" s="25"/>
    </row>
    <row r="12" spans="1:10" x14ac:dyDescent="0.2">
      <c r="A12" s="24"/>
      <c r="C12" s="1" t="s">
        <v>1350</v>
      </c>
      <c r="H12" s="25"/>
    </row>
    <row r="13" spans="1:10" x14ac:dyDescent="0.2">
      <c r="A13" s="24"/>
      <c r="B13" s="1" t="s">
        <v>1351</v>
      </c>
      <c r="C13" s="1" t="s">
        <v>1352</v>
      </c>
      <c r="H13" s="25"/>
    </row>
    <row r="14" spans="1:10" ht="17" thickBot="1" x14ac:dyDescent="0.25">
      <c r="A14" s="26"/>
      <c r="B14" s="27" t="s">
        <v>1353</v>
      </c>
      <c r="C14" s="27" t="s">
        <v>1354</v>
      </c>
      <c r="D14" s="27"/>
      <c r="E14" s="27"/>
      <c r="F14" s="27"/>
      <c r="G14" s="27"/>
      <c r="H14" s="28"/>
    </row>
    <row r="15" spans="1:10" ht="17" thickBot="1" x14ac:dyDescent="0.25">
      <c r="J15" s="1" t="s">
        <v>1419</v>
      </c>
    </row>
    <row r="16" spans="1:10" x14ac:dyDescent="0.2">
      <c r="A16" s="21" t="s">
        <v>1355</v>
      </c>
      <c r="B16" s="31"/>
      <c r="C16" s="31"/>
      <c r="D16" s="31"/>
      <c r="E16" s="31"/>
      <c r="F16" s="31"/>
      <c r="G16" s="31"/>
      <c r="H16" s="23"/>
    </row>
    <row r="17" spans="1:8" x14ac:dyDescent="0.2">
      <c r="A17" s="24"/>
      <c r="B17" s="1" t="s">
        <v>1356</v>
      </c>
      <c r="H17" s="25"/>
    </row>
    <row r="18" spans="1:8" x14ac:dyDescent="0.2">
      <c r="A18" s="24"/>
      <c r="B18" s="1" t="s">
        <v>1357</v>
      </c>
      <c r="H18" s="25"/>
    </row>
    <row r="19" spans="1:8" ht="17" thickBot="1" x14ac:dyDescent="0.25">
      <c r="A19" s="26"/>
      <c r="B19" s="27" t="s">
        <v>1358</v>
      </c>
      <c r="C19" s="27"/>
      <c r="D19" s="27"/>
      <c r="E19" s="27"/>
      <c r="F19" s="27"/>
      <c r="G19" s="27"/>
      <c r="H19" s="28"/>
    </row>
    <row r="20" spans="1:8" ht="17" thickBot="1" x14ac:dyDescent="0.25"/>
    <row r="21" spans="1:8" x14ac:dyDescent="0.2">
      <c r="A21" s="21" t="s">
        <v>1359</v>
      </c>
      <c r="B21" s="31"/>
      <c r="C21" s="31"/>
      <c r="D21" s="31"/>
      <c r="E21" s="31"/>
      <c r="F21" s="31"/>
      <c r="G21" s="31"/>
      <c r="H21" s="23"/>
    </row>
    <row r="22" spans="1:8" x14ac:dyDescent="0.2">
      <c r="A22" s="24" t="s">
        <v>1360</v>
      </c>
      <c r="H22" s="25"/>
    </row>
    <row r="23" spans="1:8" x14ac:dyDescent="0.2">
      <c r="A23" s="24" t="s">
        <v>1361</v>
      </c>
      <c r="H23" s="25"/>
    </row>
    <row r="24" spans="1:8" x14ac:dyDescent="0.2">
      <c r="A24" s="24" t="s">
        <v>1362</v>
      </c>
      <c r="H24" s="25"/>
    </row>
    <row r="25" spans="1:8" x14ac:dyDescent="0.2">
      <c r="A25" s="24" t="s">
        <v>1363</v>
      </c>
      <c r="H25" s="25"/>
    </row>
    <row r="26" spans="1:8" x14ac:dyDescent="0.2">
      <c r="A26" s="24" t="s">
        <v>1364</v>
      </c>
      <c r="H26" s="25"/>
    </row>
    <row r="27" spans="1:8" x14ac:dyDescent="0.2">
      <c r="A27" s="24" t="s">
        <v>1365</v>
      </c>
      <c r="H27" s="25"/>
    </row>
    <row r="28" spans="1:8" x14ac:dyDescent="0.2">
      <c r="A28" s="24" t="s">
        <v>1366</v>
      </c>
      <c r="H28" s="25"/>
    </row>
    <row r="29" spans="1:8" ht="17" thickBot="1" x14ac:dyDescent="0.25">
      <c r="A29" s="26" t="s">
        <v>1367</v>
      </c>
      <c r="B29" s="27"/>
      <c r="C29" s="27"/>
      <c r="D29" s="27"/>
      <c r="E29" s="27"/>
      <c r="F29" s="27"/>
      <c r="G29" s="27"/>
      <c r="H29" s="28"/>
    </row>
    <row r="31" spans="1:8" x14ac:dyDescent="0.2">
      <c r="A31" s="2" t="s">
        <v>1368</v>
      </c>
    </row>
    <row r="33" spans="1:11" ht="17" thickBot="1" x14ac:dyDescent="0.25">
      <c r="A33" s="159" t="s">
        <v>1369</v>
      </c>
      <c r="B33" s="159"/>
      <c r="C33" s="160" t="s">
        <v>1370</v>
      </c>
      <c r="D33" s="159" t="s">
        <v>1371</v>
      </c>
      <c r="E33" s="159"/>
      <c r="F33" s="159"/>
      <c r="G33" s="159"/>
      <c r="H33" s="159"/>
      <c r="I33" s="2" t="s">
        <v>1410</v>
      </c>
      <c r="J33" s="2"/>
      <c r="K33" s="2" t="s">
        <v>1417</v>
      </c>
    </row>
    <row r="34" spans="1:11" x14ac:dyDescent="0.2">
      <c r="A34" s="161" t="s">
        <v>1373</v>
      </c>
      <c r="B34" s="161"/>
      <c r="C34" s="162" t="s">
        <v>1418</v>
      </c>
      <c r="D34" s="161" t="s">
        <v>1372</v>
      </c>
      <c r="E34" s="161"/>
      <c r="F34" s="161"/>
      <c r="G34" s="161"/>
      <c r="H34" s="161"/>
      <c r="I34" s="314" t="s">
        <v>1411</v>
      </c>
      <c r="J34" s="315"/>
      <c r="K34" s="310" t="s">
        <v>1416</v>
      </c>
    </row>
    <row r="35" spans="1:11" x14ac:dyDescent="0.2">
      <c r="A35" s="161"/>
      <c r="B35" s="161"/>
      <c r="C35" s="163"/>
      <c r="D35" s="161" t="s">
        <v>1374</v>
      </c>
      <c r="E35" s="161"/>
      <c r="F35" s="161"/>
      <c r="G35" s="161"/>
      <c r="H35" s="161"/>
      <c r="I35" s="316"/>
      <c r="J35" s="317"/>
      <c r="K35" s="311"/>
    </row>
    <row r="36" spans="1:11" x14ac:dyDescent="0.2">
      <c r="A36" s="161"/>
      <c r="B36" s="161"/>
      <c r="C36" s="163"/>
      <c r="D36" s="161" t="s">
        <v>1375</v>
      </c>
      <c r="E36" s="161"/>
      <c r="F36" s="161"/>
      <c r="G36" s="161"/>
      <c r="H36" s="161"/>
      <c r="I36" s="316"/>
      <c r="J36" s="317"/>
      <c r="K36" s="311"/>
    </row>
    <row r="37" spans="1:11" x14ac:dyDescent="0.2">
      <c r="A37" s="161"/>
      <c r="B37" s="161"/>
      <c r="C37" s="163"/>
      <c r="D37" s="161" t="s">
        <v>1376</v>
      </c>
      <c r="E37" s="161"/>
      <c r="F37" s="161"/>
      <c r="G37" s="161"/>
      <c r="H37" s="161"/>
      <c r="I37" s="316"/>
      <c r="J37" s="317"/>
      <c r="K37" s="311"/>
    </row>
    <row r="38" spans="1:11" x14ac:dyDescent="0.2">
      <c r="A38" s="161"/>
      <c r="B38" s="161"/>
      <c r="C38" s="163"/>
      <c r="D38" s="161" t="s">
        <v>1377</v>
      </c>
      <c r="E38" s="161"/>
      <c r="F38" s="161"/>
      <c r="G38" s="161"/>
      <c r="H38" s="161"/>
      <c r="I38" s="316"/>
      <c r="J38" s="317"/>
      <c r="K38" s="311"/>
    </row>
    <row r="39" spans="1:11" x14ac:dyDescent="0.2">
      <c r="A39" s="161"/>
      <c r="B39" s="161"/>
      <c r="C39" s="163"/>
      <c r="D39" s="161" t="s">
        <v>1378</v>
      </c>
      <c r="E39" s="161"/>
      <c r="F39" s="161"/>
      <c r="G39" s="161"/>
      <c r="H39" s="161"/>
      <c r="I39" s="316"/>
      <c r="J39" s="317"/>
      <c r="K39" s="311"/>
    </row>
    <row r="40" spans="1:11" x14ac:dyDescent="0.2">
      <c r="A40" s="161"/>
      <c r="B40" s="161"/>
      <c r="C40" s="163"/>
      <c r="D40" s="161" t="s">
        <v>1379</v>
      </c>
      <c r="E40" s="161"/>
      <c r="F40" s="161"/>
      <c r="G40" s="161"/>
      <c r="H40" s="161"/>
      <c r="I40" s="316"/>
      <c r="J40" s="317"/>
      <c r="K40" s="311"/>
    </row>
    <row r="41" spans="1:11" ht="17" thickBot="1" x14ac:dyDescent="0.25">
      <c r="A41" s="161"/>
      <c r="B41" s="161"/>
      <c r="C41" s="163"/>
      <c r="D41" s="161" t="s">
        <v>1380</v>
      </c>
      <c r="E41" s="161"/>
      <c r="F41" s="161"/>
      <c r="G41" s="161"/>
      <c r="H41" s="161"/>
      <c r="I41" s="318"/>
      <c r="J41" s="319"/>
      <c r="K41" s="311"/>
    </row>
    <row r="42" spans="1:11" x14ac:dyDescent="0.2">
      <c r="A42" s="164" t="s">
        <v>1381</v>
      </c>
      <c r="B42" s="164"/>
      <c r="C42" s="165" t="s">
        <v>1389</v>
      </c>
      <c r="D42" s="164" t="s">
        <v>1382</v>
      </c>
      <c r="E42" s="164"/>
      <c r="F42" s="164"/>
      <c r="G42" s="164"/>
      <c r="H42" s="164"/>
      <c r="I42" s="320" t="s">
        <v>1412</v>
      </c>
      <c r="J42" s="321"/>
      <c r="K42" s="311"/>
    </row>
    <row r="43" spans="1:11" x14ac:dyDescent="0.2">
      <c r="A43" s="164"/>
      <c r="B43" s="164"/>
      <c r="C43" s="166"/>
      <c r="D43" s="164" t="s">
        <v>1383</v>
      </c>
      <c r="E43" s="164"/>
      <c r="F43" s="164"/>
      <c r="G43" s="164"/>
      <c r="H43" s="164"/>
      <c r="I43" s="322"/>
      <c r="J43" s="323"/>
      <c r="K43" s="311"/>
    </row>
    <row r="44" spans="1:11" x14ac:dyDescent="0.2">
      <c r="A44" s="164"/>
      <c r="B44" s="164"/>
      <c r="C44" s="166"/>
      <c r="D44" s="164" t="s">
        <v>1384</v>
      </c>
      <c r="E44" s="164"/>
      <c r="F44" s="164"/>
      <c r="G44" s="164"/>
      <c r="H44" s="164"/>
      <c r="I44" s="322"/>
      <c r="J44" s="323"/>
      <c r="K44" s="311"/>
    </row>
    <row r="45" spans="1:11" x14ac:dyDescent="0.2">
      <c r="A45" s="164"/>
      <c r="B45" s="164"/>
      <c r="C45" s="166"/>
      <c r="D45" s="164" t="s">
        <v>1385</v>
      </c>
      <c r="E45" s="164"/>
      <c r="F45" s="164"/>
      <c r="G45" s="164"/>
      <c r="H45" s="164"/>
      <c r="I45" s="322"/>
      <c r="J45" s="323"/>
      <c r="K45" s="311"/>
    </row>
    <row r="46" spans="1:11" x14ac:dyDescent="0.2">
      <c r="A46" s="164"/>
      <c r="B46" s="164"/>
      <c r="C46" s="166"/>
      <c r="D46" s="164" t="s">
        <v>1387</v>
      </c>
      <c r="E46" s="164"/>
      <c r="F46" s="164"/>
      <c r="G46" s="164"/>
      <c r="H46" s="164"/>
      <c r="I46" s="322"/>
      <c r="J46" s="323"/>
      <c r="K46" s="311"/>
    </row>
    <row r="47" spans="1:11" ht="17" thickBot="1" x14ac:dyDescent="0.25">
      <c r="A47" s="164"/>
      <c r="B47" s="164"/>
      <c r="C47" s="166"/>
      <c r="D47" s="164" t="s">
        <v>1386</v>
      </c>
      <c r="E47" s="164"/>
      <c r="F47" s="164"/>
      <c r="G47" s="164"/>
      <c r="H47" s="164"/>
      <c r="I47" s="324"/>
      <c r="J47" s="325"/>
      <c r="K47" s="311"/>
    </row>
    <row r="48" spans="1:11" ht="16" customHeight="1" x14ac:dyDescent="0.2">
      <c r="A48" s="167" t="s">
        <v>1388</v>
      </c>
      <c r="B48" s="167"/>
      <c r="C48" s="168" t="s">
        <v>1409</v>
      </c>
      <c r="D48" s="167" t="s">
        <v>1390</v>
      </c>
      <c r="E48" s="167"/>
      <c r="F48" s="167"/>
      <c r="G48" s="167"/>
      <c r="H48" s="167"/>
      <c r="I48" s="326" t="s">
        <v>1413</v>
      </c>
      <c r="J48" s="327"/>
      <c r="K48" s="311"/>
    </row>
    <row r="49" spans="1:11" x14ac:dyDescent="0.2">
      <c r="A49" s="167"/>
      <c r="B49" s="167"/>
      <c r="C49" s="168"/>
      <c r="D49" s="167" t="s">
        <v>1391</v>
      </c>
      <c r="E49" s="167"/>
      <c r="F49" s="167"/>
      <c r="G49" s="167"/>
      <c r="H49" s="167"/>
      <c r="I49" s="328"/>
      <c r="J49" s="329"/>
      <c r="K49" s="311"/>
    </row>
    <row r="50" spans="1:11" x14ac:dyDescent="0.2">
      <c r="A50" s="167"/>
      <c r="B50" s="167"/>
      <c r="C50" s="168"/>
      <c r="D50" s="167" t="s">
        <v>1392</v>
      </c>
      <c r="E50" s="167"/>
      <c r="F50" s="167"/>
      <c r="G50" s="167"/>
      <c r="H50" s="167"/>
      <c r="I50" s="328"/>
      <c r="J50" s="329"/>
      <c r="K50" s="311"/>
    </row>
    <row r="51" spans="1:11" x14ac:dyDescent="0.2">
      <c r="A51" s="167"/>
      <c r="B51" s="167"/>
      <c r="C51" s="168"/>
      <c r="D51" s="167" t="s">
        <v>1393</v>
      </c>
      <c r="E51" s="167"/>
      <c r="F51" s="167"/>
      <c r="G51" s="167"/>
      <c r="H51" s="167"/>
      <c r="I51" s="328"/>
      <c r="J51" s="329"/>
      <c r="K51" s="311"/>
    </row>
    <row r="52" spans="1:11" x14ac:dyDescent="0.2">
      <c r="A52" s="167"/>
      <c r="B52" s="167"/>
      <c r="C52" s="168"/>
      <c r="D52" s="167" t="s">
        <v>1394</v>
      </c>
      <c r="E52" s="167"/>
      <c r="F52" s="167"/>
      <c r="G52" s="167"/>
      <c r="H52" s="167"/>
      <c r="I52" s="328"/>
      <c r="J52" s="329"/>
      <c r="K52" s="311"/>
    </row>
    <row r="53" spans="1:11" ht="17" thickBot="1" x14ac:dyDescent="0.25">
      <c r="A53" s="167"/>
      <c r="B53" s="167"/>
      <c r="C53" s="168"/>
      <c r="D53" s="167" t="s">
        <v>1395</v>
      </c>
      <c r="E53" s="167"/>
      <c r="F53" s="167"/>
      <c r="G53" s="167"/>
      <c r="H53" s="167"/>
      <c r="I53" s="330"/>
      <c r="J53" s="331"/>
      <c r="K53" s="311"/>
    </row>
    <row r="54" spans="1:11" ht="17" thickBot="1" x14ac:dyDescent="0.25">
      <c r="A54" s="169" t="s">
        <v>1396</v>
      </c>
      <c r="B54" s="169"/>
      <c r="C54" s="170">
        <v>8</v>
      </c>
      <c r="D54" s="169" t="s">
        <v>1397</v>
      </c>
      <c r="E54" s="169"/>
      <c r="F54" s="169"/>
      <c r="G54" s="169"/>
      <c r="H54" s="169"/>
      <c r="I54" s="332" t="s">
        <v>1414</v>
      </c>
      <c r="J54" s="333"/>
      <c r="K54" s="311"/>
    </row>
    <row r="55" spans="1:11" x14ac:dyDescent="0.2">
      <c r="A55" s="171"/>
      <c r="B55" s="171"/>
      <c r="C55" s="172"/>
      <c r="D55" s="171" t="s">
        <v>1398</v>
      </c>
      <c r="E55" s="171"/>
      <c r="F55" s="171"/>
      <c r="G55" s="171"/>
      <c r="H55" s="171"/>
      <c r="I55" s="334" t="s">
        <v>1415</v>
      </c>
      <c r="J55" s="335"/>
      <c r="K55" s="311"/>
    </row>
    <row r="56" spans="1:11" x14ac:dyDescent="0.2">
      <c r="A56" s="171" t="s">
        <v>1402</v>
      </c>
      <c r="B56" s="171"/>
      <c r="C56" s="172">
        <v>9</v>
      </c>
      <c r="D56" s="171" t="s">
        <v>1399</v>
      </c>
      <c r="E56" s="171"/>
      <c r="F56" s="171"/>
      <c r="G56" s="171"/>
      <c r="H56" s="171"/>
      <c r="I56" s="336"/>
      <c r="J56" s="337"/>
      <c r="K56" s="311"/>
    </row>
    <row r="57" spans="1:11" x14ac:dyDescent="0.2">
      <c r="A57" s="171"/>
      <c r="B57" s="171"/>
      <c r="C57" s="172"/>
      <c r="D57" s="171" t="s">
        <v>1400</v>
      </c>
      <c r="E57" s="171"/>
      <c r="F57" s="171"/>
      <c r="G57" s="171"/>
      <c r="H57" s="171"/>
      <c r="I57" s="336"/>
      <c r="J57" s="337"/>
      <c r="K57" s="311"/>
    </row>
    <row r="58" spans="1:11" ht="17" thickBot="1" x14ac:dyDescent="0.25">
      <c r="A58" s="171"/>
      <c r="B58" s="171"/>
      <c r="C58" s="172"/>
      <c r="D58" s="171" t="s">
        <v>1401</v>
      </c>
      <c r="E58" s="171"/>
      <c r="F58" s="171"/>
      <c r="G58" s="171"/>
      <c r="H58" s="171"/>
      <c r="I58" s="338"/>
      <c r="J58" s="339"/>
      <c r="K58" s="311"/>
    </row>
    <row r="59" spans="1:11" x14ac:dyDescent="0.2">
      <c r="A59" s="173" t="s">
        <v>1403</v>
      </c>
      <c r="B59" s="173"/>
      <c r="C59" s="174">
        <v>10</v>
      </c>
      <c r="D59" s="173" t="s">
        <v>1404</v>
      </c>
      <c r="E59" s="173"/>
      <c r="F59" s="173"/>
      <c r="G59" s="173"/>
      <c r="H59" s="173"/>
      <c r="I59" s="302" t="s">
        <v>1414</v>
      </c>
      <c r="J59" s="303"/>
      <c r="K59" s="311"/>
    </row>
    <row r="60" spans="1:11" ht="17" thickBot="1" x14ac:dyDescent="0.25">
      <c r="A60" s="173"/>
      <c r="B60" s="173"/>
      <c r="C60" s="174"/>
      <c r="D60" s="173" t="s">
        <v>1405</v>
      </c>
      <c r="E60" s="173"/>
      <c r="F60" s="173"/>
      <c r="G60" s="173"/>
      <c r="H60" s="173"/>
      <c r="I60" s="304"/>
      <c r="J60" s="305"/>
      <c r="K60" s="311"/>
    </row>
    <row r="61" spans="1:11" x14ac:dyDescent="0.2">
      <c r="A61" s="175" t="s">
        <v>1406</v>
      </c>
      <c r="B61" s="175"/>
      <c r="C61" s="176">
        <v>10</v>
      </c>
      <c r="D61" s="175" t="s">
        <v>1407</v>
      </c>
      <c r="E61" s="175"/>
      <c r="F61" s="175"/>
      <c r="G61" s="175"/>
      <c r="H61" s="175"/>
      <c r="I61" s="306" t="s">
        <v>1414</v>
      </c>
      <c r="J61" s="307"/>
      <c r="K61" s="311"/>
    </row>
    <row r="62" spans="1:11" ht="17" thickBot="1" x14ac:dyDescent="0.25">
      <c r="A62" s="175"/>
      <c r="B62" s="175"/>
      <c r="C62" s="176"/>
      <c r="D62" s="175" t="s">
        <v>1408</v>
      </c>
      <c r="E62" s="175"/>
      <c r="F62" s="175"/>
      <c r="G62" s="175"/>
      <c r="H62" s="175"/>
      <c r="I62" s="308"/>
      <c r="J62" s="309"/>
      <c r="K62" s="312"/>
    </row>
    <row r="64" spans="1:11" x14ac:dyDescent="0.2">
      <c r="A64" s="177" t="s">
        <v>1420</v>
      </c>
      <c r="B64" s="177"/>
      <c r="C64" s="177"/>
      <c r="D64" s="177"/>
      <c r="E64" s="177"/>
      <c r="F64" s="177"/>
      <c r="G64" s="177"/>
      <c r="H64" s="177"/>
      <c r="I64" s="177"/>
      <c r="J64" s="177"/>
    </row>
    <row r="65" spans="1:10" x14ac:dyDescent="0.2">
      <c r="A65" s="1" t="s">
        <v>1421</v>
      </c>
    </row>
    <row r="66" spans="1:10" x14ac:dyDescent="0.2">
      <c r="A66" s="1" t="s">
        <v>1422</v>
      </c>
    </row>
    <row r="67" spans="1:10" x14ac:dyDescent="0.2">
      <c r="A67" s="1" t="s">
        <v>1423</v>
      </c>
    </row>
    <row r="68" spans="1:10" x14ac:dyDescent="0.2">
      <c r="A68" s="1" t="s">
        <v>1424</v>
      </c>
    </row>
    <row r="69" spans="1:10" x14ac:dyDescent="0.2">
      <c r="A69" s="1" t="s">
        <v>1425</v>
      </c>
    </row>
    <row r="70" spans="1:10" x14ac:dyDescent="0.2">
      <c r="A70" s="1" t="s">
        <v>1426</v>
      </c>
    </row>
    <row r="71" spans="1:10" x14ac:dyDescent="0.2">
      <c r="A71" s="1" t="s">
        <v>1427</v>
      </c>
    </row>
    <row r="72" spans="1:10" x14ac:dyDescent="0.2">
      <c r="A72" s="1" t="s">
        <v>1428</v>
      </c>
    </row>
    <row r="74" spans="1:10" x14ac:dyDescent="0.2">
      <c r="A74" s="1" t="s">
        <v>27</v>
      </c>
    </row>
    <row r="76" spans="1:10" x14ac:dyDescent="0.2">
      <c r="A76" s="1" t="s">
        <v>1429</v>
      </c>
    </row>
    <row r="77" spans="1:10" x14ac:dyDescent="0.2">
      <c r="A77" s="1" t="s">
        <v>1430</v>
      </c>
    </row>
    <row r="78" spans="1:10" x14ac:dyDescent="0.2">
      <c r="A78" s="1" t="s">
        <v>1431</v>
      </c>
      <c r="J78" s="1" t="s">
        <v>1451</v>
      </c>
    </row>
    <row r="79" spans="1:10" x14ac:dyDescent="0.2">
      <c r="J79" s="2" t="s">
        <v>1452</v>
      </c>
    </row>
    <row r="80" spans="1:10" x14ac:dyDescent="0.2">
      <c r="C80" s="182" t="s">
        <v>829</v>
      </c>
      <c r="D80" s="181"/>
      <c r="E80" s="181"/>
      <c r="F80" s="181"/>
      <c r="J80" s="1" t="s">
        <v>1453</v>
      </c>
    </row>
    <row r="81" spans="1:10" x14ac:dyDescent="0.2">
      <c r="C81" s="182" t="s">
        <v>1448</v>
      </c>
      <c r="D81" s="181"/>
      <c r="E81" s="181"/>
      <c r="F81" s="181"/>
      <c r="J81" s="1" t="s">
        <v>1454</v>
      </c>
    </row>
    <row r="82" spans="1:10" x14ac:dyDescent="0.2">
      <c r="C82" s="182" t="s">
        <v>1449</v>
      </c>
      <c r="D82" s="181"/>
      <c r="E82" s="181"/>
      <c r="F82" s="181"/>
      <c r="J82" s="1" t="s">
        <v>1455</v>
      </c>
    </row>
    <row r="83" spans="1:10" x14ac:dyDescent="0.2">
      <c r="C83" s="182" t="s">
        <v>1443</v>
      </c>
      <c r="D83" s="182" t="s">
        <v>1442</v>
      </c>
      <c r="E83" s="181"/>
      <c r="F83" s="181"/>
      <c r="J83" s="1" t="s">
        <v>1456</v>
      </c>
    </row>
    <row r="84" spans="1:10" x14ac:dyDescent="0.2">
      <c r="C84" s="182" t="s">
        <v>1444</v>
      </c>
      <c r="D84" s="182" t="s">
        <v>1439</v>
      </c>
      <c r="E84" s="182" t="s">
        <v>959</v>
      </c>
      <c r="F84" s="181" t="s">
        <v>1435</v>
      </c>
      <c r="J84" s="1" t="s">
        <v>1457</v>
      </c>
    </row>
    <row r="85" spans="1:10" x14ac:dyDescent="0.2">
      <c r="C85" s="182" t="s">
        <v>1445</v>
      </c>
      <c r="D85" s="182" t="s">
        <v>1440</v>
      </c>
      <c r="E85" s="182" t="s">
        <v>1436</v>
      </c>
      <c r="F85" s="181" t="s">
        <v>1432</v>
      </c>
      <c r="J85" s="1" t="s">
        <v>1458</v>
      </c>
    </row>
    <row r="86" spans="1:10" x14ac:dyDescent="0.2">
      <c r="C86" s="182" t="s">
        <v>1446</v>
      </c>
      <c r="D86" s="182" t="s">
        <v>41</v>
      </c>
      <c r="E86" s="182" t="s">
        <v>1437</v>
      </c>
      <c r="F86" s="181" t="s">
        <v>1433</v>
      </c>
      <c r="J86" s="1" t="s">
        <v>1459</v>
      </c>
    </row>
    <row r="87" spans="1:10" x14ac:dyDescent="0.2">
      <c r="C87" s="183" t="s">
        <v>1447</v>
      </c>
      <c r="D87" s="183" t="s">
        <v>1441</v>
      </c>
      <c r="E87" s="183" t="s">
        <v>1438</v>
      </c>
      <c r="F87" s="184" t="s">
        <v>1434</v>
      </c>
      <c r="G87" s="58" t="s">
        <v>177</v>
      </c>
    </row>
    <row r="88" spans="1:10" x14ac:dyDescent="0.2">
      <c r="C88" s="12">
        <f>3*4</f>
        <v>12</v>
      </c>
      <c r="D88" s="12">
        <v>24</v>
      </c>
      <c r="E88" s="12">
        <f>2*12</f>
        <v>24</v>
      </c>
      <c r="F88" s="12">
        <f>2*12</f>
        <v>24</v>
      </c>
      <c r="G88" s="1" t="s">
        <v>45</v>
      </c>
      <c r="J88" s="2" t="s">
        <v>1460</v>
      </c>
    </row>
    <row r="89" spans="1:10" x14ac:dyDescent="0.2">
      <c r="C89" s="178">
        <f>((1+15%)^(1/4)-1)*100</f>
        <v>3.5558076341622114</v>
      </c>
      <c r="D89" s="178">
        <f>E89</f>
        <v>1.171491691985338</v>
      </c>
      <c r="E89" s="178">
        <f>((1+15%)^(1/12)-1)*100</f>
        <v>1.171491691985338</v>
      </c>
      <c r="F89" s="12">
        <f>((1+10%)^(1/12)-1)*100</f>
        <v>0.79741404289037643</v>
      </c>
      <c r="G89" s="1" t="s">
        <v>42</v>
      </c>
      <c r="J89" s="1" t="s">
        <v>1461</v>
      </c>
    </row>
    <row r="90" spans="1:10" x14ac:dyDescent="0.2">
      <c r="C90" s="179">
        <f>-D92-50000</f>
        <v>-214934.81980163525</v>
      </c>
      <c r="D90" s="93">
        <f>-E92</f>
        <v>-124714.41950974279</v>
      </c>
      <c r="E90" s="42">
        <f>-F92</f>
        <v>-52670.253771507851</v>
      </c>
      <c r="F90" s="12">
        <v>0</v>
      </c>
      <c r="G90" s="1" t="s">
        <v>39</v>
      </c>
      <c r="J90" s="1" t="s">
        <v>1462</v>
      </c>
    </row>
    <row r="91" spans="1:10" x14ac:dyDescent="0.2">
      <c r="C91" s="12">
        <v>-4000</v>
      </c>
      <c r="D91" s="12">
        <v>0</v>
      </c>
      <c r="E91" s="12">
        <v>-2000</v>
      </c>
      <c r="F91" s="12">
        <v>-2000</v>
      </c>
      <c r="G91" s="1" t="s">
        <v>47</v>
      </c>
      <c r="J91" s="1" t="s">
        <v>1463</v>
      </c>
    </row>
    <row r="92" spans="1:10" x14ac:dyDescent="0.2">
      <c r="C92" s="180">
        <f>FV(C89/100,C88,C91,C90)</f>
        <v>385483.27740057121</v>
      </c>
      <c r="D92" s="179">
        <f>FV(D89/100,D88,D91,D90)</f>
        <v>164934.81980163525</v>
      </c>
      <c r="E92" s="93">
        <f>FV(E89/100,E88,E91,E90)</f>
        <v>124714.41950974279</v>
      </c>
      <c r="F92" s="42">
        <f>FV(F89/100,F88,F91,F90)</f>
        <v>52670.253771507851</v>
      </c>
      <c r="G92" s="1" t="s">
        <v>50</v>
      </c>
      <c r="H92" s="1" t="s">
        <v>798</v>
      </c>
      <c r="J92" s="1" t="s">
        <v>1464</v>
      </c>
    </row>
    <row r="93" spans="1:10" x14ac:dyDescent="0.2">
      <c r="J93" s="1" t="s">
        <v>1465</v>
      </c>
    </row>
    <row r="94" spans="1:10" x14ac:dyDescent="0.2">
      <c r="A94" s="2" t="s">
        <v>1450</v>
      </c>
      <c r="J94" s="1" t="s">
        <v>1466</v>
      </c>
    </row>
    <row r="95" spans="1:10" x14ac:dyDescent="0.2">
      <c r="J95" s="1" t="s">
        <v>1467</v>
      </c>
    </row>
    <row r="96" spans="1:10" x14ac:dyDescent="0.2">
      <c r="J96" s="1" t="s">
        <v>1468</v>
      </c>
    </row>
    <row r="97" spans="1:10" x14ac:dyDescent="0.2">
      <c r="J97" s="1" t="s">
        <v>1469</v>
      </c>
    </row>
    <row r="98" spans="1:10" x14ac:dyDescent="0.2">
      <c r="J98" s="1" t="s">
        <v>1471</v>
      </c>
    </row>
    <row r="99" spans="1:10" x14ac:dyDescent="0.2">
      <c r="J99" s="1" t="s">
        <v>1470</v>
      </c>
    </row>
    <row r="101" spans="1:10" x14ac:dyDescent="0.2">
      <c r="A101" s="186" t="s">
        <v>1472</v>
      </c>
      <c r="B101" s="185"/>
      <c r="C101" s="185"/>
      <c r="D101" s="185"/>
      <c r="E101" s="185"/>
      <c r="F101" s="185"/>
      <c r="G101" s="185"/>
      <c r="H101" s="185"/>
    </row>
    <row r="102" spans="1:10" x14ac:dyDescent="0.2">
      <c r="A102" s="1" t="s">
        <v>1473</v>
      </c>
    </row>
    <row r="103" spans="1:10" x14ac:dyDescent="0.2">
      <c r="A103" s="1" t="s">
        <v>1474</v>
      </c>
    </row>
    <row r="104" spans="1:10" x14ac:dyDescent="0.2">
      <c r="A104" s="1" t="s">
        <v>1475</v>
      </c>
    </row>
    <row r="105" spans="1:10" x14ac:dyDescent="0.2">
      <c r="A105" s="1" t="s">
        <v>1476</v>
      </c>
    </row>
    <row r="106" spans="1:10" x14ac:dyDescent="0.2">
      <c r="A106" s="1" t="s">
        <v>1477</v>
      </c>
    </row>
    <row r="108" spans="1:10" x14ac:dyDescent="0.2">
      <c r="A108" s="1" t="s">
        <v>1478</v>
      </c>
    </row>
    <row r="109" spans="1:10" x14ac:dyDescent="0.2">
      <c r="A109" s="1" t="s">
        <v>1479</v>
      </c>
    </row>
    <row r="110" spans="1:10" x14ac:dyDescent="0.2">
      <c r="A110" s="1" t="s">
        <v>1490</v>
      </c>
    </row>
    <row r="112" spans="1:10" x14ac:dyDescent="0.2">
      <c r="A112" s="1" t="s">
        <v>27</v>
      </c>
    </row>
    <row r="114" spans="1:8" x14ac:dyDescent="0.2">
      <c r="A114" s="2" t="s">
        <v>1496</v>
      </c>
    </row>
    <row r="115" spans="1:8" x14ac:dyDescent="0.2">
      <c r="A115" s="1" t="s">
        <v>1480</v>
      </c>
    </row>
    <row r="116" spans="1:8" x14ac:dyDescent="0.2">
      <c r="A116" s="1" t="s">
        <v>1481</v>
      </c>
    </row>
    <row r="118" spans="1:8" x14ac:dyDescent="0.2">
      <c r="E118" s="1">
        <v>20</v>
      </c>
      <c r="F118" s="1" t="s">
        <v>45</v>
      </c>
      <c r="G118" s="1" t="s">
        <v>1482</v>
      </c>
    </row>
    <row r="119" spans="1:8" x14ac:dyDescent="0.2">
      <c r="E119" s="187">
        <f>RATE(E118,E121,E120,E122)*100</f>
        <v>0.80759584087683833</v>
      </c>
      <c r="F119" s="1" t="s">
        <v>42</v>
      </c>
      <c r="G119" s="12" t="s">
        <v>51</v>
      </c>
      <c r="H119" s="1" t="s">
        <v>1487</v>
      </c>
    </row>
    <row r="120" spans="1:8" x14ac:dyDescent="0.2">
      <c r="D120" s="1" t="s">
        <v>1484</v>
      </c>
      <c r="E120" s="1">
        <f>100000*0.92</f>
        <v>92000</v>
      </c>
      <c r="F120" s="1" t="s">
        <v>39</v>
      </c>
      <c r="G120" s="1" t="s">
        <v>1483</v>
      </c>
    </row>
    <row r="121" spans="1:8" x14ac:dyDescent="0.2">
      <c r="E121" s="1">
        <v>-5000</v>
      </c>
      <c r="F121" s="1" t="s">
        <v>47</v>
      </c>
      <c r="G121" s="1" t="s">
        <v>1485</v>
      </c>
    </row>
    <row r="122" spans="1:8" x14ac:dyDescent="0.2">
      <c r="E122" s="1">
        <v>0</v>
      </c>
      <c r="F122" s="1" t="s">
        <v>50</v>
      </c>
      <c r="G122" s="1" t="s">
        <v>1486</v>
      </c>
    </row>
    <row r="124" spans="1:8" x14ac:dyDescent="0.2">
      <c r="A124" s="1" t="s">
        <v>1488</v>
      </c>
    </row>
    <row r="125" spans="1:8" x14ac:dyDescent="0.2">
      <c r="B125" s="2" t="s">
        <v>1489</v>
      </c>
      <c r="C125" s="2"/>
      <c r="D125" s="2"/>
      <c r="F125" s="188">
        <f>(1+0.807596%)^12-1</f>
        <v>0.10133412678184484</v>
      </c>
    </row>
    <row r="127" spans="1:8" x14ac:dyDescent="0.2">
      <c r="A127" s="2" t="s">
        <v>1491</v>
      </c>
      <c r="B127" s="1" t="s">
        <v>1492</v>
      </c>
      <c r="D127" s="189">
        <v>0.10133399999999999</v>
      </c>
    </row>
    <row r="128" spans="1:8" x14ac:dyDescent="0.2">
      <c r="B128" s="1" t="s">
        <v>1493</v>
      </c>
      <c r="D128" s="151">
        <v>0.1</v>
      </c>
    </row>
    <row r="130" spans="1:8" x14ac:dyDescent="0.2">
      <c r="B130" s="2" t="s">
        <v>1494</v>
      </c>
    </row>
    <row r="131" spans="1:8" x14ac:dyDescent="0.2">
      <c r="B131" s="2" t="s">
        <v>1495</v>
      </c>
    </row>
    <row r="133" spans="1:8" x14ac:dyDescent="0.2">
      <c r="A133" s="186" t="s">
        <v>1472</v>
      </c>
      <c r="B133" s="185"/>
      <c r="C133" s="185"/>
      <c r="D133" s="185"/>
      <c r="E133" s="185"/>
      <c r="F133" s="185"/>
      <c r="G133" s="185"/>
      <c r="H133" s="185"/>
    </row>
    <row r="134" spans="1:8" x14ac:dyDescent="0.2">
      <c r="A134" s="1" t="s">
        <v>1499</v>
      </c>
    </row>
    <row r="135" spans="1:8" x14ac:dyDescent="0.2">
      <c r="A135" s="1" t="s">
        <v>1497</v>
      </c>
    </row>
    <row r="136" spans="1:8" x14ac:dyDescent="0.2">
      <c r="A136" s="1" t="s">
        <v>1498</v>
      </c>
    </row>
    <row r="137" spans="1:8" x14ac:dyDescent="0.2">
      <c r="A137" s="1" t="s">
        <v>711</v>
      </c>
    </row>
    <row r="138" spans="1:8" x14ac:dyDescent="0.2">
      <c r="A138" s="1" t="s">
        <v>1500</v>
      </c>
    </row>
    <row r="139" spans="1:8" x14ac:dyDescent="0.2">
      <c r="A139" s="1" t="s">
        <v>1501</v>
      </c>
    </row>
    <row r="140" spans="1:8" x14ac:dyDescent="0.2">
      <c r="A140" s="1" t="s">
        <v>1502</v>
      </c>
    </row>
    <row r="141" spans="1:8" x14ac:dyDescent="0.2">
      <c r="A141" s="1" t="s">
        <v>1503</v>
      </c>
    </row>
    <row r="143" spans="1:8" x14ac:dyDescent="0.2">
      <c r="A143" s="2" t="s">
        <v>27</v>
      </c>
    </row>
    <row r="145" spans="1:9" x14ac:dyDescent="0.2">
      <c r="A145" s="78" t="s">
        <v>1500</v>
      </c>
    </row>
    <row r="146" spans="1:9" x14ac:dyDescent="0.2">
      <c r="A146" s="1" t="s">
        <v>1504</v>
      </c>
    </row>
    <row r="147" spans="1:9" x14ac:dyDescent="0.2">
      <c r="A147" s="1" t="s">
        <v>1505</v>
      </c>
    </row>
    <row r="149" spans="1:9" x14ac:dyDescent="0.2">
      <c r="A149" s="1" t="s">
        <v>1510</v>
      </c>
      <c r="F149" s="58"/>
      <c r="G149" s="58" t="s">
        <v>177</v>
      </c>
    </row>
    <row r="150" spans="1:9" x14ac:dyDescent="0.2">
      <c r="A150" s="1" t="s">
        <v>1511</v>
      </c>
      <c r="F150" s="12">
        <f>30*12</f>
        <v>360</v>
      </c>
      <c r="G150" s="1" t="s">
        <v>45</v>
      </c>
      <c r="H150" s="1" t="s">
        <v>1506</v>
      </c>
    </row>
    <row r="151" spans="1:9" x14ac:dyDescent="0.2">
      <c r="A151" s="1" t="s">
        <v>1512</v>
      </c>
      <c r="F151" s="12">
        <f>((1+8%)^(1/12)-1)*100</f>
        <v>0.64340301100034303</v>
      </c>
      <c r="G151" s="1" t="s">
        <v>42</v>
      </c>
      <c r="H151" s="1" t="s">
        <v>1507</v>
      </c>
    </row>
    <row r="152" spans="1:9" x14ac:dyDescent="0.2">
      <c r="F152" s="12">
        <v>800000</v>
      </c>
      <c r="G152" s="1" t="s">
        <v>39</v>
      </c>
      <c r="H152" s="1" t="s">
        <v>683</v>
      </c>
    </row>
    <row r="153" spans="1:9" x14ac:dyDescent="0.2">
      <c r="D153" s="59" t="s">
        <v>1141</v>
      </c>
      <c r="F153" s="42">
        <f>PMT(F151/100,F150,F152)</f>
        <v>-5715.1838100803443</v>
      </c>
      <c r="G153" s="1" t="s">
        <v>47</v>
      </c>
      <c r="H153" s="1" t="s">
        <v>51</v>
      </c>
      <c r="I153" s="2" t="s">
        <v>1509</v>
      </c>
    </row>
    <row r="154" spans="1:9" x14ac:dyDescent="0.2">
      <c r="C154" s="12">
        <v>1</v>
      </c>
      <c r="D154" s="12" t="s">
        <v>1192</v>
      </c>
      <c r="F154" s="12">
        <v>0</v>
      </c>
      <c r="G154" s="1" t="s">
        <v>50</v>
      </c>
      <c r="H154" s="1" t="s">
        <v>1508</v>
      </c>
    </row>
    <row r="155" spans="1:9" x14ac:dyDescent="0.2">
      <c r="C155" s="12">
        <v>12</v>
      </c>
      <c r="D155" s="12" t="s">
        <v>1193</v>
      </c>
    </row>
    <row r="156" spans="1:9" ht="17" thickBot="1" x14ac:dyDescent="0.25"/>
    <row r="157" spans="1:9" x14ac:dyDescent="0.2">
      <c r="C157" s="154">
        <v>-61520.26</v>
      </c>
      <c r="E157" s="12" t="s">
        <v>51</v>
      </c>
    </row>
    <row r="158" spans="1:9" x14ac:dyDescent="0.2">
      <c r="C158" s="190" t="s">
        <v>1513</v>
      </c>
    </row>
    <row r="159" spans="1:9" x14ac:dyDescent="0.2">
      <c r="C159" s="190" t="s">
        <v>1514</v>
      </c>
    </row>
    <row r="160" spans="1:9" x14ac:dyDescent="0.2">
      <c r="C160" s="190" t="s">
        <v>1516</v>
      </c>
    </row>
    <row r="161" spans="1:11" ht="17" thickBot="1" x14ac:dyDescent="0.25">
      <c r="C161" s="44" t="s">
        <v>1515</v>
      </c>
    </row>
    <row r="163" spans="1:11" x14ac:dyDescent="0.2">
      <c r="A163" s="78" t="s">
        <v>1501</v>
      </c>
    </row>
    <row r="164" spans="1:11" x14ac:dyDescent="0.2">
      <c r="A164" s="1" t="s">
        <v>1517</v>
      </c>
      <c r="G164" s="1">
        <f>12*12</f>
        <v>144</v>
      </c>
      <c r="J164" s="59" t="s">
        <v>1141</v>
      </c>
    </row>
    <row r="165" spans="1:11" x14ac:dyDescent="0.2">
      <c r="I165" s="12">
        <v>144</v>
      </c>
      <c r="J165" s="12" t="s">
        <v>1192</v>
      </c>
    </row>
    <row r="166" spans="1:11" x14ac:dyDescent="0.2">
      <c r="I166" s="12">
        <v>144</v>
      </c>
      <c r="J166" s="12" t="s">
        <v>1193</v>
      </c>
    </row>
    <row r="167" spans="1:11" ht="17" thickBot="1" x14ac:dyDescent="0.25"/>
    <row r="168" spans="1:11" x14ac:dyDescent="0.2">
      <c r="I168" s="154">
        <v>665984.54</v>
      </c>
      <c r="K168" s="12" t="s">
        <v>51</v>
      </c>
    </row>
    <row r="169" spans="1:11" x14ac:dyDescent="0.2">
      <c r="I169" s="190" t="s">
        <v>1518</v>
      </c>
    </row>
    <row r="170" spans="1:11" x14ac:dyDescent="0.2">
      <c r="I170" s="190" t="s">
        <v>1519</v>
      </c>
    </row>
    <row r="171" spans="1:11" x14ac:dyDescent="0.2">
      <c r="I171" s="190" t="s">
        <v>1524</v>
      </c>
    </row>
    <row r="172" spans="1:11" ht="17" thickBot="1" x14ac:dyDescent="0.25">
      <c r="I172" s="44" t="s">
        <v>1520</v>
      </c>
    </row>
    <row r="174" spans="1:11" x14ac:dyDescent="0.2">
      <c r="A174" s="78" t="s">
        <v>1521</v>
      </c>
      <c r="B174" s="78"/>
      <c r="C174" s="78"/>
      <c r="D174" s="78"/>
      <c r="E174" s="78"/>
      <c r="F174" s="78"/>
      <c r="G174" s="78"/>
      <c r="H174" s="78"/>
    </row>
    <row r="176" spans="1:11" x14ac:dyDescent="0.2">
      <c r="A176" s="1" t="s">
        <v>1522</v>
      </c>
      <c r="G176" s="1">
        <f>14*12</f>
        <v>168</v>
      </c>
      <c r="J176" s="59" t="s">
        <v>1141</v>
      </c>
    </row>
    <row r="177" spans="1:11" x14ac:dyDescent="0.2">
      <c r="I177" s="12">
        <v>168</v>
      </c>
      <c r="J177" s="12" t="s">
        <v>1192</v>
      </c>
    </row>
    <row r="178" spans="1:11" x14ac:dyDescent="0.2">
      <c r="I178" s="12">
        <f>I177</f>
        <v>168</v>
      </c>
      <c r="J178" s="12" t="s">
        <v>1193</v>
      </c>
    </row>
    <row r="179" spans="1:11" ht="17" thickBot="1" x14ac:dyDescent="0.25"/>
    <row r="180" spans="1:11" x14ac:dyDescent="0.2">
      <c r="G180" s="1" t="s">
        <v>1525</v>
      </c>
      <c r="I180" s="154">
        <v>628994.14</v>
      </c>
      <c r="K180" s="12" t="s">
        <v>51</v>
      </c>
    </row>
    <row r="181" spans="1:11" x14ac:dyDescent="0.2">
      <c r="I181" s="190" t="s">
        <v>1518</v>
      </c>
    </row>
    <row r="182" spans="1:11" x14ac:dyDescent="0.2">
      <c r="I182" s="190" t="s">
        <v>1519</v>
      </c>
    </row>
    <row r="183" spans="1:11" x14ac:dyDescent="0.2">
      <c r="I183" s="190" t="s">
        <v>1523</v>
      </c>
    </row>
    <row r="184" spans="1:11" ht="17" thickBot="1" x14ac:dyDescent="0.25">
      <c r="I184" s="44" t="s">
        <v>1520</v>
      </c>
    </row>
    <row r="186" spans="1:11" x14ac:dyDescent="0.2">
      <c r="A186" s="1" t="s">
        <v>1526</v>
      </c>
    </row>
    <row r="189" spans="1:11" x14ac:dyDescent="0.2">
      <c r="A189" s="1" t="s">
        <v>1527</v>
      </c>
      <c r="F189" s="313">
        <f>628994.14*109.5/104</f>
        <v>662258.2531730769</v>
      </c>
    </row>
    <row r="190" spans="1:11" x14ac:dyDescent="0.2">
      <c r="F190" s="313"/>
    </row>
  </sheetData>
  <mergeCells count="9">
    <mergeCell ref="I59:J60"/>
    <mergeCell ref="I61:J62"/>
    <mergeCell ref="K34:K62"/>
    <mergeCell ref="F189:F190"/>
    <mergeCell ref="I34:J41"/>
    <mergeCell ref="I42:J47"/>
    <mergeCell ref="I48:J53"/>
    <mergeCell ref="I54:J54"/>
    <mergeCell ref="I55:J5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7</vt:lpstr>
      <vt:lpstr>שיעור 8 מעודכן</vt:lpstr>
      <vt:lpstr>שיעור 9 מעודכן</vt:lpstr>
      <vt:lpstr>שיעור 9</vt:lpstr>
      <vt:lpstr>שיעור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2025-09-08T17:14:43Z</dcterms:modified>
</cp:coreProperties>
</file>