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4075" documentId="13_ncr:1_{597316DF-A655-C74C-A849-16DA9B92B8D7}" xr6:coauthVersionLast="47" xr6:coauthVersionMax="47" xr10:uidLastSave="{33F3373C-F1EE-744C-970A-CED42A9C5D79}"/>
  <bookViews>
    <workbookView xWindow="8240" yWindow="620" windowWidth="26740" windowHeight="20720" activeTab="8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7" sheetId="8" r:id="rId7"/>
    <sheet name="שיעור 8 מעודכן" sheetId="9" r:id="rId8"/>
    <sheet name="שיעור 9 מעודכן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3" i="9" l="1"/>
  <c r="C403" i="9"/>
  <c r="E407" i="9" s="1"/>
  <c r="C402" i="9"/>
  <c r="J254" i="10"/>
  <c r="J253" i="10"/>
  <c r="F246" i="10"/>
  <c r="F245" i="10"/>
  <c r="F242" i="10"/>
  <c r="F243" i="10"/>
  <c r="F241" i="10"/>
  <c r="F240" i="10"/>
  <c r="E246" i="10"/>
  <c r="D246" i="10"/>
  <c r="C246" i="10"/>
  <c r="E245" i="10"/>
  <c r="D245" i="10"/>
  <c r="C245" i="10"/>
  <c r="D221" i="10"/>
  <c r="E221" i="10"/>
  <c r="C221" i="10"/>
  <c r="E220" i="10"/>
  <c r="D220" i="10"/>
  <c r="C220" i="10"/>
  <c r="D173" i="10"/>
  <c r="C173" i="10"/>
  <c r="D170" i="10"/>
  <c r="C170" i="10"/>
  <c r="F112" i="10"/>
  <c r="F86" i="10"/>
  <c r="D315" i="9"/>
  <c r="D298" i="9"/>
  <c r="D287" i="9"/>
  <c r="F371" i="9"/>
  <c r="F372" i="9" s="1"/>
  <c r="B369" i="9"/>
  <c r="B367" i="9"/>
  <c r="B274" i="9"/>
  <c r="B273" i="9"/>
  <c r="B272" i="9"/>
  <c r="B271" i="9"/>
  <c r="B207" i="9"/>
  <c r="B205" i="9"/>
  <c r="D167" i="9"/>
  <c r="D169" i="9" s="1"/>
  <c r="B176" i="9" s="1"/>
  <c r="C150" i="9"/>
  <c r="G152" i="9"/>
  <c r="D136" i="9"/>
  <c r="D103" i="9"/>
  <c r="E83" i="9"/>
  <c r="E68" i="9"/>
  <c r="D230" i="8"/>
  <c r="C182" i="8"/>
  <c r="D196" i="8" s="1"/>
  <c r="E171" i="8"/>
  <c r="E151" i="8"/>
  <c r="B95" i="8"/>
  <c r="B112" i="8" s="1"/>
  <c r="D107" i="8"/>
  <c r="D109" i="8" s="1"/>
  <c r="D102" i="8"/>
  <c r="B78" i="8"/>
  <c r="H62" i="8"/>
  <c r="G391" i="6"/>
  <c r="G389" i="6"/>
  <c r="C357" i="6"/>
  <c r="G358" i="6"/>
  <c r="G357" i="6"/>
  <c r="A79" i="6"/>
  <c r="C389" i="6"/>
  <c r="C392" i="6" s="1"/>
  <c r="G393" i="6" s="1"/>
  <c r="B384" i="6"/>
  <c r="F317" i="6"/>
  <c r="C322" i="6" s="1"/>
  <c r="B317" i="6"/>
  <c r="C324" i="6" s="1"/>
  <c r="D315" i="6"/>
  <c r="D317" i="6" s="1"/>
  <c r="C323" i="6" s="1"/>
  <c r="E279" i="6"/>
  <c r="E280" i="6" s="1"/>
  <c r="C279" i="6"/>
  <c r="C28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H359" i="10"/>
  <c r="H358" i="10"/>
  <c r="H320" i="10"/>
  <c r="H319" i="10"/>
  <c r="F367" i="8"/>
  <c r="F366" i="8"/>
  <c r="F365" i="8"/>
  <c r="F364" i="8"/>
  <c r="G345" i="8"/>
  <c r="G344" i="8"/>
  <c r="G343" i="8"/>
  <c r="G342" i="8"/>
  <c r="G335" i="8"/>
  <c r="G334" i="8"/>
  <c r="G333" i="8"/>
  <c r="G332" i="8"/>
  <c r="H320" i="8"/>
  <c r="H319" i="8"/>
  <c r="H318" i="8"/>
  <c r="H317" i="8"/>
  <c r="F265" i="8"/>
  <c r="F267" i="8" s="1"/>
  <c r="F269" i="8" s="1"/>
  <c r="F249" i="6"/>
  <c r="B249" i="6"/>
  <c r="B243" i="6"/>
  <c r="F243" i="6"/>
  <c r="E217" i="6"/>
  <c r="E216" i="6" s="1"/>
  <c r="C223" i="6" s="1"/>
  <c r="E179" i="6"/>
  <c r="D194" i="6" s="1"/>
  <c r="F155" i="6"/>
  <c r="D162" i="6" s="1"/>
  <c r="F137" i="6"/>
  <c r="D143" i="6" s="1"/>
  <c r="E110" i="6"/>
  <c r="E113" i="6" s="1"/>
  <c r="D103" i="6"/>
  <c r="E78" i="6"/>
  <c r="E81" i="6"/>
  <c r="E58" i="6"/>
  <c r="E61" i="6" s="1"/>
  <c r="F41" i="6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B371" i="9" l="1"/>
  <c r="C387" i="9"/>
  <c r="C404" i="9"/>
  <c r="D412" i="9" s="1"/>
  <c r="B216" i="9"/>
  <c r="B225" i="9" s="1"/>
  <c r="C358" i="6"/>
  <c r="G361" i="6"/>
  <c r="C359" i="6" s="1"/>
  <c r="F43" i="6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F374" i="9" l="1"/>
  <c r="F375" i="9" s="1"/>
  <c r="B374" i="9" s="1"/>
  <c r="E420" i="9"/>
  <c r="C360" i="6"/>
  <c r="E245" i="5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D256" i="2" l="1"/>
  <c r="C254" i="2" s="1"/>
  <c r="C256" i="2" s="1"/>
  <c r="C237" i="2"/>
</calcChain>
</file>

<file path=xl/sharedStrings.xml><?xml version="1.0" encoding="utf-8"?>
<sst xmlns="http://schemas.openxmlformats.org/spreadsheetml/2006/main" count="3416" uniqueCount="2210">
  <si>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</si>
  <si>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</si>
  <si>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</si>
  <si>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</si>
  <si>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</si>
  <si>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</si>
  <si>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</si>
  <si>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</si>
  <si>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</si>
  <si>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</si>
  <si>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</si>
  <si>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</si>
  <si>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</si>
  <si>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</si>
  <si>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</si>
  <si>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</si>
  <si>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</si>
  <si>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</si>
  <si>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</si>
  <si>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</si>
  <si>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</si>
  <si>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</si>
  <si>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</si>
  <si>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</si>
  <si>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</si>
  <si>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</si>
  <si>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</si>
  <si>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</si>
  <si>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</si>
  <si>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</si>
  <si>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</si>
  <si>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</si>
  <si>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</si>
  <si>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</si>
  <si>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</si>
  <si>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</si>
  <si>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</si>
  <si>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</si>
  <si>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</si>
  <si>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</si>
  <si>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</si>
  <si>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</si>
  <si>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</si>
  <si>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</si>
  <si>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</si>
  <si>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</si>
  <si>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</si>
  <si>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</si>
  <si>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</si>
  <si>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</si>
  <si>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</si>
  <si>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</si>
  <si>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</si>
  <si>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</si>
  <si>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</si>
  <si>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</si>
  <si>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</si>
  <si>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</si>
  <si>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</si>
  <si>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</si>
  <si>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</si>
  <si>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</si>
  <si>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</si>
  <si>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</si>
  <si>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</si>
  <si>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</si>
  <si>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</si>
  <si>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</si>
  <si>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</si>
  <si>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</si>
  <si>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</si>
  <si>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</si>
  <si>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</si>
  <si>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</si>
  <si>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</si>
  <si>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</si>
  <si>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</si>
  <si>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</si>
  <si>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</si>
  <si>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</si>
  <si>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</si>
  <si>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</si>
  <si>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</si>
  <si>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</si>
  <si>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</si>
  <si>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</si>
  <si>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</si>
  <si>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</si>
  <si>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</si>
  <si>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</si>
  <si>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</si>
  <si>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</si>
  <si>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</si>
  <si>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</si>
  <si>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</si>
  <si>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</si>
  <si>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</si>
  <si>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</si>
  <si>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</si>
  <si>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</si>
  <si>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</si>
  <si>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</si>
  <si>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</si>
  <si>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</si>
  <si>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</si>
  <si>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</si>
  <si>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</si>
  <si>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</si>
  <si>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</si>
  <si>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</si>
  <si>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</si>
  <si>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</si>
  <si>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</si>
  <si>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</si>
  <si>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</si>
  <si>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</si>
  <si>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</si>
  <si>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</si>
  <si>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</si>
  <si>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</si>
  <si>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</si>
  <si>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</si>
  <si>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</si>
  <si>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</si>
  <si>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</si>
  <si>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</si>
  <si>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</si>
  <si>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</si>
  <si>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</si>
  <si>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</si>
  <si>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</si>
  <si>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</si>
  <si>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</si>
  <si>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</si>
  <si>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</si>
  <si>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</si>
  <si>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</si>
  <si>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</si>
  <si>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</si>
  <si>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</si>
  <si>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</si>
  <si>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</si>
  <si>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</si>
  <si>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</si>
  <si>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</si>
  <si>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</si>
  <si>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</si>
  <si>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</si>
  <si>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</si>
  <si>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</si>
  <si>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</si>
  <si>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</si>
  <si>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</si>
  <si>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</si>
  <si>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</si>
  <si>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</si>
  <si>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</si>
  <si>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</si>
  <si>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</si>
  <si>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</si>
  <si>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</si>
  <si>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</si>
  <si>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</si>
  <si>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</si>
  <si>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</si>
  <si>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</si>
  <si>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</si>
  <si>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</si>
  <si>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</si>
  <si>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</si>
  <si>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</si>
  <si>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</si>
  <si>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</si>
  <si>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</si>
  <si>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</si>
  <si>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</si>
  <si>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</si>
  <si>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</si>
  <si>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</si>
  <si>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</si>
  <si>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</si>
  <si>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</si>
  <si>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</si>
  <si>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</si>
  <si>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</si>
  <si>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</si>
  <si>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</si>
  <si>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</si>
  <si>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</si>
  <si>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</si>
  <si>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</si>
  <si>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</si>
  <si>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</si>
  <si>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</si>
  <si>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</si>
  <si>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</si>
  <si>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</si>
  <si>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</si>
  <si>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</si>
  <si>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</si>
  <si>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</si>
  <si>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</si>
  <si>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</si>
  <si>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</si>
  <si>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</si>
  <si>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</si>
  <si>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</si>
  <si>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</si>
  <si>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</si>
  <si>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</si>
  <si>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</si>
  <si>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</si>
  <si>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</si>
  <si>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</si>
  <si>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</si>
  <si>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</si>
  <si>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</si>
  <si>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</si>
  <si>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</si>
  <si>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</si>
  <si>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</si>
  <si>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</si>
  <si>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</si>
  <si>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</si>
  <si>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</si>
  <si>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</si>
  <si>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</si>
  <si>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</si>
  <si>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</si>
  <si>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</si>
  <si>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</si>
  <si>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</si>
  <si>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</si>
  <si>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</si>
  <si>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</si>
  <si>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</si>
  <si>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</si>
  <si>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</si>
  <si>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</si>
  <si>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</si>
  <si>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</si>
  <si>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</si>
  <si>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</si>
  <si>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</si>
  <si>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</si>
  <si>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</si>
  <si>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</si>
  <si>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</si>
  <si>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</si>
  <si>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</si>
  <si>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</si>
  <si>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</si>
  <si>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</si>
  <si>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</si>
  <si>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</si>
  <si>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</si>
  <si>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</si>
  <si>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</si>
  <si>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</si>
  <si>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</si>
  <si>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</si>
  <si>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</si>
  <si>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</si>
  <si>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</si>
  <si>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</si>
  <si>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</si>
  <si>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</si>
  <si>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</si>
  <si>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</si>
  <si>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</si>
  <si>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</si>
  <si>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</si>
  <si>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</si>
  <si>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</si>
  <si>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</si>
  <si>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</si>
  <si>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</si>
  <si>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</si>
  <si>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</si>
  <si>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</si>
  <si>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</si>
  <si>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</si>
  <si>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</si>
  <si>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</si>
  <si>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</si>
  <si>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</si>
  <si>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</si>
  <si>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</si>
  <si>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</si>
  <si>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</si>
  <si>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</si>
  <si>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</si>
  <si>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</si>
  <si>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</si>
  <si>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</si>
  <si>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</si>
  <si>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</si>
  <si>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</si>
  <si>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</si>
  <si>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</si>
  <si>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</si>
  <si>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</si>
  <si>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</si>
  <si>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</si>
  <si>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</si>
  <si>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</si>
  <si>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</si>
  <si>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</si>
  <si>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</si>
  <si>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</si>
  <si>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</si>
  <si>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</si>
  <si>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</si>
  <si>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</si>
  <si>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</si>
  <si>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</si>
  <si>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</si>
  <si>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</si>
  <si>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</si>
  <si>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</si>
  <si>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</si>
  <si>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</si>
  <si>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</si>
  <si>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</si>
  <si>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</si>
  <si>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</si>
  <si>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</si>
  <si>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</si>
  <si>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</si>
  <si>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</si>
  <si>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</si>
  <si>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</si>
  <si>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</si>
  <si>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</si>
  <si>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</si>
  <si>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</si>
  <si>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</si>
  <si>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</si>
  <si>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</si>
  <si>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</si>
  <si>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</si>
  <si>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</si>
  <si>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</si>
  <si>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</si>
  <si>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</si>
  <si>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</si>
  <si>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</si>
  <si>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</si>
  <si>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</si>
  <si>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</si>
  <si>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</si>
  <si>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</si>
  <si>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</si>
  <si>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</si>
  <si>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</si>
  <si>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</si>
  <si>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</si>
  <si>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</si>
  <si>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</si>
  <si>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</si>
  <si>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</si>
  <si>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</si>
  <si>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</si>
  <si>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</si>
  <si>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</si>
  <si>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</si>
  <si>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</si>
  <si>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</si>
  <si>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</si>
  <si>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</si>
  <si>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</si>
  <si>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</si>
  <si>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</si>
  <si>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</si>
  <si>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</si>
  <si>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</si>
  <si>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</si>
  <si>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</si>
  <si>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</si>
  <si>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</si>
  <si>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</si>
  <si>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</si>
  <si>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</si>
  <si>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</si>
  <si>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</si>
  <si>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</si>
  <si>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</si>
  <si>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</si>
  <si>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</si>
  <si>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</si>
  <si>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</si>
  <si>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</si>
  <si>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</si>
  <si>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</si>
  <si>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</si>
  <si>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</si>
  <si>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</si>
  <si>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</si>
  <si>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</si>
  <si>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</si>
  <si>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</si>
  <si>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</si>
  <si>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</si>
  <si>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</si>
  <si>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</si>
  <si>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</si>
  <si>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</si>
  <si>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</si>
  <si>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</si>
  <si>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</si>
  <si>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</si>
  <si>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</si>
  <si>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</si>
  <si>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</si>
  <si>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</si>
  <si>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</si>
  <si>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</si>
  <si>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</si>
  <si>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</si>
  <si>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</si>
  <si>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</si>
  <si>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</si>
  <si>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</si>
  <si>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</si>
  <si>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</si>
  <si>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</si>
  <si>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</si>
  <si>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</si>
  <si>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</si>
  <si>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</si>
  <si>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</si>
  <si>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</si>
  <si>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</si>
  <si>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</si>
  <si>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</si>
  <si>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</si>
  <si>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</si>
  <si>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</si>
  <si>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</si>
  <si>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</si>
  <si>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</si>
  <si>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</si>
  <si>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</si>
  <si>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</si>
  <si>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</si>
  <si>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</si>
  <si>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</si>
  <si>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</si>
  <si>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</si>
  <si>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</si>
  <si>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</si>
  <si>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</si>
  <si>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</si>
  <si>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</si>
  <si>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</si>
  <si>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</si>
  <si>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</si>
  <si>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</si>
  <si>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</si>
  <si>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</si>
  <si>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</si>
  <si>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</si>
  <si>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</si>
  <si>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</si>
  <si>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</si>
  <si>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</si>
  <si>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</si>
  <si>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</si>
  <si>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</si>
  <si>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</si>
  <si>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</si>
  <si>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</si>
  <si>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</si>
  <si>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</si>
  <si>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</si>
  <si>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</si>
  <si>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</si>
  <si>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</si>
  <si>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</si>
  <si>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</si>
  <si>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</si>
  <si>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</si>
  <si>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</si>
  <si>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</si>
  <si>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</si>
  <si>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</si>
  <si>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</si>
  <si>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</si>
  <si>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</si>
  <si>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</si>
  <si>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</si>
  <si>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</si>
  <si>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</si>
  <si>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</si>
  <si>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</si>
  <si>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</si>
  <si>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</si>
  <si>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</si>
  <si>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</si>
  <si>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</si>
  <si>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</si>
  <si>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</si>
  <si>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</si>
  <si>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</si>
  <si>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</si>
  <si>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</si>
  <si>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</si>
  <si>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</si>
  <si>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</si>
  <si>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</si>
  <si>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</si>
  <si>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</si>
  <si>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</si>
  <si>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</si>
  <si>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</si>
  <si>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</si>
  <si>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</si>
  <si>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</si>
  <si>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</si>
  <si>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</si>
  <si>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</si>
  <si>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</si>
  <si>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</si>
  <si>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</si>
  <si>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</si>
  <si>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</si>
  <si>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</si>
  <si>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</si>
  <si>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</si>
  <si>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</si>
  <si>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</si>
  <si>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</si>
  <si>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</si>
  <si>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</si>
  <si>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</si>
  <si>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</si>
  <si>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</si>
  <si>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</si>
  <si>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</si>
  <si>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</si>
  <si>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</si>
  <si>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</si>
  <si>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</si>
  <si>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</si>
  <si>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</si>
  <si>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</si>
  <si>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</si>
  <si>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</si>
  <si>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</si>
  <si>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</si>
  <si>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</si>
  <si>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</si>
  <si>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</si>
  <si>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</si>
  <si>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</si>
  <si>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</si>
  <si>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</si>
  <si>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</si>
  <si>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</si>
  <si>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</si>
  <si>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</si>
  <si>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</si>
  <si>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</si>
  <si>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</si>
  <si>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</si>
  <si>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</si>
  <si>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</si>
  <si>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</si>
  <si>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</si>
  <si>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</si>
  <si>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</si>
  <si>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</si>
  <si>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</si>
  <si>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</si>
  <si>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</si>
  <si>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</si>
  <si>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</si>
  <si>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</si>
  <si>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</si>
  <si>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</si>
  <si>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</si>
  <si>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</si>
  <si>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</si>
  <si>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</si>
  <si>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</si>
  <si>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</si>
  <si>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</si>
  <si>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</si>
  <si>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</si>
  <si>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</si>
  <si>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</si>
  <si>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</si>
  <si>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</si>
  <si>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</si>
  <si>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</si>
  <si>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</si>
  <si>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</si>
  <si>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</si>
  <si>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</si>
  <si>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</si>
  <si>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</si>
  <si>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</si>
  <si>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</si>
  <si>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</si>
  <si>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</si>
  <si>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</si>
  <si>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</si>
  <si>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</si>
  <si>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</si>
  <si>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</si>
  <si>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</si>
  <si>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</si>
  <si>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</si>
  <si>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</si>
  <si>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</si>
  <si>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</si>
  <si>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</si>
  <si>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</si>
  <si>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</si>
  <si>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</si>
  <si>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</si>
  <si>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</si>
  <si>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</si>
  <si>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</si>
  <si>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</si>
  <si>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</si>
  <si>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</si>
  <si>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</si>
  <si>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</si>
  <si>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</si>
  <si>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</si>
  <si>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</si>
  <si>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</si>
  <si>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</si>
  <si>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</si>
  <si>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</si>
  <si>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</si>
  <si>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</si>
  <si>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</si>
  <si>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</si>
  <si>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</si>
  <si>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</si>
  <si>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</si>
  <si>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</si>
  <si>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</si>
  <si>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</si>
  <si>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</si>
  <si>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</si>
  <si>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</si>
  <si>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</si>
  <si>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</si>
  <si>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</si>
  <si>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</si>
  <si>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</si>
  <si>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</si>
  <si>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</si>
  <si>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</si>
  <si>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</si>
  <si>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</si>
  <si>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</si>
  <si>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</si>
  <si>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</si>
  <si>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</si>
  <si>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</si>
  <si>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</si>
  <si>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</si>
  <si>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</si>
  <si>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</si>
  <si>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</si>
  <si>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</si>
  <si>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</si>
  <si>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</si>
  <si>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</si>
  <si>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</si>
  <si>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</si>
  <si>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</si>
  <si>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</si>
  <si>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</si>
  <si>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</si>
  <si>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</si>
  <si>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</si>
  <si>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</si>
  <si>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</si>
  <si>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</si>
  <si>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</si>
  <si>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</si>
  <si>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</si>
  <si>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</si>
  <si>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</si>
  <si>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</si>
  <si>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</si>
  <si>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</si>
  <si>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</si>
  <si>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</si>
  <si>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</si>
  <si>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</si>
  <si>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</si>
  <si>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</si>
  <si>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</si>
  <si>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</si>
  <si>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</si>
  <si>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</si>
  <si>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</si>
  <si>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</si>
  <si>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</si>
  <si>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</si>
  <si>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</si>
  <si>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</si>
  <si>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</si>
  <si>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</si>
  <si>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</si>
  <si>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</si>
  <si>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</si>
  <si>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</si>
  <si>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</si>
  <si>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</si>
  <si>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</si>
  <si>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</si>
  <si>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</si>
  <si>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</si>
  <si>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</si>
  <si>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</si>
  <si>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</si>
  <si>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</si>
  <si>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</si>
  <si>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</si>
  <si>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</si>
  <si>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</si>
  <si>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</si>
  <si>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</si>
  <si>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</si>
  <si>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</si>
  <si>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</si>
  <si>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</si>
  <si>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</si>
  <si>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</si>
  <si>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</si>
  <si>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</si>
  <si>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</si>
  <si>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</si>
  <si>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</si>
  <si>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</si>
  <si>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</si>
  <si>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</si>
  <si>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</si>
  <si>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</si>
  <si>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</si>
  <si>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</si>
  <si>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</si>
  <si>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</si>
  <si>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</si>
  <si>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</si>
  <si>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</si>
  <si>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</si>
  <si>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</si>
  <si>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</si>
  <si>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</si>
  <si>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</si>
  <si>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</si>
  <si>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</si>
  <si>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</si>
  <si>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</si>
  <si>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</si>
  <si>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</si>
  <si>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</si>
  <si>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</si>
  <si>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</si>
  <si>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</si>
  <si>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</si>
  <si>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</si>
  <si>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</si>
  <si>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</si>
  <si>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</si>
  <si>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</si>
  <si>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</si>
  <si>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</si>
  <si>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</si>
  <si>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</si>
  <si>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</si>
  <si>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</si>
  <si>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</si>
  <si>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</si>
  <si>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</si>
  <si>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</si>
  <si>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</si>
  <si>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</si>
  <si>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</si>
  <si>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</si>
  <si>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</si>
  <si>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</si>
  <si>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</si>
  <si>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</si>
  <si>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</si>
  <si>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</si>
  <si>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</si>
  <si>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</si>
  <si>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</si>
  <si>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</si>
  <si>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</si>
  <si>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</si>
  <si>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</si>
  <si>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</si>
  <si>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</si>
  <si>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</si>
  <si>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</si>
  <si>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</si>
  <si>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</si>
  <si>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</si>
  <si>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</si>
  <si>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</si>
  <si>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</si>
  <si>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</si>
  <si>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</si>
  <si>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</si>
  <si>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</si>
  <si>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</si>
  <si>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</si>
  <si>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</si>
  <si>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</si>
  <si>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</si>
  <si>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</si>
  <si>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</si>
  <si>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</si>
  <si>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</si>
  <si>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</si>
  <si>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</si>
  <si>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</si>
  <si>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</si>
  <si>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</si>
  <si>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</si>
  <si>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</si>
  <si>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</si>
  <si>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</si>
  <si>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</si>
  <si>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</si>
  <si>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</si>
  <si>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</si>
  <si>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</si>
  <si>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</si>
  <si>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</si>
  <si>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</si>
  <si>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</si>
  <si>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</si>
  <si>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</si>
  <si>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</si>
  <si>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</si>
  <si>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</si>
  <si>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</si>
  <si>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</si>
  <si>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</si>
  <si>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</si>
  <si>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</si>
  <si>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</si>
  <si>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</si>
  <si>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</si>
  <si>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</si>
  <si>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</si>
  <si>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</si>
  <si>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</si>
  <si>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</si>
  <si>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</si>
  <si>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</si>
  <si>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</si>
  <si>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</si>
  <si>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</si>
  <si>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</si>
  <si>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</si>
  <si>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</si>
  <si>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</si>
  <si>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</si>
  <si>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</si>
  <si>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</si>
  <si>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</si>
  <si>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</si>
  <si>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</si>
  <si>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</si>
  <si>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</si>
  <si>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</si>
  <si>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</si>
  <si>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</si>
  <si>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</si>
  <si>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</si>
  <si>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</si>
  <si>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</si>
  <si>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</si>
  <si>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</si>
  <si>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</si>
  <si>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</si>
  <si>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</si>
  <si>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</si>
  <si>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</si>
  <si>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</si>
  <si>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</si>
  <si>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</si>
  <si>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</si>
  <si>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</si>
  <si>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</si>
  <si>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</si>
  <si>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</si>
  <si>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</si>
  <si>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</si>
  <si>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</si>
  <si>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</si>
  <si>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</si>
  <si>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</si>
  <si>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</si>
  <si>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</si>
  <si>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</si>
  <si>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</si>
  <si>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</si>
  <si>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</si>
  <si>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</si>
  <si>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</si>
  <si>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</si>
  <si>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</si>
  <si>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</si>
  <si>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</si>
  <si>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</si>
  <si>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</si>
  <si>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</si>
  <si>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</si>
  <si>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</si>
  <si>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</si>
  <si>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</si>
  <si>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</si>
  <si>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</si>
  <si>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</si>
  <si>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</si>
  <si>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</si>
  <si>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</si>
  <si>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</si>
  <si>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</si>
  <si>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</si>
  <si>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</si>
  <si>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</si>
  <si>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</si>
  <si>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</si>
  <si>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</si>
  <si>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</si>
  <si>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</si>
  <si>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</si>
  <si>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</si>
  <si>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</si>
  <si>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</si>
  <si>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</si>
  <si>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</si>
  <si>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</si>
  <si>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</si>
  <si>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</si>
  <si>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</si>
  <si>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 xml:space="preserve">אך ברוב המקרים קיבלתי את נתוניה כחלק מהעסקה. </t>
  </si>
  <si>
    <t>באופן כללי - ריבית אפקטיבית היא הריבית ה״אמיתית״ או ה״כוללת״ בעסקה.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</si>
  <si>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</si>
  <si>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</si>
  <si>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</si>
  <si>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</si>
  <si>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משה הפקיד בפקדון סכום של 100 ש״ח לשנה.</t>
  </si>
  <si>
    <t xml:space="preserve">א. מהו הסכום הכולל שמשה יקבל בתום השנה. 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</si>
  <si>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</si>
  <si>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</si>
  <si>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</si>
  <si>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</si>
  <si>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</si>
  <si>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</si>
  <si>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</si>
  <si>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</si>
  <si>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</si>
  <si>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</si>
  <si>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</si>
  <si>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</si>
  <si>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</si>
  <si>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</si>
  <si>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</si>
  <si>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</si>
  <si>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</si>
  <si>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</si>
  <si>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</si>
  <si>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</si>
  <si>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</si>
  <si>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</si>
  <si>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</si>
  <si>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</si>
  <si>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</si>
  <si>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</si>
  <si>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</si>
  <si>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</si>
  <si>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</si>
  <si>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</si>
  <si>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</si>
  <si>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</si>
  <si>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</si>
  <si>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</si>
  <si>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</si>
  <si>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</si>
  <si>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</si>
  <si>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</si>
  <si>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</si>
  <si>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</si>
  <si>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</si>
  <si>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</si>
  <si>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</si>
  <si>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</si>
  <si>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</si>
  <si>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</si>
  <si>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</si>
  <si>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</si>
  <si>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</si>
  <si>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</si>
  <si>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</si>
  <si>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</si>
  <si>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</si>
  <si>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</si>
  <si>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</si>
  <si>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</si>
  <si>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</si>
  <si>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</si>
  <si>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</si>
  <si>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</si>
  <si>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</si>
  <si>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</si>
  <si>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</si>
  <si>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</si>
  <si>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</si>
  <si>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</si>
  <si>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</si>
  <si>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</si>
  <si>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</si>
  <si>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</si>
  <si>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</si>
  <si>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</si>
  <si>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</si>
  <si>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</si>
  <si>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</si>
  <si>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</si>
  <si>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</si>
  <si>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</si>
  <si>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</si>
  <si>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</si>
  <si>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</si>
  <si>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</si>
  <si>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</si>
  <si>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</si>
  <si>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</si>
  <si>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</si>
  <si>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</si>
  <si>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</si>
  <si>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</si>
  <si>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</si>
  <si>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</si>
  <si>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</si>
  <si>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</si>
  <si>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</si>
  <si>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</si>
  <si>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</si>
  <si>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</si>
  <si>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</si>
  <si>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</si>
  <si>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</si>
  <si>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</si>
  <si>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</si>
  <si>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</si>
  <si>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</si>
  <si>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</si>
  <si>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</si>
  <si>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</si>
  <si>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</si>
  <si>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</si>
  <si>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 xml:space="preserve">נדרש: </t>
  </si>
  <si>
    <t>שלב 1:</t>
  </si>
  <si>
    <t>שלב 2:</t>
  </si>
  <si>
    <t>ד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</si>
  <si>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</si>
  <si>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</si>
  <si>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</si>
  <si>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</si>
  <si>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</si>
  <si>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</si>
  <si>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</si>
  <si>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</si>
  <si>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</si>
  <si>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</si>
  <si>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</si>
  <si>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</si>
  <si>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</si>
  <si>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</si>
  <si>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</si>
  <si>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</si>
  <si>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</si>
  <si>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</si>
  <si>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</si>
  <si>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</si>
  <si>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</si>
  <si>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</si>
  <si>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</si>
  <si>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</si>
  <si>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</si>
  <si>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</si>
  <si>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</si>
  <si>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</si>
  <si>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</si>
  <si>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</si>
  <si>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</si>
  <si>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</si>
  <si>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</si>
  <si>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</si>
  <si>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</si>
  <si>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</si>
  <si>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</si>
  <si>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</si>
  <si>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</si>
  <si>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</si>
  <si>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</si>
  <si>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</si>
  <si>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</si>
  <si>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</si>
  <si>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</si>
  <si>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</si>
  <si>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</si>
  <si>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</si>
  <si>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</si>
  <si>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</si>
  <si>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</si>
  <si>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</si>
  <si>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</si>
  <si>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</si>
  <si>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</si>
  <si>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</si>
  <si>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</si>
  <si>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</si>
  <si>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</si>
  <si>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</si>
  <si>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</si>
  <si>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</si>
  <si>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</si>
  <si>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</si>
  <si>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</si>
  <si>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</si>
  <si>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</si>
  <si>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</si>
  <si>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</si>
  <si>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</si>
  <si>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</si>
  <si>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ריבית אפקטיבית</t>
  </si>
  <si>
    <t>עד תום שנה 2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</si>
  <si>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</si>
  <si>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</si>
  <si>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</si>
  <si>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</si>
  <si>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</si>
  <si>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</si>
  <si>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</si>
  <si>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</si>
  <si>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</si>
  <si>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</si>
  <si>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</si>
  <si>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</si>
  <si>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</si>
  <si>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</si>
  <si>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</si>
  <si>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</si>
  <si>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</si>
  <si>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</si>
  <si>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</si>
  <si>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</si>
  <si>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</si>
  <si>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</si>
  <si>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</si>
  <si>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</si>
  <si>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</si>
  <si>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</si>
  <si>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</si>
  <si>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</si>
  <si>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</si>
  <si>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</si>
  <si>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</si>
  <si>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</si>
  <si>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</si>
  <si>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</si>
  <si>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</si>
  <si>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</si>
  <si>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</si>
  <si>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</si>
  <si>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</si>
  <si>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</si>
  <si>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</si>
  <si>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</si>
  <si>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</si>
  <si>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</si>
  <si>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</si>
  <si>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</si>
  <si>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</si>
  <si>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</si>
  <si>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</si>
  <si>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</si>
  <si>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</si>
  <si>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</si>
  <si>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</si>
  <si>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</si>
  <si>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</si>
  <si>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</si>
  <si>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</si>
  <si>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</si>
  <si>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</si>
  <si>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</si>
  <si>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</si>
  <si>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</si>
  <si>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</si>
  <si>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</si>
  <si>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</si>
  <si>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</si>
  <si>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</si>
  <si>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</si>
  <si>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</si>
  <si>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</si>
  <si>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</si>
  <si>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</si>
  <si>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</si>
  <si>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</si>
  <si>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</si>
  <si>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</si>
  <si>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</si>
  <si>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</si>
  <si>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</si>
  <si>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</si>
  <si>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</si>
  <si>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</si>
  <si>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</si>
  <si>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</si>
  <si>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</si>
  <si>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</si>
  <si>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</si>
  <si>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</si>
  <si>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</si>
  <si>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</si>
  <si>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</si>
  <si>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</si>
  <si>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</si>
  <si>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</si>
  <si>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</si>
  <si>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</si>
  <si>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</si>
  <si>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</si>
  <si>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</si>
  <si>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</si>
  <si>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</si>
  <si>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</si>
  <si>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</si>
  <si>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</si>
  <si>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</si>
  <si>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</si>
  <si>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</si>
  <si>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</si>
  <si>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</si>
  <si>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</si>
  <si>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</si>
  <si>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</si>
  <si>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</si>
  <si>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</si>
  <si>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</si>
  <si>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</si>
  <si>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</si>
  <si>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</si>
  <si>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</si>
  <si>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</si>
  <si>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</si>
  <si>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</si>
  <si>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</si>
  <si>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</si>
  <si>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</si>
  <si>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</si>
  <si>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</si>
  <si>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</si>
  <si>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</si>
  <si>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</si>
  <si>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</si>
  <si>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</si>
  <si>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</si>
  <si>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</si>
  <si>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</si>
  <si>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</si>
  <si>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</si>
  <si>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</si>
  <si>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</si>
  <si>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</si>
  <si>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</si>
  <si>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</si>
  <si>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</si>
  <si>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</si>
  <si>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</si>
  <si>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</si>
  <si>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</si>
  <si>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</si>
  <si>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</si>
  <si>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</si>
  <si>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</si>
  <si>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</si>
  <si>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</si>
  <si>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</si>
  <si>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</si>
  <si>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</si>
  <si>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</si>
  <si>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</si>
  <si>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</si>
  <si>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</si>
  <si>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</si>
  <si>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</si>
  <si>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</si>
  <si>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</si>
  <si>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</si>
  <si>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</si>
  <si>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</si>
  <si>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</si>
  <si>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</si>
  <si>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</si>
  <si>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</si>
  <si>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</si>
  <si>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</si>
  <si>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</si>
  <si>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</si>
  <si>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</si>
  <si>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</si>
  <si>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</si>
  <si>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</si>
  <si>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</si>
  <si>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</si>
  <si>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</si>
  <si>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</si>
  <si>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</si>
  <si>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</si>
  <si>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</si>
  <si>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</si>
  <si>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</si>
  <si>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</si>
  <si>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</si>
  <si>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</si>
  <si>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</si>
  <si>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</si>
  <si>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</si>
  <si>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</si>
  <si>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</si>
  <si>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</si>
  <si>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</si>
  <si>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</si>
  <si>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</si>
  <si>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</si>
  <si>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</si>
  <si>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</si>
  <si>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</si>
  <si>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</si>
  <si>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</si>
  <si>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</si>
  <si>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</si>
  <si>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</si>
  <si>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</si>
  <si>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</si>
  <si>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</si>
  <si>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</si>
  <si>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</si>
  <si>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</si>
  <si>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</si>
  <si>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</si>
  <si>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</si>
  <si>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</si>
  <si>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</si>
  <si>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</si>
  <si>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</si>
  <si>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</si>
  <si>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</si>
  <si>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</si>
  <si>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</si>
  <si>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</si>
  <si>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</si>
  <si>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</si>
  <si>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</si>
  <si>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</si>
  <si>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</si>
  <si>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</si>
  <si>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</si>
  <si>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</si>
  <si>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</si>
  <si>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</si>
  <si>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</si>
  <si>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</si>
  <si>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</si>
  <si>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</si>
  <si>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</si>
  <si>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</si>
  <si>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</si>
  <si>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</si>
  <si>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</si>
  <si>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</si>
  <si>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</si>
  <si>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</si>
  <si>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</si>
  <si>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</si>
  <si>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</si>
  <si>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</si>
  <si>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</si>
  <si>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</si>
  <si>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</si>
  <si>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</si>
  <si>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</si>
  <si>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</si>
  <si>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</si>
  <si>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</si>
  <si>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</si>
  <si>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</si>
  <si>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</si>
  <si>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</si>
  <si>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</si>
  <si>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</si>
  <si>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</si>
  <si>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</si>
  <si>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</si>
  <si>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</si>
  <si>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</si>
  <si>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</si>
  <si>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</si>
  <si>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</si>
  <si>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</si>
  <si>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</si>
  <si>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</si>
  <si>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</si>
  <si>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</si>
  <si>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</si>
  <si>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</si>
  <si>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</si>
  <si>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</si>
  <si>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</si>
  <si>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</si>
  <si>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</si>
  <si>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</si>
  <si>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</si>
  <si>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</si>
  <si>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</si>
  <si>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</si>
  <si>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</si>
  <si>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</si>
  <si>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</si>
  <si>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</si>
  <si>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</si>
  <si>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</si>
  <si>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</si>
  <si>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</si>
  <si>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</si>
  <si>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</si>
  <si>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</si>
  <si>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</si>
  <si>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</si>
  <si>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</si>
  <si>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</si>
  <si>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</si>
  <si>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</si>
  <si>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</si>
  <si>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</si>
  <si>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</si>
  <si>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</si>
  <si>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</si>
  <si>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</si>
  <si>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</si>
  <si>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</si>
  <si>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</si>
  <si>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</si>
  <si>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</si>
  <si>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</si>
  <si>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</si>
  <si>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</si>
  <si>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</si>
  <si>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</si>
  <si>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</si>
  <si>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</si>
  <si>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</si>
  <si>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</si>
  <si>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</si>
  <si>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</si>
  <si>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</si>
  <si>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</si>
  <si>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</si>
  <si>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</si>
  <si>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</si>
  <si>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</si>
  <si>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</si>
  <si>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</si>
  <si>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</si>
  <si>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</si>
  <si>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</si>
  <si>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</si>
  <si>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</si>
  <si>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</si>
  <si>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</si>
  <si>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</si>
  <si>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</si>
  <si>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</si>
  <si>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</si>
  <si>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</si>
  <si>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</si>
  <si>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</si>
  <si>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</si>
  <si>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</si>
  <si>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</si>
  <si>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</si>
  <si>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</si>
  <si>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</si>
  <si>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</si>
  <si>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</si>
  <si>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</si>
  <si>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</si>
  <si>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</si>
  <si>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</si>
  <si>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</si>
  <si>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</si>
  <si>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</si>
  <si>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</si>
  <si>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</si>
  <si>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</si>
  <si>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</si>
  <si>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</si>
  <si>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</si>
  <si>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</si>
  <si>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</si>
  <si>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</si>
  <si>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</si>
  <si>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</si>
  <si>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</si>
  <si>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</si>
  <si>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</si>
  <si>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</si>
  <si>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</si>
  <si>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</si>
  <si>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</si>
  <si>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</si>
  <si>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</si>
  <si>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</si>
  <si>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</si>
  <si>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</si>
  <si>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</si>
  <si>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</si>
  <si>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</si>
  <si>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</si>
  <si>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</si>
  <si>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</si>
  <si>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</si>
  <si>
    <t>כאן מתחיל מפגש 6 - 25.8.2025</t>
  </si>
  <si>
    <t xml:space="preserve">ההלוואה מסולקת בתשלומים חודשיים שווים (הלוואה המסולקת בתשלומים שווים נקראת גם ״לוח שפיצר״). </t>
  </si>
  <si>
    <r>
      <t>א. מהו ההחזר החודשי (PMT) אם הריבית השנתית בהחזר היא ריבית ״</t>
    </r>
    <r>
      <rPr>
        <b/>
        <sz val="12"/>
        <color theme="1"/>
        <rFont val="David"/>
        <family val="2"/>
        <charset val="177"/>
      </rPr>
      <t>אפקטיבית</t>
    </r>
    <r>
      <rPr>
        <sz val="12"/>
        <color theme="1"/>
        <rFont val="David"/>
        <family val="2"/>
        <charset val="177"/>
      </rPr>
      <t>״?</t>
    </r>
  </si>
  <si>
    <t>היא ברירת מחדל</t>
  </si>
  <si>
    <t>התשלומים כל חודש - 12 בשנה, כפול 3 שנים = 36</t>
  </si>
  <si>
    <t>ריבית חודשית, ראו חישוב מימין</t>
  </si>
  <si>
    <t>סכום ההלוואה (שמתקבל היום, בסימן חיובי)</t>
  </si>
  <si>
    <t>אין כאן תשלום או תקבול חד פעמי בסוף העסקה</t>
  </si>
  <si>
    <t>הנדרש: התשלום החודשי הקבוע</t>
  </si>
  <si>
    <r>
      <t xml:space="preserve">ב. </t>
    </r>
    <r>
      <rPr>
        <b/>
        <u/>
        <sz val="12"/>
        <color rgb="FFFF0000"/>
        <rFont val="David"/>
        <family val="2"/>
        <charset val="177"/>
      </rPr>
      <t>חידוש</t>
    </r>
    <r>
      <rPr>
        <u/>
        <sz val="12"/>
        <color theme="1"/>
        <rFont val="David"/>
        <family val="2"/>
        <charset val="177"/>
      </rPr>
      <t xml:space="preserve"> - מהו ההחזר החודשי אם הריבית השנתית בהחזר היא ריבית ״</t>
    </r>
    <r>
      <rPr>
        <b/>
        <u/>
        <sz val="12"/>
        <color rgb="FFFF0000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</si>
  <si>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t>נתון: ריבית נקובה שנתית 12% מחושבת כל חודש</t>
  </si>
  <si>
    <t>(12% / 12) * 100 = 1</t>
  </si>
  <si>
    <t>המרת הריבית משנה לחודש מבוצעת על ידי חלוקה</t>
  </si>
  <si>
    <t>פשוטה, ללא חזקה, ללא מעריך, ללא מינוס אחת</t>
  </si>
  <si>
    <t>מספר התשלומים החודשיים ב-3 שנים</t>
  </si>
  <si>
    <t>סכום ההלוואה הנתון הוא 30,000</t>
  </si>
  <si>
    <t>אין תשלום חד פעמי בתום התקופה</t>
  </si>
  <si>
    <t>ריבית חודשית שחושבה על בסיס ריבית נקובה נתונה (יחסית)</t>
  </si>
  <si>
    <t>נדרש: מהי הריבית השנתית בהסדר?</t>
  </si>
  <si>
    <t>מס׳ התשלומים הנתון</t>
  </si>
  <si>
    <t>התשלום החודשי הקבוע - נתון</t>
  </si>
  <si>
    <t>אין בומבה בסוף</t>
  </si>
  <si>
    <r>
      <t xml:space="preserve">בתמורה ל-36 תשלומים </t>
    </r>
    <r>
      <rPr>
        <b/>
        <u/>
        <sz val="12"/>
        <color theme="1"/>
        <rFont val="David"/>
        <family val="2"/>
        <charset val="177"/>
      </rPr>
      <t>חודשיים</t>
    </r>
    <r>
      <rPr>
        <sz val="12"/>
        <color theme="1"/>
        <rFont val="David"/>
        <family val="2"/>
        <charset val="177"/>
      </rPr>
      <t xml:space="preserve"> קבועים של 195 ש״ח כל אחד. </t>
    </r>
  </si>
  <si>
    <t>הריבית שמחלצים מנתוני סדרה של תשלומים חודשיים היא ריבית חודשית תמיד. נמיר אותה מחודש לשנה:</t>
  </si>
  <si>
    <t xml:space="preserve">[(1 + 0.0154%)^(12) - 1] * 100 = </t>
  </si>
  <si>
    <t xml:space="preserve">זו למעשה הריבית האפקטיבית השנתית בהנחה שהמוצר אכן שווה 7,000 ש״ח. </t>
  </si>
  <si>
    <t>אלא שבפועל במקרים רבים מחרטטים אותנו - ודופקים שווי (מחירון, או מחיר קטלוגי) מנותק מהמציאות</t>
  </si>
  <si>
    <t xml:space="preserve">ומנופח כאשר השווי האמיתי נמוך יותר. </t>
  </si>
  <si>
    <t xml:space="preserve">במקרה זה, סקירה מהירה גילתה לי שניתן לרכוש אייפון זהה לחלוטין ב-5,600 ש״ח. </t>
  </si>
  <si>
    <t xml:space="preserve">לכן, חילוץ הריבית האמיתית בעסקה דורש מאיתנו התייחסות ביקורתית לגבי שווי המוצר שהתקבל </t>
  </si>
  <si>
    <t>בפועל, שהוא ורק הוא יהיה ה-PV ה״אמיתי״ ורק על בסיסו ניתן יהיה לחלץ את הריבית האפקטיבית האמיתית:</t>
  </si>
  <si>
    <t>מספר התשלומים הנתון</t>
  </si>
  <si>
    <t>גובה כל תשלום נתון</t>
  </si>
  <si>
    <t>בתכל׳ס שווי האייפון הוא</t>
  </si>
  <si>
    <t xml:space="preserve">Solve = </t>
  </si>
  <si>
    <t>ריבית אפקטיבית חודשית</t>
  </si>
  <si>
    <t>מקרה 2.2 - חילוץ ריבית באחוזים המסתתרת בהסדר תשלומים - יותר קרוב לסגנון בחינה</t>
  </si>
  <si>
    <t>ידוע לכם שאם תתעקשו לשלם במזומן, תוכלו לקבל הנחה בשיעור של 10% ממחיר המחירון.</t>
  </si>
  <si>
    <t xml:space="preserve">[(1 + 0.35214%)^12 - 1]*100 = </t>
  </si>
  <si>
    <t>לעיל - התחלנו בביצוע יישומים של ערך נוכחי. למה הכוונה ביישומים?</t>
  </si>
  <si>
    <t>בוצע במפגש 5</t>
  </si>
  <si>
    <t>מפה והלאה 6</t>
  </si>
  <si>
    <t>= 1%</t>
  </si>
  <si>
    <t>סכום בודד בסוף - יוזן כ-FV</t>
  </si>
  <si>
    <t>יישום 5.1 - האם משי יכולה לפרוש לפנסיה?</t>
  </si>
  <si>
    <t>משי בת 20 היום. היא מעוניינת להפקיד בתום כל חודש לפנסיה סכום של 400 ש״ח.</t>
  </si>
  <si>
    <t>ברצונה לצאת לפנסיה מוקדמת בגיל 50, ובכדי לאפשר זאת, היא מעוניינת למשוך</t>
  </si>
  <si>
    <t>קצבה בסכום של 5,000 ש״ח בתום כל חודש (לאחר גיל 50) במשך 35 שנה.</t>
  </si>
  <si>
    <t>בהנחה שהפנסיה מניבה תשואה (ריבית) שנתית בשיעור 10%, נדרש:</t>
  </si>
  <si>
    <t>א. מהו הסכום הכולל שיעמוד לרשותה של משי ערב פרישתה?</t>
  </si>
  <si>
    <t>ב. האם הסכום הנצבר (סעיף א) יספיק לטובת הקצבה הנדרשת?</t>
  </si>
  <si>
    <t>מבוא לפתרון:</t>
  </si>
  <si>
    <t>כאשר אני מפקיד לפנסיה, ומעוניין לדעת מה הקצבה שלי, תהליך העבודה יהיה מורכב מהשלבים הבאים:</t>
  </si>
  <si>
    <t>CMPD - חישוב ערך עתידי ערב הפרישה</t>
  </si>
  <si>
    <t>תחילה (א) - נחשב את הסכום הכולל הנצבר ערב הפרישה - FV - משי בת 20, מפקידה עד גיל 50, כלומר 30 שנה * 12 הפקדות חודשיות בחודש = n=360</t>
  </si>
  <si>
    <t xml:space="preserve">נדרשת ריבית לחודש </t>
  </si>
  <si>
    <r>
      <rPr>
        <sz val="9"/>
        <color theme="0"/>
        <rFont val="David"/>
        <family val="2"/>
        <charset val="177"/>
      </rPr>
      <t>,</t>
    </r>
    <r>
      <rPr>
        <sz val="9"/>
        <color theme="1"/>
        <rFont val="David"/>
        <family val="2"/>
        <charset val="177"/>
      </rPr>
      <t>=((1+10%)^(1/12)-1)*100</t>
    </r>
  </si>
  <si>
    <t>כי אין תשלום / תקבול חד פעמי מיידי</t>
  </si>
  <si>
    <t>בשלב השני (ב) - אתייחס לסכום בפרישה כ-PV ובודק (מחשב / מחלץ) את ה-PMT (הקצבה החודשית שתנבע מכך) &gt;&gt;&gt; FV ל-PV בסימן הפוך - משיכות במשך 35 שנה.</t>
  </si>
  <si>
    <t xml:space="preserve">בתיבת התשובה הסופית: ההפקדות יאפשרו למשי למשוך 6,822.53 ש״ח כל חודש, סכום שגבוה מהקצבה הנדרשת: 5,000 ש״ח. </t>
  </si>
  <si>
    <t>יישום 5.2 - קצבה של צעיר ושל אזרח ותיק</t>
  </si>
  <si>
    <t>מבוא:</t>
  </si>
  <si>
    <t xml:space="preserve">בשאלה הקודמת, סכום ההפקדות היה נתון. לכן, היה מאד הגיוני לחשב FV של ההפקדות ואיתו להמשיך. </t>
  </si>
  <si>
    <t xml:space="preserve">בשאלה הזו, סכום ההפקדות איננו נתון. דווקא סכום המשיכות נתון. </t>
  </si>
  <si>
    <t xml:space="preserve">לכן, פה לא אוכל להתחיל מ-FV הפקדות, אעבוד הפוך, אתחיל מ-PV משיכות ואז אעביר אותו ל-FV הפקדות. </t>
  </si>
  <si>
    <t>השלב הראשון - דווקא להתייחס למשיכות, כי לגביהן יש יותר נתונים</t>
  </si>
  <si>
    <t>כפול 12 משיכות בחודש</t>
  </si>
  <si>
    <t>שנות משיכה: 120-45 = 75</t>
  </si>
  <si>
    <t>בשלב השני - נעבור לצד שבו חסרים נתונים (צד ההפקדות):</t>
  </si>
  <si>
    <t>ה-PV של המשיכות שווה</t>
  </si>
  <si>
    <t>ל-FV של ההפקדות</t>
  </si>
  <si>
    <r>
      <t xml:space="preserve">מפגש 7 - יסודות המימון א - חישובי ריבית: </t>
    </r>
    <r>
      <rPr>
        <b/>
        <sz val="12"/>
        <color theme="1"/>
        <rFont val="David"/>
        <family val="2"/>
        <charset val="177"/>
      </rPr>
      <t>שיעור (%) הריבית האפקטיבית</t>
    </r>
  </si>
  <si>
    <t xml:space="preserve">עד כה, ברוב העסקאות שביצענו הריבית היתה נתונה. </t>
  </si>
  <si>
    <t xml:space="preserve">זה נכון שבמקרים רבים היינו צריכים להתאים את תקופת הריבית - למשל - משנה לחודש, מרבעון לשנה וכן הלאה -  </t>
  </si>
  <si>
    <t>רקע - מה שכבר ״היה״</t>
  </si>
  <si>
    <t>מטרה - לקחת את נושא הריבית צעד קדימה:</t>
  </si>
  <si>
    <t>נניח שעסקה מסוימת, למשל הלוואה, כוללת מגוון רחב של נתונים, כגון:</t>
  </si>
  <si>
    <t>א. עמלות</t>
  </si>
  <si>
    <t>ב. תשלומים מראש</t>
  </si>
  <si>
    <t>ג. ריבית דריבית</t>
  </si>
  <si>
    <t xml:space="preserve">איך אפשר, אם בכלל, לשלב את השפעתם כדי להגיע לריבית ה״כוללת״ (=אפקטיבית). </t>
  </si>
  <si>
    <t>ריבית נתונה</t>
  </si>
  <si>
    <t>ריבית דריבית</t>
  </si>
  <si>
    <t>תשלומים מראש</t>
  </si>
  <si>
    <t>עמלות</t>
  </si>
  <si>
    <t>המושג: ריבית אפקטיבית = ריבית אמיתית / כוללת בעסקה</t>
  </si>
  <si>
    <t>המקרה הפשוט ביותר לחישוב ריבית אפקטיבית - מצב שבו ידוע כמה מקבלים וכמה משלמים - שני תשלומים בלבד</t>
  </si>
  <si>
    <t>היום</t>
  </si>
  <si>
    <t>סך ההחזר</t>
  </si>
  <si>
    <t>קרן</t>
  </si>
  <si>
    <r>
      <t xml:space="preserve">ריבית בש״ח: ההפרש בין </t>
    </r>
    <r>
      <rPr>
        <sz val="12"/>
        <color rgb="FFFF0000"/>
        <rFont val="David"/>
        <family val="2"/>
        <charset val="177"/>
      </rPr>
      <t>סך התשלום בסוף</t>
    </r>
  </si>
  <si>
    <r>
      <t xml:space="preserve">לבין </t>
    </r>
    <r>
      <rPr>
        <sz val="12"/>
        <color rgb="FF00B050"/>
        <rFont val="David"/>
        <family val="2"/>
        <charset val="177"/>
      </rPr>
      <t>סך הקרן בהתחלה</t>
    </r>
  </si>
  <si>
    <t>כדי לקבל ריבית tפקטיבית באחוזים נכפול ב-100: 12% = 0.12 * 100</t>
  </si>
  <si>
    <t>נוסחה מקצרת - לחישוב ריבית בעסקאות פשוטות ״תשלום אחד בהתחלה ותשלום אחד בסוף״:</t>
  </si>
  <si>
    <t>תשלום / תקבול בסוף בערך מוחלט</t>
  </si>
  <si>
    <t>תשלום / תקבול בהתחלה בערך מוחלט</t>
  </si>
  <si>
    <t>כדי לתרגם לאחוזים כופלים ב-100:</t>
  </si>
  <si>
    <t>0.12 * 100 = 12%</t>
  </si>
  <si>
    <t>כאשר</t>
  </si>
  <si>
    <t>עובדים</t>
  </si>
  <si>
    <t>בגישה</t>
  </si>
  <si>
    <t>זו</t>
  </si>
  <si>
    <t xml:space="preserve">הריבית </t>
  </si>
  <si>
    <t xml:space="preserve">המתקבלת </t>
  </si>
  <si>
    <t>היא לתקופת</t>
  </si>
  <si>
    <t xml:space="preserve">העסקה </t>
  </si>
  <si>
    <t>כולה</t>
  </si>
  <si>
    <t>האפקטיבית</t>
  </si>
  <si>
    <t>דוגמת מאי 1 - עסקה פשוטה עם תשלום בהתחלה ובסוף, והבנת המשמעות של ״הריבית לתקופת העסקה כולה״</t>
  </si>
  <si>
    <t xml:space="preserve">מאי מעוניינת ליטול היום הלוואה לטובת רכישת מכונה לחימום נקניק. </t>
  </si>
  <si>
    <t xml:space="preserve">סכום ההלוואה 143,000 ש״ח. </t>
  </si>
  <si>
    <t xml:space="preserve">ההלוואה ל-4 שנים, ותשולם בתשלום אחד של 185,000 ש״ח בתום השנה ה-4. </t>
  </si>
  <si>
    <t xml:space="preserve">בנוסף לתשלום הבודד הנ״ל, תצטרך מאי לשלם ״עמלת סילוק״ בתום השנה ה-4 בסך 3,000 ש״ח. </t>
  </si>
  <si>
    <t>א. מהי הריבית האפקטיבית לתקופת העסקה כולה (ריבית אפקטיבית ל-4 שנים)?</t>
  </si>
  <si>
    <t>ב. מהי הריבית האפקטיבית לשנה אחת?</t>
  </si>
  <si>
    <t>פתרון סעיף א:</t>
  </si>
  <si>
    <t>כאשר בנקודת זמן מסויימת</t>
  </si>
  <si>
    <t>קיימים מספר תשלומים</t>
  </si>
  <si>
    <t>תמיד נסכום את כולם</t>
  </si>
  <si>
    <t>לשם חישוב CF</t>
  </si>
  <si>
    <t>כלומר, אם בתום העסקה משלמים גם 185,000</t>
  </si>
  <si>
    <t>וגם 3,000 ש״ח</t>
  </si>
  <si>
    <t>מבחיתנו התשלום בסוף הוא 188,000</t>
  </si>
  <si>
    <t>נכפול ב-100 כדי לבטא את התוצאה באחוזים:</t>
  </si>
  <si>
    <t>נשאלת השאלה: לאיזו תקופה הריבית שחישבתי?</t>
  </si>
  <si>
    <t>לפי ההגדרה, חישוב הריבית בטכניקה זו (יחס)</t>
  </si>
  <si>
    <t>מוביל לריבית האפקטיבית לתקופת העסקה</t>
  </si>
  <si>
    <t xml:space="preserve">כולה - ריבית אפקטיבית ל-4 שנים במקרה זה. </t>
  </si>
  <si>
    <t xml:space="preserve">זה מה שרצו = זו התשובה לנדרש א. </t>
  </si>
  <si>
    <t>פתרון סעיף ב - הסעיף דורש את הריבית האפקטיבית לשנה אחת בלבד</t>
  </si>
  <si>
    <t xml:space="preserve">כיצד מבצעים המרה של ריבית מתקופה ״ארוכה לקצרה״? </t>
  </si>
  <si>
    <t xml:space="preserve">ריבית אפקטיבית מומרת מתקופה אחת לאחרת (ובפרט - מארוכה לקצרה) באמצעות חזקה עם שבר מתאים. </t>
  </si>
  <si>
    <t>רצוי: ריבית אפקטיבית לשנה 1</t>
  </si>
  <si>
    <t>מצוי:</t>
  </si>
  <si>
    <t>ריבית אפקטיבית ל-4 שנים</t>
  </si>
  <si>
    <t>מעריך החזקה: היחס בין הרצוי 1</t>
  </si>
  <si>
    <t>למצוי 4</t>
  </si>
  <si>
    <t>דוגמת מאי2 - חישוב ריבית אפקטיבית במקרה הפשוט כולל התאמה לשנה</t>
  </si>
  <si>
    <t xml:space="preserve">מאי שוקלת ליטול הלוואה לטובת רכש מכונת נקניק נוספת בסך 400,000 ש״ח. </t>
  </si>
  <si>
    <t xml:space="preserve">מיד במועד העמדת ההלוואה תשלם מאי סכום של 32,000 ש״ח. </t>
  </si>
  <si>
    <t>בסיום העסקה, תשלם מאי את:</t>
  </si>
  <si>
    <t>א. הקרן הבסיסית בסך 400,000 ש״ח ובנוסף</t>
  </si>
  <si>
    <t>ב. עמלת פרעון בסך 30,000 ש״ח ובנוסף</t>
  </si>
  <si>
    <t>ג. דמי אשראי בשיעור 10% מהקרן הבסיסית</t>
  </si>
  <si>
    <t xml:space="preserve">ההלוואה היא ל-6 שנים. </t>
  </si>
  <si>
    <t>נדרש: מהי הריבית האפקטיבית לשנה בעסקה.</t>
  </si>
  <si>
    <t>טיפ לפותר:</t>
  </si>
  <si>
    <t>השתמשו בנוסחה כדי לחשב</t>
  </si>
  <si>
    <t>את הריבית האפקטיבית לתקופת</t>
  </si>
  <si>
    <t>העסקה כולה</t>
  </si>
  <si>
    <t>באמצעות חזקה מתאימה המירו</t>
  </si>
  <si>
    <t>את התוצאה לשנה אחת</t>
  </si>
  <si>
    <t>אפשר לבצע את המכפלה</t>
  </si>
  <si>
    <t>ב-100 בתוך החישוב או אחר כך</t>
  </si>
  <si>
    <t>בשלב הראשון, מחשבים את הריבית האפקטיבית לתקופת העסקה כולה, לפי היחס בין סך התשלום בסוף בערך מוחלט</t>
  </si>
  <si>
    <t xml:space="preserve">לבין סך התקבול בהתחלה בערך מוחלט. </t>
  </si>
  <si>
    <t>סך התשלום בסוף:</t>
  </si>
  <si>
    <t>קרן בסיסית</t>
  </si>
  <si>
    <t>עמלת פרעון</t>
  </si>
  <si>
    <t>דמי אשראי</t>
  </si>
  <si>
    <t xml:space="preserve">10% * 400,000 = </t>
  </si>
  <si>
    <t>CFt</t>
  </si>
  <si>
    <t xml:space="preserve">שימו לב - למרות שנתון שמשלמים גם 32,000 ש״ח מיידית - הרי ש-CFt מוגדר בתור התשלומים בסוף בלבד. </t>
  </si>
  <si>
    <t>תשלום מיידי איננו תשלום בסוף, ולכן איננו חלק מה-CFt.</t>
  </si>
  <si>
    <t>סך התקבול בהתחלה:</t>
  </si>
  <si>
    <t>משולם מיד</t>
  </si>
  <si>
    <t>CF0</t>
  </si>
  <si>
    <t>כאשר נוטלים הלוואה ומיד במועד העמדתה</t>
  </si>
  <si>
    <t>צריך לשלם כסף, הסכום נטו שמקבלים בזמן זה,</t>
  </si>
  <si>
    <t xml:space="preserve">כלומר ה-CF0 יקטן. </t>
  </si>
  <si>
    <t>ריבית אפקטיבית לכל תקופת העסקה 6 שנים</t>
  </si>
  <si>
    <t xml:space="preserve">בשלב השני, נמיר את הריבית לתקופת העסקה כולה (6 שנים) לשנה אחת ע״י חזקה מתאימה שהיא היחס בין הרצוי (שנה) למצוי (שש שנים). </t>
  </si>
  <si>
    <t>ריבית אפקטיבית לשנה אחת = התשובה הסופית לשאלה.</t>
  </si>
  <si>
    <r>
      <t xml:space="preserve">המקרה </t>
    </r>
    <r>
      <rPr>
        <b/>
        <sz val="12"/>
        <color rgb="FFFF0000"/>
        <rFont val="David"/>
        <family val="2"/>
        <charset val="177"/>
      </rPr>
      <t>השני</t>
    </r>
    <r>
      <rPr>
        <b/>
        <sz val="12"/>
        <color theme="1"/>
        <rFont val="David"/>
        <family val="2"/>
        <charset val="177"/>
      </rPr>
      <t xml:space="preserve"> - חישוב ריבית אפקטיבית כאשר </t>
    </r>
    <r>
      <rPr>
        <b/>
        <u/>
        <sz val="12"/>
        <color theme="1"/>
        <rFont val="David"/>
        <family val="2"/>
        <charset val="177"/>
      </rPr>
      <t>הריבית הנקובה נתונה</t>
    </r>
    <r>
      <rPr>
        <b/>
        <sz val="12"/>
        <color theme="1"/>
        <rFont val="David"/>
        <family val="2"/>
        <charset val="177"/>
      </rPr>
      <t xml:space="preserve"> והיא </t>
    </r>
    <r>
      <rPr>
        <b/>
        <u/>
        <sz val="12"/>
        <color theme="1"/>
        <rFont val="David"/>
        <family val="2"/>
        <charset val="177"/>
      </rPr>
      <t>מחושבת כריבית דריבית</t>
    </r>
  </si>
  <si>
    <t>כאשר הריבית בעסקה היא ריבית נקובה ומחושבת מספר פעמים - נוצר תהליך חישובי שנקרא ״ריבית דריבית״</t>
  </si>
  <si>
    <t xml:space="preserve">שמוביל לכך שהריבית האפקטיבית / הכוללת היא גבוהה יותר מהריבית הרשומה בחוזה. </t>
  </si>
  <si>
    <t>מיד נדגים ונראה איך זה עובד.</t>
  </si>
  <si>
    <t>ונתרגל גם אותה.</t>
  </si>
  <si>
    <t>בשלב ראשון נבצע המחשה כדי להבין את ההיגיון (ארוך יחסית) ועל בסיס ההיגיון נבנה נוסחה מקוצרת</t>
  </si>
  <si>
    <r>
      <t>הריבית השנתית ה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היא 10%, והיא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</si>
  <si>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ב. מהי הריבית האפקטיבית השנתית (באחוזים).</t>
  </si>
  <si>
    <t>זה אומר שכל רבעון הבנק ״עוצר״ ומוסיף ריבית של רבעון אחד לקרן = כל רבעון הבנק יוסיף:</t>
  </si>
  <si>
    <t>10%/4 = 2.5%</t>
  </si>
  <si>
    <t>בתום הרבעון הראשון, הבנק יוסיף 2.5 לקרן והיתרה 102.5.</t>
  </si>
  <si>
    <t>בתום הרבעון השני, הבנק יוסיף 2.5% * 102.5 ל-102.5.</t>
  </si>
  <si>
    <t>וכן הלאה...</t>
  </si>
  <si>
    <t>בקצרה:</t>
  </si>
  <si>
    <t xml:space="preserve">100 * (1 + 10%/4) * (1+ 10%/4) * (1 + 10%/4) * (1 + 10%/4) </t>
  </si>
  <si>
    <t>יותר בקצרה:</t>
  </si>
  <si>
    <t xml:space="preserve">100 * (1 + 10%/4)^4 = </t>
  </si>
  <si>
    <t>סך הסכום הכספי שנקבל בסוף:</t>
  </si>
  <si>
    <t>פתרון - סעיף א</t>
  </si>
  <si>
    <t>במלים: כפלנו את הקרן הראשונית ב-1 ועוד ריבית יחסית לתקופת חישוב: 10% לשנה, חלקי 4 - כי החישוב כל רבעון.</t>
  </si>
  <si>
    <t>אחר כך העלינו בחזקת 4, כדי לבצע ריבית דריבית לשנה שלמה.</t>
  </si>
  <si>
    <r>
      <t xml:space="preserve">אם הריבית הנתונה 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לשנה: 10%.</t>
    </r>
  </si>
  <si>
    <r>
      <t xml:space="preserve">ונתון שהיא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</si>
  <si>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הכולל הנצבר בתום התקופה, הנוסחה תהיה:</t>
  </si>
  <si>
    <r>
      <t>אז בעצם: אם אני נתקל בשאלה שבה המלל הספציפי אומר ״</t>
    </r>
    <r>
      <rPr>
        <b/>
        <sz val="12"/>
        <color theme="1"/>
        <rFont val="David"/>
        <family val="2"/>
        <charset val="177"/>
      </rPr>
      <t>ריבית נקובה המחושבת כל</t>
    </r>
    <r>
      <rPr>
        <sz val="12"/>
        <color theme="1"/>
        <rFont val="David"/>
        <family val="2"/>
        <charset val="177"/>
      </rPr>
      <t>״ הרי שכדי לחשב את הסכום</t>
    </r>
  </si>
  <si>
    <t>הסכום הראשוני - הלוואה שאני לוקח/ת היום; או סכום הפקדה שאני מבצעת היום.</t>
  </si>
  <si>
    <t>הריבית הנקובה (החוזית) בלבד - אם הנתונים בשאלה אינם כוללים ריבית נקובה / חוזית לא נשתמש בנוסחה הזו.</t>
  </si>
  <si>
    <t xml:space="preserve">מספר תקופות חישוב הריבית בתקופת הריבית הנקובה הנתונה: </t>
  </si>
  <si>
    <t>הריבית הנקובה הנתונה = לשנה אחת פה = 10%</t>
  </si>
  <si>
    <t xml:space="preserve">אמרו שהריבית מחושבת כל רבעון. </t>
  </si>
  <si>
    <t xml:space="preserve">דרשו כאן - ריבית אפקטיבית לשנה. </t>
  </si>
  <si>
    <t>מספר תקופות חישוב הריבית בתקופה הנדרשת (הריבית האפקטיבית הנדרשת):</t>
  </si>
  <si>
    <t>הריבית מחושבת כל רבעון.</t>
  </si>
  <si>
    <r>
      <t xml:space="preserve">לכן ה-n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הנקובה (שנה)</t>
    </r>
    <r>
      <rPr>
        <sz val="12"/>
        <color theme="1"/>
        <rFont val="David"/>
        <family val="2"/>
        <charset val="177"/>
      </rPr>
      <t xml:space="preserve"> = 4.</t>
    </r>
  </si>
  <si>
    <r>
      <t xml:space="preserve">לכן ה-t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האפקטיבית הנדרשת (שנה)</t>
    </r>
    <r>
      <rPr>
        <sz val="12"/>
        <color theme="1"/>
        <rFont val="David"/>
        <family val="2"/>
        <charset val="177"/>
      </rPr>
      <t xml:space="preserve"> = 4. </t>
    </r>
  </si>
  <si>
    <t>נדרש ב - מהי הריבית האפקטיבית לשנה?</t>
  </si>
  <si>
    <t xml:space="preserve">העסקה כאן היא לשנה אחת. </t>
  </si>
  <si>
    <t xml:space="preserve">בעסקה אני מפקיד מיד 100 כלומר CF0=100, וכפי שהבהרתי בנדרש א, בסוף השנה אקבל: CFt=110.2891 </t>
  </si>
  <si>
    <t>אם אני יודע בדיוק כמה אני מפקיד בהתחלה וכמה אני מקבל בסוף, היחס בין הערכים פחות אחת הוא הריבית האפקטיבית</t>
  </si>
  <si>
    <t>לתקופת העסקה (שנה):</t>
  </si>
  <si>
    <t>טיפ: במקום לעבוד על נדרש א (חישוב הסכום הכולל) רק אז על נדרש ב (חישוב הריבית באחוזים), אפשר לעבוד</t>
  </si>
  <si>
    <t>על הנוסחה הבאה - לוקחת ריבית נקובה באחוזים המחושבת כל ____ והופכת אותה לאפקטיבית שנתית:</t>
  </si>
  <si>
    <t>כלומר - אין צורך חיוני לעבוד על CF אפשר להשתמש בנתונים</t>
  </si>
  <si>
    <t xml:space="preserve">באחוזים בלבד. </t>
  </si>
  <si>
    <t>re</t>
  </si>
  <si>
    <t>ריבית אפקטיבית באחוזים לתקופה הנדרשת</t>
  </si>
  <si>
    <t>R</t>
  </si>
  <si>
    <t>ריבית נקובה באחוזים</t>
  </si>
  <si>
    <t>כמה תקופות חישוב ריבית כלולות בתקופת הריבית הנקובה הנתונה</t>
  </si>
  <si>
    <t>t</t>
  </si>
  <si>
    <t>כמה תקופות חישוב ריבית כלולות בתקופת הריבית האפקטיבית הנדרשת</t>
  </si>
  <si>
    <t>שאלת מאי 3 - חישוב ריבית אפקטיבית בנוסחה המקצרת כאשר הריבית הנתונה נקובה ומחושבת מספר פעמים (ריבית דריבית)</t>
  </si>
  <si>
    <t xml:space="preserve">מאי מעוניינת לרכוש לארוסה מתנה לחתונה מקבוק פרו בעלות 30,000 ש״ח. </t>
  </si>
  <si>
    <t xml:space="preserve">לשם מימון 80% מסכום הרכישה, היא מעוניינת ליטול הלוואה לתקופה של 3 שנים. </t>
  </si>
  <si>
    <t xml:space="preserve">הריבית השנתית הנקובה בהלוואה היא 12%, והיא מחושבת כל חודש. </t>
  </si>
  <si>
    <t>א. מהי הריבית האפקטיבית השנתית?</t>
  </si>
  <si>
    <t>ב. כיצד תשתנה תשובתכם אם הריבית הנקובה החצי שנתית היא 8%, והיא מחושבת כל חודש?</t>
  </si>
  <si>
    <t xml:space="preserve">מבוא / רקע: למרות שיש כאן נתונים כספיים - כלומר, אפשר לחשב את CF0 ואת CFt, הואיל והמצב הוא שיש נתונים באחוזים </t>
  </si>
  <si>
    <t xml:space="preserve">של ריבית נקובה המחושבת כל _____ ניתן וכדאי להשתמש בנוסחת הקיצור כדי לחשב ריבית אפקטיבית שנתית באחוזים. </t>
  </si>
  <si>
    <t>כלומר, יש להשתמש בנוסחה הבאה:</t>
  </si>
  <si>
    <t>לשנה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</si>
  <si>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B050"/>
        <rFont val="David"/>
        <family val="2"/>
        <charset val="177"/>
      </rPr>
      <t>תקופת ריבית נקובה נתונה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</si>
  <si>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70C0"/>
        <rFont val="David"/>
        <family val="2"/>
        <charset val="177"/>
      </rPr>
      <t>תקופת ריבית אפקטיבית נדרשת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</si>
  <si>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לחצי 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</si>
  <si>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תקופת ריבית נקובה נתונה חצי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בחצי שנה</t>
    </r>
    <r>
      <rPr>
        <sz val="12"/>
        <color theme="1"/>
        <rFont val="David"/>
        <family val="2"/>
        <charset val="177"/>
      </rPr>
      <t xml:space="preserve"> = 6</t>
    </r>
  </si>
  <si>
    <r>
      <t xml:space="preserve">ב. כיצד תשתנה תשובתכם </t>
    </r>
    <r>
      <rPr>
        <b/>
        <sz val="12"/>
        <color theme="1"/>
        <rFont val="David"/>
        <family val="2"/>
        <charset val="177"/>
      </rPr>
      <t>לנדרש - ריבית אפקטיבית לשנה</t>
    </r>
    <r>
      <rPr>
        <sz val="12"/>
        <color theme="1"/>
        <rFont val="David"/>
        <family val="2"/>
        <charset val="177"/>
      </rPr>
      <t xml:space="preserve"> - אם הריבית הנקובה החצי שנתית היא 8%, והיא מחושבת כל חודש?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</si>
  <si>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תקופת ריבית אפקטיבית נדרשת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</si>
  <si>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מפגש 8 - יסודות המימון א - לוחות סילוקין, הלוואות ואינפלציה</t>
  </si>
  <si>
    <t xml:space="preserve">החלק הראשון של המפגש - חזרה, תרגול, חידוד - ומבנה ״רמת בחינה״ בנושא חישובי ריבית אפקטיבית </t>
  </si>
  <si>
    <t>ריכוז נוסחאות בסיסיות בנושא חישובי ריבית:</t>
  </si>
  <si>
    <t>המרת ריבית נקובה ב-% המחושבת מספר פעמים (ריבית דריבית) לריבית אפקטיבית ב-%:</t>
  </si>
  <si>
    <t>הריבית האפקטיבית לתקופה הנדרשת</t>
  </si>
  <si>
    <t>ריבית נקובה</t>
  </si>
  <si>
    <t>מספר תקופות חישוב הריבית בתקופת הריבית הנקובה ב-R</t>
  </si>
  <si>
    <t>מספר תקופות חישוב הריבית בתקופת הריבית האפקטיבית הנדרשת ב-re</t>
  </si>
  <si>
    <t>המרה של ריבית ב-% המנוכה מראש לריבית אפקטיבית ב-%:</t>
  </si>
  <si>
    <t>ריבית אפקטיבית לתקופת העסקה</t>
  </si>
  <si>
    <t>d</t>
  </si>
  <si>
    <t>שיעור הניכוי מראש (שיעור הריבית מראש) לתקופת העסקה</t>
  </si>
  <si>
    <t>כאשר ידוע / ניתן לחשב בקלות את הסכום ״בזמן 0״ ואת הסכום ״בתום העסקה״</t>
  </si>
  <si>
    <t>התשלום / התקבול בסוף (בערך מוחלט)</t>
  </si>
  <si>
    <t>התשלום / התקבול ההתחלתי (בערך מוחלט)</t>
  </si>
  <si>
    <t>המרת ריבית אפקטיבית נתונה לריבית אפקטיבית לתקופה אחרת</t>
  </si>
  <si>
    <t>מספר תקופות הריבית האפקטיבית הנתונה בתקופה הנדרשת - התקופה הרצויה חלקי התקופה המצויה</t>
  </si>
  <si>
    <t>ריבית אפקטיבית לתקופה הנדרשת - רצויה</t>
  </si>
  <si>
    <t>ריבית אפקטיבית לתקופה כלשהי - מצוי</t>
  </si>
  <si>
    <t>תרגיל ״מאי הנעדרת והנהדרת״ - חישובי ריבית מסוגים שונים - סגנון בחינה ושילוב נוסחאות</t>
  </si>
  <si>
    <t xml:space="preserve">מאי מעוניינת ליטול הלוואה בסך 100,000 ש״ח לתקופה של חצי שנה. </t>
  </si>
  <si>
    <t>מציעים לה את מסלולי ההלוואה הבאים:</t>
  </si>
  <si>
    <t>ב. מסלול הדורש תשלום ריבית מראש בשיעור 5% (לכל תקופת העסקה).</t>
  </si>
  <si>
    <t>ג. מסלול הדורש ממנה לשלם בתום התקופה (בתום חצי שנה) את הקרן בתוספת עמלת פרעון בסך 13,000 ש״ח.</t>
  </si>
  <si>
    <t>א. ריבית נקובה שנתית בשיעור 12% המחושבת כל חודש.</t>
  </si>
  <si>
    <t>ד. מסלול הדורש עמלת עריכת מסמכים בסך 4,000 ש״ח בתחילת התקופה, וכן נושא ריבית נקובה חצי שנתית בשיעור 3%</t>
  </si>
  <si>
    <t>המחושבת כל חודש ומשולמת במועד הפרעון.</t>
  </si>
  <si>
    <r>
      <t xml:space="preserve">נדרש: על בסיס חישוב הריבית האפקטיבית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בכל חלופה, מהו המסלול שתעדיף מאי?</t>
    </r>
  </si>
  <si>
    <t>ריבית נקובה (או ריבית חוזית) היא הריבית המופיעה בהסכם ההלוואה / ההשקעה. במקרים רבים ריבית זו שונה מהריבית</t>
  </si>
  <si>
    <t xml:space="preserve">האמיתית / הכוללת / האפקטיבית. </t>
  </si>
  <si>
    <t xml:space="preserve">המטרה היא לזהות כיצד (נוסחה / תהליך חישובי) נבצע את ההמרה מריבית נקובה לאפקטיבית. </t>
  </si>
  <si>
    <t>כאשר נתון הנתוני השאלה: ״ריבית נקובה בשיעור ____ המחושבת כל ____״ = חישוב של ריבית דריבית, שכדי לבטא</t>
  </si>
  <si>
    <t>את הריבית האפקטיבית / הכוללת בגינו, נשתמש בנוסחה שמתאימה לריבית דריבית:</t>
  </si>
  <si>
    <t xml:space="preserve">ההלוואה עצמה היא לחצי שנה. </t>
  </si>
  <si>
    <t xml:space="preserve">ריבית נקובה 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</si>
  <si>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הנקובה</t>
    </r>
  </si>
  <si>
    <r>
      <t xml:space="preserve">למרות זאת </t>
    </r>
    <r>
      <rPr>
        <b/>
        <sz val="12"/>
        <color theme="1"/>
        <rFont val="David"/>
        <family val="2"/>
        <charset val="177"/>
      </rPr>
      <t xml:space="preserve">דרשו ריבית אפקטיבית </t>
    </r>
    <r>
      <rPr>
        <b/>
        <sz val="12"/>
        <color rgb="FFFF0000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 xml:space="preserve"> שלמה</t>
    </r>
    <r>
      <rPr>
        <sz val="12"/>
        <color theme="1"/>
        <rFont val="David"/>
        <family val="2"/>
        <charset val="177"/>
      </rPr>
      <t>.</t>
    </r>
  </si>
  <si>
    <t>טיפ: אם תקופת הריבית הנקובה (כאן - שנה) זהה לתקופת הריבית האפקטיבית הנדרשת (שנה)</t>
  </si>
  <si>
    <t xml:space="preserve">המכנה ומעריך החזקה זהים. </t>
  </si>
  <si>
    <t>אם למשל תקופת הריבית הנקובה שנה, וביקשו ריבית אפקטיבית לתקופה נדרשת של חצי שנה</t>
  </si>
  <si>
    <t>המכנה והמעריך היו שונים: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</si>
  <si>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הנדרשת</t>
    </r>
    <r>
      <rPr>
        <sz val="9"/>
        <color theme="1"/>
        <rFont val="David"/>
        <family val="2"/>
        <charset val="177"/>
      </rPr>
      <t xml:space="preserve"> - האפקטיבית</t>
    </r>
  </si>
  <si>
    <r>
      <t xml:space="preserve">בקצרה: המרה </t>
    </r>
    <r>
      <rPr>
        <b/>
        <u/>
        <sz val="12"/>
        <color theme="1"/>
        <rFont val="David"/>
        <family val="2"/>
        <charset val="177"/>
      </rPr>
      <t>מריבית נקובה שנתית 12%</t>
    </r>
    <r>
      <rPr>
        <b/>
        <sz val="12"/>
        <color theme="1"/>
        <rFont val="David"/>
        <family val="2"/>
        <charset val="177"/>
      </rPr>
      <t xml:space="preserve"> </t>
    </r>
    <r>
      <rPr>
        <b/>
        <u/>
        <sz val="12"/>
        <color theme="1"/>
        <rFont val="David"/>
        <family val="2"/>
        <charset val="177"/>
      </rPr>
      <t>המחושבת</t>
    </r>
    <r>
      <rPr>
        <b/>
        <sz val="12"/>
        <color theme="1"/>
        <rFont val="David"/>
        <family val="2"/>
        <charset val="177"/>
      </rPr>
      <t xml:space="preserve"> מספר פעמים (</t>
    </r>
    <r>
      <rPr>
        <b/>
        <u/>
        <sz val="12"/>
        <color theme="1"/>
        <rFont val="David"/>
        <family val="2"/>
        <charset val="177"/>
      </rPr>
      <t>כל חודש</t>
    </r>
    <r>
      <rPr>
        <b/>
        <sz val="12"/>
        <color theme="1"/>
        <rFont val="David"/>
        <family val="2"/>
        <charset val="177"/>
      </rPr>
      <t xml:space="preserve">) לריבית אפקטיבית </t>
    </r>
    <r>
      <rPr>
        <b/>
        <u/>
        <sz val="12"/>
        <color theme="1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>:</t>
    </r>
  </si>
  <si>
    <t>אם זיהיתי שיעור מסוים מסכום העסקה (אחוז מסוים) שעליי לשלם מראש, אזי סכום זה מקטין את הסכום הראשוני,</t>
  </si>
  <si>
    <t>והנוסחה המתאימה עבורו תהיה:</t>
  </si>
  <si>
    <t>הריבית האפקטיבית לתקופת העסקה</t>
  </si>
  <si>
    <t>ב. מסלול הדורש תשלום ריבית מראש בשיעור 5% (לכל תקופת העסקה). כאן תקופת העסקה חצי שנה.</t>
  </si>
  <si>
    <t>אחוז (שיעור) הניכוי מראש (משלמים מראש) בתחילת העסקה</t>
  </si>
  <si>
    <t>תזכורת: נתוני העסקה הם לחצי שנה, לכן הריבית האפקטיבית שחושבה בדרך זו שהיא לתקופת העסקה זוהי</t>
  </si>
  <si>
    <t>ריבית אפקטיבית חצי שנתית.</t>
  </si>
  <si>
    <t xml:space="preserve">אם רוצים (וזה הנדרש) לחשב ריבית אפקטיבית לשנה, נדרשת פעולה נוספת. </t>
  </si>
  <si>
    <t>ריבית אפקטיבית לתקופת העסקה = חצי שנה:</t>
  </si>
  <si>
    <t xml:space="preserve">אופן ההמרה מריבית אפקטיבית לחצי שנה - לריבית אפקטיבית לשנה שאותה דרשו - יבוצע עם נוסחה אחרת - </t>
  </si>
  <si>
    <t>נוסחת החזקה ה״מוכרת״:</t>
  </si>
  <si>
    <t>נדרשת - ריבית אפקטיבית לשנה</t>
  </si>
  <si>
    <t>נתונה / חושב</t>
  </si>
  <si>
    <t>קודם (לחצי שנה)</t>
  </si>
  <si>
    <t xml:space="preserve">מספר </t>
  </si>
  <si>
    <t>תקופות</t>
  </si>
  <si>
    <t>הריבית</t>
  </si>
  <si>
    <t>רצוי: שנה, חלקי מצוי: חצי שנה</t>
  </si>
  <si>
    <t>ריבית אפקטיבית לשנה מסלול 2:</t>
  </si>
  <si>
    <t>הנתונה - חצי שנה</t>
  </si>
  <si>
    <t>בתקופה הנדרשת - שנה, לכן 2</t>
  </si>
  <si>
    <r>
      <t xml:space="preserve">א. ריבית נקובה </t>
    </r>
    <r>
      <rPr>
        <b/>
        <sz val="12"/>
        <color rgb="FFFF0000"/>
        <rFont val="David"/>
        <family val="2"/>
        <charset val="177"/>
      </rPr>
      <t>שנתית</t>
    </r>
    <r>
      <rPr>
        <b/>
        <sz val="12"/>
        <color theme="1"/>
        <rFont val="David"/>
        <family val="2"/>
        <charset val="177"/>
      </rPr>
      <t xml:space="preserve"> בשיעור 12% המחושבת כל חודש.</t>
    </r>
  </si>
  <si>
    <t>כאשר זיהיתי שאלה שבה כל הסכומים כספיים - כלומר אומרים בסכום כספי כמה נקבל, כמה נשלם (הנתונים אינם</t>
  </si>
  <si>
    <t>באחוזים), בדרך כלל הדרך הקלה ביותר לחישוב הריבית האפקטיבית לתקופת העסקה - תתבסס על היחס בין הסכומים:</t>
  </si>
  <si>
    <t>נתוני השאלה: עסקת הלוואה לחצי שנה בסכום של 100,000 ש״ח, הדורשת תשלום בתום התקופה של הקרן בתוספת</t>
  </si>
  <si>
    <t xml:space="preserve">עמלת פרעון בסך 13,000 ש״ח. נדרש: ריבית אפקטיבית שנתית. </t>
  </si>
  <si>
    <t>הסכום הסופי נטו, שמתקבל / משולם בסיום העסקה: קרן 100,000 בתוספת 13,000 = 113,000</t>
  </si>
  <si>
    <t>הסכום הראשוני נטו, שמתקבל / משולם בזמן 0 - קרן נטו 100,000</t>
  </si>
  <si>
    <t>חשוב:מקרה זה (בדומה למקרה של ריבית מראש)</t>
  </si>
  <si>
    <t>מוביל לריבית אפקטיבית לתקופת העסקה</t>
  </si>
  <si>
    <t>כלומר התוצאה כאן היא ריבית אפקטיבית לחצי שנה</t>
  </si>
  <si>
    <t xml:space="preserve">כי ההלוואה היא לחצי שנה. </t>
  </si>
  <si>
    <t>אם דרשו (וכאן - אכן דרשו) להגיע לריבית האפקטיבית השנתית (לריבית אפקטיבית ששונה מתקופת העסקה)</t>
  </si>
  <si>
    <t>נדרש צעד נוסף - להמרה של האפקטיבית החצי שנתית לשנתית כי זו הדרישה:</t>
  </si>
  <si>
    <t>אפקטיבית חצי שנתית</t>
  </si>
  <si>
    <t>ריבית אפקטיבית לשנה מסלול 3:</t>
  </si>
  <si>
    <t>נתונים בקצרה: הלוואה 100,000 ש״ח, משלמים מיד 4,000 ש״ח, ובתום התקופה מחזירים קרן + ריבית נקובה חצי שנתית 3%</t>
  </si>
  <si>
    <t xml:space="preserve">כאשר מדובר במקרה מורכב הכולל שילוב של סכומים שונים, בתחילת תקופה, בתום תקופה, עם אחוזים וגם סכומים </t>
  </si>
  <si>
    <t>כספיים - ההמלצה החמה היא לייצר ציר זמן ועליו להציג את הערכים הכספיים נטו בתחילת התקופה ובסופה.</t>
  </si>
  <si>
    <t>כלומר, אעבוד עם נוסחת CF, פשוט תהיה לי עבודה נוספת כדי לחשב את ערכי CF.</t>
  </si>
  <si>
    <t>קרן הלוואה</t>
  </si>
  <si>
    <t>בניכוי תשלום מיידי</t>
  </si>
  <si>
    <t>תזרים נטו בזמן 0 = CF0</t>
  </si>
  <si>
    <t>המחושבת כל חודש. נדרשת ריבית אפקטיבית לשנה.</t>
  </si>
  <si>
    <t>כדי לחשב את סך התשלום בעתיד, כאשר הריבית הנקובה מחושבת מספר פעמים</t>
  </si>
  <si>
    <t>אעבוד באותו תהליך שדומה לנוסחת ריבית דריבית - ״בלי המינוס אחת״</t>
  </si>
  <si>
    <t>ה-n: מספר תקופות חישוב הריבית בתקופת הריבית הנקובה</t>
  </si>
  <si>
    <t>כאן: ריבית נקובה לחצי שנה, מחושבת כל חודש, =6</t>
  </si>
  <si>
    <t>ה-t: מספר תקופות חישוב הריבית בתקופה הנדרשת</t>
  </si>
  <si>
    <t>המטרה היא לחשב את סך ההחזר אחרי חצי שנה</t>
  </si>
  <si>
    <t>לכן המעריך הוא 6.</t>
  </si>
  <si>
    <t>לאחר שהסכומים בתחילת העסקה (זמן 0) ובסיומה (אחרי חצי שנה)</t>
  </si>
  <si>
    <t xml:space="preserve">ידועים, היחס ביניהם ישקף ריבית אפקטיבית לתקופת העסקה (חצי שנה). </t>
  </si>
  <si>
    <t>שימו לב, תמיד צריך לבדוק על מה הריבית מחושבת.</t>
  </si>
  <si>
    <t>אם הריבית מחושבת על כל הסכום הראשוני נטו,</t>
  </si>
  <si>
    <t>המקרה הפשוט והנפוץ, במקום המילה קרן</t>
  </si>
  <si>
    <t>יהיה C0</t>
  </si>
  <si>
    <t>ריבית אפקטיבית לחצי שנה:</t>
  </si>
  <si>
    <t>כאשר מדובר בעסקת הלוואה, הלווה יעדיף את החלופה שבה הריבית האפקטיבית במונחים שנתיים היא הנמוכה ביותר:</t>
  </si>
  <si>
    <t>תועדף חלופה ב שבה הריבית האפקטיבית היא הנמוכה ביותר.</t>
  </si>
  <si>
    <t xml:space="preserve">תשובה סופית </t>
  </si>
  <si>
    <t>לשאלת מבחן</t>
  </si>
  <si>
    <t>תרגיל ״מאי רפואה שלמה״ - חיזוק המקרה המורכב של ריבית מראש בתוספת צבירה של ריבית דריבית על סכום אחר</t>
  </si>
  <si>
    <t>מאי רפואה שלמה בע״מ (להלן: ״החברה״) נטלה ב-1.1.2025 הלוואה שתפרע כולה (קרן + ריבית צבורה) ב-31.12.2026</t>
  </si>
  <si>
    <t xml:space="preserve">כלומר בחלוף שנתיים שלמות. סכום קרן ההלוואה 500,000 ש״ח. </t>
  </si>
  <si>
    <t>ההלוואה דורשת תשלום מראש של דמי טיפול בשיעור 4% מסכום העסקה, כאשר קרן ההלוואה (המלאה) נושאת ריבית</t>
  </si>
  <si>
    <t>נקובה שנתית בשיעור 12% המחושבת כל חודש.</t>
  </si>
  <si>
    <t xml:space="preserve">א. מהי הריבית האפקטיבית לתקופת העסקה כולה (כלומר, ריבית אפקטיבית לשנתיים). </t>
  </si>
  <si>
    <t>נוסחת עזר (נוסחת ריבית) לחישוב CFt - כאשר קרן הלוואה / השקעה נושאת ריבית נקובה המחושבת מספר פעמים</t>
  </si>
  <si>
    <t>הסכום שעליו נצברת הריבית</t>
  </si>
  <si>
    <t>הריבית הנקובה הנתונה אשר נצברת על הקרן (אם יש כזו)</t>
  </si>
  <si>
    <t>מספר תקופות חישוב הריבית בתקופת הריבית הנקובה הנתונה</t>
  </si>
  <si>
    <t>מספר תקופות חישוב הריבית בתקופת העסקה</t>
  </si>
  <si>
    <t>כאשר אני מזהה שאלה שבה יש גם תשלומים בהתחלה, גם תשלומים בסוף, גם צבירה של ריבית דריבית - עירוב מקרים,</t>
  </si>
  <si>
    <t>בדרך כלל ההמלצה היא לנתח את הסכומים הכספיים בהתחלה ובסוף - CFt ו-CF0.</t>
  </si>
  <si>
    <t>ספציפית - אם זיהיתי עסקה שכוללת ריבית מראש / תשלום מראש, ובנוסף הקרן צוברת ריבית דריבית (ריבית נקובה</t>
  </si>
  <si>
    <t>המחושבת כל):</t>
  </si>
  <si>
    <t>קרן = קרן עסקה מוגדרת (לפני ניכויים)</t>
  </si>
  <si>
    <t>הערך d - שיעור התשלום מראש באחוזים</t>
  </si>
  <si>
    <t>הערך R - ריבית נקובה המשולמת בסוף</t>
  </si>
  <si>
    <t>הערך n - מספר תקופות חישוב הריבית בתקופת הנקובה</t>
  </si>
  <si>
    <t>הערך t - מספר תקופות חישוב הריבית בתקופת העסקה</t>
  </si>
  <si>
    <t>כך מגיעים לריבית האפקטיבית לתקופת</t>
  </si>
  <si>
    <t xml:space="preserve">העסקה כולה. </t>
  </si>
  <si>
    <t xml:space="preserve">תזכורת: הלוואה בסך 500,000 ש״ח, משלמים מיד שיעור של 4%, ובסוף העסקה (אחרי שנתיים) משלמים קרן בתוספת </t>
  </si>
  <si>
    <r>
      <t xml:space="preserve">ריבית נקובה שנתית בשיעור 12% המחושבת כל חודש.  </t>
    </r>
    <r>
      <rPr>
        <b/>
        <u/>
        <sz val="12"/>
        <color theme="1"/>
        <rFont val="David"/>
        <family val="2"/>
        <charset val="177"/>
      </rPr>
      <t>הנדרש הראשון שלנו (א) = ריבית אפקטיבית לתקופת העסקה (שנתיים).</t>
    </r>
    <r>
      <rPr>
        <b/>
        <sz val="12"/>
        <color theme="1"/>
        <rFont val="David"/>
        <family val="2"/>
        <charset val="177"/>
      </rPr>
      <t xml:space="preserve"> </t>
    </r>
  </si>
  <si>
    <t>מדוע n=12? גודל זה משקף את התשובה לשאלה: כמה תקופות חישוב ריבית (חודש)</t>
  </si>
  <si>
    <r>
      <t xml:space="preserve">נכנסות </t>
    </r>
    <r>
      <rPr>
        <u/>
        <sz val="12"/>
        <color theme="1"/>
        <rFont val="David"/>
        <family val="2"/>
        <charset val="177"/>
      </rPr>
      <t>בתקופת הריבית הנקובה</t>
    </r>
    <r>
      <rPr>
        <sz val="12"/>
        <color theme="1"/>
        <rFont val="David"/>
        <family val="2"/>
        <charset val="177"/>
      </rPr>
      <t xml:space="preserve"> (כאן - הריבית הנקובה היא לשנה). </t>
    </r>
  </si>
  <si>
    <t xml:space="preserve">לכן n הוא התשובה לשאלה - כמה חודשים נכנסים בשנה אחת = 12. </t>
  </si>
  <si>
    <t>מדוע t=24? גודל זה משקף את התשובה לשאלה: כמה תקופות חישוב ריבית (חודש)</t>
  </si>
  <si>
    <t xml:space="preserve">נכנסות בתקופת העסקה (כאן - תקופת העסקה היא שנתיים). </t>
  </si>
  <si>
    <t xml:space="preserve">לכן t הוא התשובה לשאלה - כמה חודשים נכנסים בשנתיים = 24. </t>
  </si>
  <si>
    <t>לתקופת העסקה כולה</t>
  </si>
  <si>
    <t>כלומר לשנתיים</t>
  </si>
  <si>
    <t>סעיף ב דרש ריבית אפקטיבית לשנה אחת - בשלב זה כבר יש ריבית אפקטיבית לשנתיים, לכן צריך רק חזקה מתאימה</t>
  </si>
  <si>
    <t>ריבית אפקטיבית לשנה אחת</t>
  </si>
  <si>
    <t>היחס הוא 0.5 ולכן זה מעריך החזקה.</t>
  </si>
  <si>
    <t xml:space="preserve">הסבר נוסף - המעריך בהתאמה האחרונה הוא התשובה לשאלה: מה היחס בין הרצוי (שנה) למצוי שחישבתי קודם (שנתיים). </t>
  </si>
  <si>
    <t>שאלת בית 1</t>
  </si>
  <si>
    <t>שיעורי בית לאחר מפגש 8 - במבחן יכולות להיות שאלות ברמה זו / ברמה שהוצגה במפגש / שילוב</t>
  </si>
  <si>
    <t>שאלת בית 2</t>
  </si>
  <si>
    <t>מסלול</t>
  </si>
  <si>
    <t>המועדפת</t>
  </si>
  <si>
    <t>לפירוט הדרך - לחצו דאבל קליק על התא הרלוונטי</t>
  </si>
  <si>
    <t>שאלת בית 3</t>
  </si>
  <si>
    <t>לווה יכולה לבחור בין החלופות הבאות בנטילת הלוואה ל-8 שנים אשר תוחזר בתשלום אחד של קרן וריבית:</t>
  </si>
  <si>
    <t>א. ריבית שנתית נקובה בשיעור 8% המחושבת כל 3 חודשים.</t>
  </si>
  <si>
    <t>ב. ריבית נקובה חצי שנתית בשיעור 4% המחושבת כל שנה.</t>
  </si>
  <si>
    <t>ג. ריבית נקובה חצי שנתית בשיעור 5% המחושבת כל רבעון.</t>
  </si>
  <si>
    <t>ד. ריבית שנתית נקובה בשיעור 9% המחושבת פעם בשנה.</t>
  </si>
  <si>
    <t xml:space="preserve">נדרש: חשבו את הריבית האפקטיבית השנתית בכל חלופה וציינו את החלופה המועדפת. </t>
  </si>
  <si>
    <t>חלופה</t>
  </si>
  <si>
    <t>ריבית אפק׳</t>
  </si>
  <si>
    <t xml:space="preserve">החלופה המועדפת היא חלופה ב. </t>
  </si>
  <si>
    <t>פתרון</t>
  </si>
  <si>
    <t>שאלת בית 4</t>
  </si>
  <si>
    <t>בונוני מעוניין לבצע הפקדה לפקדון לתקופה של 5 שנים. מציעים לו את החלופות הבאות:</t>
  </si>
  <si>
    <t xml:space="preserve">א. פקדון הנושא ריבית שנתית נקובה בשיעור 10% המחושבת כל חצי שנה. </t>
  </si>
  <si>
    <t>ב. פקדון הנושא ריבית חצי שנתית נקובה בשיעור 4% המחושבת כל חודש.</t>
  </si>
  <si>
    <t xml:space="preserve">ג. פקדון הנושא ריבית המשולמת מראש למשקיע בשיעור 40% לכל 5 השנים. </t>
  </si>
  <si>
    <t>ד. פקדון המקנה למשקיע תקבול חד פעמי בשיעור 10% מיד בסיום ההשקעה והקרן המקורית צוברת ריבית  בהתאם</t>
  </si>
  <si>
    <t>חשבו ריבית אפקטיבית שנתית בכל חלופה. מהו המסלול המועדף?</t>
  </si>
  <si>
    <t>קשה יותר</t>
  </si>
  <si>
    <t>א.</t>
  </si>
  <si>
    <t>ב.</t>
  </si>
  <si>
    <t>ג.</t>
  </si>
  <si>
    <t>שלב ראשון - ריבית אפקטיבית ל-5 שנים</t>
  </si>
  <si>
    <t>שלב שני - התאמה לשנה:</t>
  </si>
  <si>
    <t>ד.</t>
  </si>
  <si>
    <t>שלב שני - התאמה לשנה</t>
  </si>
  <si>
    <t xml:space="preserve">לריבית נקובה רבעונית בשיעור 2% המחושבת כל חודש. </t>
  </si>
  <si>
    <t xml:space="preserve">הואיל ומדובר בפקדון תועדף החלופה הנושאת את הריבית האפקטיבית הגבוהה ביותר, במקרה זה - חלופה ג. </t>
  </si>
  <si>
    <t>הסברים מורחבים יותר לבקשת משי:</t>
  </si>
  <si>
    <t>חלופה א:</t>
  </si>
  <si>
    <t xml:space="preserve">כאשר הריבית היא ריבית נקובה ה״מחושבת כל״ יש לפעול לפי הנוסחה שכוללת גם חילוק וגם חזקה. הואיל וחלקכם לא רואים טוב את </t>
  </si>
  <si>
    <t>הנוסחאות המתמטיות, אקליד כאן את הנוסחה בטקסט פשוט:</t>
  </si>
  <si>
    <t>הריבית הנקובה</t>
  </si>
  <si>
    <t>מספר תקופות החישוב בתקופת הריבית הנקובה</t>
  </si>
  <si>
    <t>מספר תקופות החישוב בתקופה הנדרשת (תקופת הריבית האפקטיבית שעליה שאלו)</t>
  </si>
  <si>
    <t>יישום:</t>
  </si>
  <si>
    <t>re = [(1 + R/n)^t - 1] * 100</t>
  </si>
  <si>
    <t xml:space="preserve">re = [(1 + 10%/4)^4 - 1] * 100 = </t>
  </si>
  <si>
    <t>כאשר 10% זו הריבית הנקובה, היא נתונה כריבית נקובה שנתית, ולכן - אם הריבית מחושבת כל רבעון, נחלק ב-4</t>
  </si>
  <si>
    <t xml:space="preserve">כי ישנם 4 רבעונים בשנה. </t>
  </si>
  <si>
    <t>לאחר מכן נעלה בחזקת 4. מדוע? כי החזקה מבטאת את מספר תקופות החישוב בתקופת הריבית האפקטיבית הנדרשת.</t>
  </si>
  <si>
    <t xml:space="preserve">למרות שהעסקה היא ל-5 שנים, רצו ריבית אפקטיבית לשנה; ובשנה יש 4 רבעונים. לכן החזקה 4. </t>
  </si>
  <si>
    <t>חלופה ב:</t>
  </si>
  <si>
    <t>בהתבסס על אותה נוסחה:</t>
  </si>
  <si>
    <t>היישום יהיה:</t>
  </si>
  <si>
    <t>re = [(1 + 4%/1)^2 - 1] * 100</t>
  </si>
  <si>
    <t>הריבית הנקובה עצמה נתונה - 4%. והיא לחצי שנה.</t>
  </si>
  <si>
    <t>בנוסף, נתון שהריבית מחושבת כל חצי שנה.</t>
  </si>
  <si>
    <t xml:space="preserve">אני מזכיר לכם שהמכנה (n) הוא התשובה לשאלה: כמה תקופות חישוב (חצי שנה) נכנסות בתקופה הנקובה (חצי שנה). </t>
  </si>
  <si>
    <t>כאן זה אומר ש-n=1 כי חצי שנה כלולה פעם אחת ב... חצי שנה. :)</t>
  </si>
  <si>
    <t>אחר כך נשאל את עצמנו, אם הריבית מחושבת כל חצי שנה, ואני נדרש לריבית אפקטיבית לשנה שלמה, מה מעריך החזקה?</t>
  </si>
  <si>
    <t>התשובה היא שמעריך החזקה t הוא התשובה לשאלה כמה תקופות חישוב (כמה חצאי שנים) נכנסים בתקופת הריבית</t>
  </si>
  <si>
    <t>האפקטיבית הנדרשת (בשנה) והתשובה היא 2. לכן, t=2.</t>
  </si>
  <si>
    <t>חלופה ג:</t>
  </si>
  <si>
    <t>re = [(1 + 3%/6)^12 - 1] * 100</t>
  </si>
  <si>
    <t>הריבית הנקובה עצמה נתונה - 3%, והיא לחצי שנה.</t>
  </si>
  <si>
    <t>בנוסף, נתון שהריבית מחושבת כל חודש.</t>
  </si>
  <si>
    <t xml:space="preserve">אני מזכיר לכם שהמכנה (n) הוא התשובה לשאלה: כמה תקופות חישוב ריבית (חודשים) נכנסות בתקופה הנקובה (חצי שנה). </t>
  </si>
  <si>
    <t xml:space="preserve">זה אומר ש-n=6 כי חודש נכנס ״6 פעמים״ בחצי שנה. </t>
  </si>
  <si>
    <t>אחר כך נשאל את עצמנו, אם הריבית מחושבת כל חודש, ואני נדרש לריבית אפקטיבית לשנה שלמה, מה מעריך החזקה?</t>
  </si>
  <si>
    <t xml:space="preserve">התשובה היא שמעריך החזקה t הוא התשובה לשאלה, כמה תקופות חישוב (כמה חודשים) נכנסים בתקופת הריבית </t>
  </si>
  <si>
    <t>האפקטיבית הנדרשת (בשנה) והתשובה היא 12. לכן  t=12.</t>
  </si>
  <si>
    <t>חלופה ד:</t>
  </si>
  <si>
    <t>re = [(1 + 10%/1)^1 - 1] * 100</t>
  </si>
  <si>
    <t>הריבית הנקובה עצמה נתונה - 10%, והיא לשנה.</t>
  </si>
  <si>
    <t>בנוסף נתון שהריבית מחושבת פעם בשנה.</t>
  </si>
  <si>
    <t>המכנה (n) הוא התשובה לשאלה: כמה תקופות חישוב ריבית (שנים) נכנסות בתקופה הנקובה (שנה). התשובה 1, לכן זה המכנה.</t>
  </si>
  <si>
    <t xml:space="preserve">המעריך (t) הוא התשובה לשאלה: כמה תקופות חישוב ריבית (שנים) נכנסות בתקופה האפקטיבית הנדרשת (שנה) לכן גם המעריך  1. </t>
  </si>
  <si>
    <t>נושא חדש - כדאיות פרויקטים</t>
  </si>
  <si>
    <t>הכלים שאותם יישמנו עד כה - ערך נוכחי - PV, ערך עתידי - FV, חילוצים, וחישובי ריבית - הם למעשה ״חישובים</t>
  </si>
  <si>
    <t>פיננסיים״. במלים אחרות, למדנו איך מחשבים שווי, או תמורה, או ריבית - ולא באמת עסקנו ״לעומק״ בקבלת</t>
  </si>
  <si>
    <t>החלטות עסקיות.</t>
  </si>
  <si>
    <t>אחת מסוגי ההחלטות העסקיות המשמעותיות ביותר - ברמת חברה - היא האם לבצע פרויקט / לנצל (לממש) הזדמנות</t>
  </si>
  <si>
    <t>השקעה או לא. ואנחנו צריכים להציג ולגבש קריטריונים שיעזרו לנו להחליט ״האם לבצע פרויקט או לא״.</t>
  </si>
  <si>
    <t>לשם כך:</t>
  </si>
  <si>
    <t xml:space="preserve">א. נגדיר פרויקט וסוגים שונים של פרויקטים. </t>
  </si>
  <si>
    <t>ב. נציג שני קריטריונים מרכזיים לבחינת כדאיות פרויקטים:</t>
  </si>
  <si>
    <t>IRR</t>
  </si>
  <si>
    <t xml:space="preserve">שיעור תשואה פנימי - Internal Rate of Return - שיעור תשואה באחוזים בפרויקט. </t>
  </si>
  <si>
    <t>NPV</t>
  </si>
  <si>
    <t xml:space="preserve">ערך נוכחי נקי - Net Present Value - שווי הפרויקט נטו, במונחים של ערך נוכחי. </t>
  </si>
  <si>
    <t>הגדרת פרויקט</t>
  </si>
  <si>
    <t>מבחינתנו - פרויקט מוגדר באופן פיננסי / תזרימי:</t>
  </si>
  <si>
    <t>אפיון מלא של סכומי תזרימי המזומנים (תשלומים - שלילי, ותקבולים - חיובי) ועיתויים (מתי בדיוק</t>
  </si>
  <si>
    <t xml:space="preserve">הם משולמים או מתקבלים). </t>
  </si>
  <si>
    <t>הדגמה למבנה של פרויקט ״סטנדרטי״ של השקעה היא כדלקמן:</t>
  </si>
  <si>
    <t>להלן נתוני פרויקט שמוצע לחברה:</t>
  </si>
  <si>
    <t>זמן</t>
  </si>
  <si>
    <t>זמן (שנים)</t>
  </si>
  <si>
    <t>תזרים - א׳ ש״ח</t>
  </si>
  <si>
    <t>האם פרויקט אחד (ספציפי) שמוצע לחברה הוא כדאי / לא - כלל הכרעה</t>
  </si>
  <si>
    <t xml:space="preserve">יש שתי גישות שעוזרות להחליט האם פרויקט מסויים הוא כדאי או לא. </t>
  </si>
  <si>
    <t xml:space="preserve">גישה 1: IRR = מחשבים את התשואה באחוזים שהפרויקט מניב (על ההשקעה). </t>
  </si>
  <si>
    <t xml:space="preserve">אחוז הריבית / עלות המימון </t>
  </si>
  <si>
    <t>שהחברה נדרשת לשלם</t>
  </si>
  <si>
    <t>לשם גיוס המימון הנדרש לפרויקט</t>
  </si>
  <si>
    <t>גם אם, למשל, התשואה מהפרויקט חיובית</t>
  </si>
  <si>
    <t>בשיעור 5% לשנה, אם כדי לגייס את הכסף</t>
  </si>
  <si>
    <t>להשקעה החברה נוטלת הלוואה בריבית 8%,</t>
  </si>
  <si>
    <t xml:space="preserve">הפרויקט לא יהיה כדאי. </t>
  </si>
  <si>
    <t xml:space="preserve">גישה 2 - NPV = מחשבים את שווי הפרויקט נטו להיום - בש״ח. </t>
  </si>
  <si>
    <t xml:space="preserve">חישוב שווי הפרויקט יתחשב גם בתזרימי המזומנים, בעיתויים (מתי), במחיר ההון. </t>
  </si>
  <si>
    <t>כך שבעצם: בעוד ש-IRR בפני עצמו</t>
  </si>
  <si>
    <t>לא מעיד על כדאיות ויש להשוותו למחיר ההון,</t>
  </si>
  <si>
    <t>ה-NPV כבר מביא בחשבון את מחיר ההון,</t>
  </si>
  <si>
    <t>הפרויקט יהיה כדאי (פרויקט בודד בפני</t>
  </si>
  <si>
    <t xml:space="preserve">עצמו) כאשר ה-NPV שלו חיובי, </t>
  </si>
  <si>
    <t xml:space="preserve">ללא צורך בבדיקה נוספת. </t>
  </si>
  <si>
    <r>
      <t xml:space="preserve">הפרויקט יהיה כדאי אם  שיעור התשואה הנ״ל גבוה יותר </t>
    </r>
    <r>
      <rPr>
        <b/>
        <u/>
        <sz val="12"/>
        <color theme="1"/>
        <rFont val="David"/>
        <family val="2"/>
        <charset val="177"/>
      </rPr>
      <t>ממחיר ההון של החברה</t>
    </r>
    <r>
      <rPr>
        <b/>
        <sz val="12"/>
        <color theme="1"/>
        <rFont val="David"/>
        <family val="2"/>
        <charset val="177"/>
      </rPr>
      <t xml:space="preserve">. </t>
    </r>
  </si>
  <si>
    <t>תרגיל 1 - ״ברזילאית״ - יישום בסיסי של NPV ו- IRR לבחינת כדאיות פרויקט בודד והנמקה</t>
  </si>
  <si>
    <t>לחברת ״ברזילאית בע״מ״ (להלן: ״החברה״) הוצע להשקיע בפרויקט הבא:</t>
  </si>
  <si>
    <t>תזרים (א׳ ש״ח)</t>
  </si>
  <si>
    <t xml:space="preserve">בנוסף, ידוע כי מחיר ההון של החברה הוא 8% לשנה. </t>
  </si>
  <si>
    <t>(*)</t>
  </si>
  <si>
    <t>מחיר ההון = הוא כעין ריבית. מדוע רק ״כעין ריבית״ = כי בחברה יש מגוון מקורות מימון, וה״ריבית״</t>
  </si>
  <si>
    <t xml:space="preserve">המשוקללת בגין כולם (גיוס הון עצמי, גיוס חוב...) היא מחיר ההון. </t>
  </si>
  <si>
    <t>Cost of capital = מחיר ההון באחוזים</t>
  </si>
  <si>
    <t>מושג זה לא יישאל בבחינה ואין צורך לחשבו, אני רק מנסה להסביר מדוע באופן כללי עסקנו כל הקורס ריבית,</t>
  </si>
  <si>
    <t xml:space="preserve">אבל כשעוברים לעולם החברות, מקובל יותר המושג ״מחיר הון״. </t>
  </si>
  <si>
    <t xml:space="preserve">נדרש: חשבו את ה-IRR ואת ה-NPV של הפרויקט. חוו דעתכם, על בסיס כל קריטריון - האם הפרויקט כדאי / לא. </t>
  </si>
  <si>
    <t>כאשר אני נתקל בשאלה הכוללת הגדרה ברורה של נתונים תזרימיים של פרויקט על ציר זמן, לצד מחיר ההון - חישוב הערכים</t>
  </si>
  <si>
    <t>המתאימים לקבלת החלטה בדבר ביצוע / דחייה - נשענים על NPV ו-IRR, שאופן חישובם (במחשבון הפיננסי) הוא כדלקמן:</t>
  </si>
  <si>
    <t>הכפתור / הלחצן במחשבון הפיננסי שבאמצעותו נחשב IRR ו-NPV לפרויקטים הוא:</t>
  </si>
  <si>
    <t>מחיר ההון של החברה = חובה להזינו לשם חישוב NPV, אך לא לשם IRR</t>
  </si>
  <si>
    <t>הואיל ובשלב ראשון אני מחשב IRR, אין צורך להזין %I לכן נזין 0</t>
  </si>
  <si>
    <t>EXE</t>
  </si>
  <si>
    <t>Csh. D. Editor       &gt;&gt;&gt;</t>
  </si>
  <si>
    <t xml:space="preserve">אקליד לפי הסדר את </t>
  </si>
  <si>
    <t>תזרימי המזומנים</t>
  </si>
  <si>
    <t>הנתונים של הפרויקט</t>
  </si>
  <si>
    <t>המחשבון המעצבן:</t>
  </si>
  <si>
    <t>1, 2, 3 = 0, 1, 2</t>
  </si>
  <si>
    <t>אחרי הקלדת כל מספר, לוחצים על EXE כדי לעבור לשורה הבאה</t>
  </si>
  <si>
    <t>לאחר הזנת התזרים האחרון ---</t>
  </si>
  <si>
    <t>ESC</t>
  </si>
  <si>
    <t xml:space="preserve">IRR = </t>
  </si>
  <si>
    <t xml:space="preserve">המשמעות: פרויקט זה מניב לחברה המשקיעה תשואה שנתית ממוצעת בשיעור 43.6827%. </t>
  </si>
  <si>
    <t xml:space="preserve">כדי לדעת האם הפרויקט כדאי - נבדוק האם ערך זה גבוה ממחיר ההון שנתונה בשאלה כ-8%. </t>
  </si>
  <si>
    <t>המסקנה: הואיל ו-IRR (תשואת הפרויקט, 43.6827%) גבוה ממחיר ההון (עלות גיוס ההון לפרויקט - 8%) כדאי לבצע</t>
  </si>
  <si>
    <t>את הפרויקט לפי קריטריון ה-IRR.</t>
  </si>
  <si>
    <t>חישוב ה-IRR וקבלת החלטה על בסיסו:</t>
  </si>
  <si>
    <t>חישוב ה-NPV וקבלת החלטה על בסיסו:</t>
  </si>
  <si>
    <t>אופן חישוב ה-NPV במחשבון הפיננסי זהה עקרונית לחישוב IRR, עם שני שינויים טכניים קטנים:</t>
  </si>
  <si>
    <t xml:space="preserve">א. חובה להזין ב-%I את מחיר ההון לשם חישוב ה-NPV (כאן - מחיר ההון 8% לכן נזין 8). </t>
  </si>
  <si>
    <t>ב. לאחר הזנת התזרימים מבצעים SOLVE על NPV.</t>
  </si>
  <si>
    <t>הואיל וכעת אני מחשב NPV אני חייב להזין כאן את מחיר ההון שנתון כ-8%</t>
  </si>
  <si>
    <t xml:space="preserve">טיפ: אם כבר הזנתי את התזרימים קודם, לשם חישוב IRR, </t>
  </si>
  <si>
    <t xml:space="preserve">המחשבון זוכר אותם ואין צורך להזינם שנית. </t>
  </si>
  <si>
    <t xml:space="preserve">NPV = </t>
  </si>
  <si>
    <t xml:space="preserve">מסקנה: שווי הפרויקט נטו, בהתחשב בכל הסכומים - הסכום שמשלמים, הסכום שמקבלים ובהתחשב במחיר ההון - הריבית, </t>
  </si>
  <si>
    <t xml:space="preserve">הוא שווי חיובי של 1,081.19 באלפי ש״ח. </t>
  </si>
  <si>
    <t>הואיל והשווי נטו חיובי הפרויקט כדאי לפי קריטריון ה-NPV.</t>
  </si>
  <si>
    <t>למדנו בינתיים שכאשר מציגים בפניי פרויקט בודד ושואלים האם כדאי / לא כדאי לקבלו לפי קריטריון מסוים, נחשב</t>
  </si>
  <si>
    <t xml:space="preserve">את ערך הקריטריון ונשווה לתוצאה הרצויה. </t>
  </si>
  <si>
    <t xml:space="preserve">במקרה של חישוב IRR - הדרישה היא לערך גבוה ממחיר ההון. </t>
  </si>
  <si>
    <t xml:space="preserve">במקרה של חישוב NPV - הדרישה היא לערך חיובי. </t>
  </si>
  <si>
    <t>דיון בסיסי - המקרה שבו נדרש לבחור בין שני פרויקטים (״פרויקטים המוציאים זה את זה״)</t>
  </si>
  <si>
    <t>בדיון שנערך בתרגיל הקודם, עסקנו בפרויקט בודד.</t>
  </si>
  <si>
    <t xml:space="preserve">הגדרנו את התנאים לכדאיותו (NPV חיובי, ו-IRR שגבוה ממחיר ההון). </t>
  </si>
  <si>
    <t xml:space="preserve">אבל מה לגבי מצב שבו אין רק אפשרות אחת - אלא מוצעות בפניי (בפני החברה) מספר אפשרויות, וצריך לקחת </t>
  </si>
  <si>
    <t>את הטובה מביניהן?</t>
  </si>
  <si>
    <t>ככלל:</t>
  </si>
  <si>
    <t>כאשר מדרגים פרויקטים (מקבלים מספר פרויקטים ויש לבחור מי עדיף על מי), אזי:</t>
  </si>
  <si>
    <t xml:space="preserve">אם מבקשים לפעול לפי קריטריון ה-IRR: יועדף הפרויקט שה-IRR שלו הגבוה ביותר. </t>
  </si>
  <si>
    <t>אם מבקשים לפעול לפי קריטריון ה-NPV: יועדף הפרויקט שבו ה-NPV הגבוה ביותר.</t>
  </si>
  <si>
    <t>האם תתכן סתירה בדירוג לפי הקריטריונים? כן. במקרה כזה:</t>
  </si>
  <si>
    <t>ההחלטה הכלכלית - כלומר זו שעדיפה מנקודת ראות החברה באופן גורף - היא זו שמתבססת על NPV</t>
  </si>
  <si>
    <t xml:space="preserve">כי מטרת החברה איננה למקסם ערך באחוזים אלא למקסם את שוויה הכספי. </t>
  </si>
  <si>
    <t>תרגיל עמרי - בחירה בין פרויקטים של השקעה - לפי קריטריונים שונים</t>
  </si>
  <si>
    <t>לחברת ״עמרי״ בע״מ הוצע לבצע אחד מבין שני הפרויקטים הבאים (מוציאים זה את זה):</t>
  </si>
  <si>
    <t>א: אלפי ש״ח</t>
  </si>
  <si>
    <t>ב: אלפי ש״ח</t>
  </si>
  <si>
    <t>א. מהו ה-IRR של כל פרויקט?</t>
  </si>
  <si>
    <t>ב. איזה פרויקט יועדף לפי כלל ה-IRR בהנחה שמחיר ההון של החברה 4% לשנה?</t>
  </si>
  <si>
    <t>ג. מהו ה-NPV של כל פרויקט בהנחה שמחיר ההון של החברה 4% לשנה?</t>
  </si>
  <si>
    <t>ד. איזה פרויקט יועדף לפי כלל ה-NPV?</t>
  </si>
  <si>
    <t xml:space="preserve">ה. הסבירו את השוני בדירוג הפרויקטים. מה הסיבה לו, וכיצד תכריעו ביניהם מבחינה ניהולית.  </t>
  </si>
  <si>
    <t>טיפ למבחן - ברמה הטכנית - אם עליכם לחשב NPV וגם IRR</t>
  </si>
  <si>
    <t>למספר פרויקטים, הדרך הקצרה היא לחשב את שני הקריטריונים</t>
  </si>
  <si>
    <t>עבור כל פרויקט:</t>
  </si>
  <si>
    <t>מזינים את כל תזרימי הפרויקט &gt;&gt;&gt; SOLVE IRR</t>
  </si>
  <si>
    <t>ובלי לאפס מחשבון - מזינים ב-%I את מחיר ההון &gt;&gt;&gt; SOLVE NPV</t>
  </si>
  <si>
    <t>לאחר מכן מזינים את תזרימי הפרויקט הבא וחוזרים על התהליך</t>
  </si>
  <si>
    <t>לנדרשים א, ג</t>
  </si>
  <si>
    <t xml:space="preserve">משום שהוא גבוה יותר - ובעצמו גבוה ממחיר ההון. </t>
  </si>
  <si>
    <t>משום שהוא גבוה יותר - וחיובי בפני עצמו</t>
  </si>
  <si>
    <r>
      <rPr>
        <b/>
        <sz val="12"/>
        <color rgb="FFFF0000"/>
        <rFont val="David"/>
        <family val="2"/>
        <charset val="177"/>
      </rPr>
      <t>נדרש ב:</t>
    </r>
    <r>
      <rPr>
        <sz val="12"/>
        <color theme="1"/>
        <rFont val="David"/>
        <family val="2"/>
        <charset val="177"/>
      </rPr>
      <t xml:space="preserve"> הואיל ונדרש לבחור אחד מביניהם לכל היותר בלבד - בחירה לפי IRR היא כזו שתעדיף את א</t>
    </r>
  </si>
  <si>
    <r>
      <rPr>
        <b/>
        <sz val="12"/>
        <color rgb="FFFF0000"/>
        <rFont val="David"/>
        <family val="2"/>
        <charset val="177"/>
      </rPr>
      <t>נדרש ד:</t>
    </r>
    <r>
      <rPr>
        <sz val="12"/>
        <color theme="1"/>
        <rFont val="David"/>
        <family val="2"/>
        <charset val="177"/>
      </rPr>
      <t xml:space="preserve"> הואיל ונדרש לבחור לכל היותר אחד מבינהם, בחירה לפי NPV היא כזו שתעדיף את ב</t>
    </r>
  </si>
  <si>
    <t>נדרש ה - מה שקיבלנו זה שדירוג הפרויקטים לפי IRR שונה / סותר את דירוגם (והבחירה ביניהם) לפי NPV.</t>
  </si>
  <si>
    <t>מדוע זה קרה? איך יכול להיות שהפרויקט שנותן יותר באחוזים (כלומר IRR יותר גבוה, אפשרות א) מניב ערך כספי נמוך יותר (NPV של א נמוך יותר)?</t>
  </si>
  <si>
    <t>הסיבה: גודל השקעה שונה.</t>
  </si>
  <si>
    <t xml:space="preserve">אמנם בפרויקט א׳ אני מרוויח כ-13.82%, אבל תשואה זו היא על השקעה קטנה יחסית של 200. </t>
  </si>
  <si>
    <t xml:space="preserve">בפרויקט ב׳ אני מרוויח כ-5.92%, אבל תשואה זו היא על השקעה מאד גדולה של 2,000. </t>
  </si>
  <si>
    <t xml:space="preserve">בשפה פשוטה - להרוויח פחות באחוזים אבל על ״יותר כסף״ או על ״השקעה גבוהה יותר״ עשוי להוביל למצב שבו הערך הכספי יהיה גבוה יותר דווקא בחלופה עם התשואה הנמוכה (וההשקעה הגדולה). </t>
  </si>
  <si>
    <t>כלומר: אם עליי לבחור בין לבצע את (א) לבדו או את (ב) לבדו - יש להעדיף את הפרויקט שמגלם את השווי הכספי הגבוה ביותר - כלומר הבחירה הכלכלית היא לפי NPV</t>
  </si>
  <si>
    <t xml:space="preserve">ויש להעדיף את ב. </t>
  </si>
  <si>
    <t>בקצרה - מדריך למשתמש/ת:</t>
  </si>
  <si>
    <t>כאשר מקבלים נתונים על מספר פרויקטים המוציאים את זה = ניתן לבצע לכל היותר אחד מביניהם:</t>
  </si>
  <si>
    <t>א. אם דורשים במפורש להכריע לפי IRR - אז נחשב IRR ונבחר בגבוה.</t>
  </si>
  <si>
    <t xml:space="preserve">ב. אם דורשים במפורש להכריע לפי NPV - אז נחשב NPV ונבחר בגבוה. </t>
  </si>
  <si>
    <t xml:space="preserve">ג. אם דורשים את ההכרעה הנכונה ביותר מבחינה כלכלית - הNPV יכריע. </t>
  </si>
  <si>
    <t>ד. אחת מהסיבות המרכזיות לשוני בדירוג לפי IRR לעומת NPV הוא גודל השקעה שונה. לכן עקרונית / כלכלית</t>
  </si>
  <si>
    <t xml:space="preserve">עלינו להזהר מאד מקבלת החלטות על בסיס IRR במצבים שבהם סכומי ההשקעה שונים. </t>
  </si>
  <si>
    <t>שאלה בסגנון מבחן - NPV ו-IRR</t>
  </si>
  <si>
    <t>לפניכם נתונים לגבי 3 פרויקטים:</t>
  </si>
  <si>
    <t xml:space="preserve">מחיר ההון של החברה הוא 4% לשנה. </t>
  </si>
  <si>
    <t xml:space="preserve">א. חשבו את ה-NPV ואת ה-IRR של כל פרויקט. </t>
  </si>
  <si>
    <t>ב. בהנחה וניתן לבצע את הפרויקטים ללא מגבלה, איזה / אילו מהפרויקטים כדאי לבצע?</t>
  </si>
  <si>
    <t>ג. בהנחה שהפרויקטים מוציאים זה את זה, איזה פרויקט יועדף לפי IRR ואיזה יועדף לפי NPV?</t>
  </si>
  <si>
    <t xml:space="preserve">ד. האם התקבלה סתירה בין הדירוגים בסעיף ג? במידה וכן, ציינו בקצרה את הסיבה לה. </t>
  </si>
  <si>
    <t>ה. הניחו כעת כי ניתן לבצע את פרויקט א - 10 פעמים, וכי את הפרויקטים האחרים ניתן לבצע פעם אחת בלבד.</t>
  </si>
  <si>
    <t xml:space="preserve">מה החברה תבחר במצב כזה אם האפשרויות: 10 פעמים א, או: ב פעם אחת; או: ג פעם אחת. </t>
  </si>
  <si>
    <t>פתרון א, ב, ג, ד</t>
  </si>
  <si>
    <t>התהליך היה כזה:</t>
  </si>
  <si>
    <t xml:space="preserve">מזינים את התזרימים של פרויקט א, </t>
  </si>
  <si>
    <t>ואז מבצעים SOLVE IRR</t>
  </si>
  <si>
    <t>ואז חוזרים אחורה - ESC</t>
  </si>
  <si>
    <t>מזינים ב-%I את מחיר ההון 4</t>
  </si>
  <si>
    <t>ואז מבצעים SOLVE NPV</t>
  </si>
  <si>
    <t xml:space="preserve">על התהליך הנ״ל חוזרים במלואו גם עבור הפרויקטים ב ו-ג. </t>
  </si>
  <si>
    <t xml:space="preserve">כאשר ניתן לבצע פרויקטים ״ללא מגבלה״ = ניתן לבצע אחד מביניהם, שילוב כלשהו שלהם, או אף אחד. </t>
  </si>
  <si>
    <t xml:space="preserve">במצב כזה, כמובן שנבחר לבצע את כל הפרויקטים - בכולם ה-IRR גבוה ממחיר ההון ובכולם ה-NPV חיובי. </t>
  </si>
  <si>
    <t>לפי IRR - אם הפרויקטים מוציאים זה את זה (ניתן לבצע לכל היותר אחד מביניהם) יועדף הפרויקט בעל ה-IRR המירבי: א.</t>
  </si>
  <si>
    <t xml:space="preserve">לפי NPV - אם הפרויקטים מוציאים זה את זה יועדף הפרויקט בעל ה-NPV המירבי: ג. </t>
  </si>
  <si>
    <t xml:space="preserve">מבחינה כלכלית - ההחלטה הנכונה לחברה תשען על NPV שמגשים את מטרת הפירמה - השאת ערך כספי: ג. </t>
  </si>
  <si>
    <t>ד. הסבירו את מקור הסתירה בדירוג בין IRR לבין NPV</t>
  </si>
  <si>
    <t>הסיבה לסתירה היא גודל השקעה שונה: פרויקט א מניב תשואה גבוהה באחוזים על השקעה קטנה משמעותית</t>
  </si>
  <si>
    <t xml:space="preserve">מיתר הפרויקטים. לכן המשמעות הכספית (השווי הכספי) של הפרויקט כמשתקף ב-NPV נמוך יותר. </t>
  </si>
  <si>
    <t>א  כפול 10</t>
  </si>
  <si>
    <t>תזרימי פרויקט א כפול 10 חושבו באופן פשוט</t>
  </si>
  <si>
    <t>על ידי מכפלת התזרים בכל תקופה ותקופה</t>
  </si>
  <si>
    <t xml:space="preserve">ב-10. </t>
  </si>
  <si>
    <t>במידה וניתן לשכפל פרויקט:</t>
  </si>
  <si>
    <t>אפשר לכפול את תזרימיו בהתאם, ולחשב מחדש IRR ו-NPV</t>
  </si>
  <si>
    <t>ה-IRR חייב להשאר זהה</t>
  </si>
  <si>
    <t>וה-NPV גדל פי מספר השכפולים של הפרויקט:</t>
  </si>
  <si>
    <t xml:space="preserve">122.007 * 10 = </t>
  </si>
  <si>
    <t xml:space="preserve">NPV(A)*10 = </t>
  </si>
  <si>
    <t>שכפול פרויקט - התייחסות לבחירתך:</t>
  </si>
  <si>
    <t>שכפול התזרימים וחישוב מחדש</t>
  </si>
  <si>
    <r>
      <t xml:space="preserve">לחילופין -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:</t>
    </r>
  </si>
  <si>
    <r>
      <t xml:space="preserve">או לפי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.</t>
    </r>
  </si>
  <si>
    <t>ולכן, בריכוז הנתונים:</t>
  </si>
  <si>
    <t>הבחירה הכלכלית (שהיא הבחירה של החברה, אלא אם נאמר אחרת)</t>
  </si>
  <si>
    <t>היא לפי האפשרות שממקסמת את ה-NPV.</t>
  </si>
  <si>
    <t xml:space="preserve">ה-NPV המירבי הוא עדיין חלופה ג. </t>
  </si>
  <si>
    <t>מפגש 9 - כדאיות פרויקטים</t>
  </si>
  <si>
    <t xml:space="preserve">נקובה רבעונית בשיעור 2% המחושבת כל חודש. </t>
  </si>
  <si>
    <t>מענק</t>
  </si>
  <si>
    <t>קרן מקורית עם ריבית</t>
  </si>
  <si>
    <t>סך הכל תקבול בסוף</t>
  </si>
  <si>
    <t>סך הכל הריבית ל-5 שנים:</t>
  </si>
  <si>
    <t xml:space="preserve">(1.5898/1 - 1) * 100 = </t>
  </si>
  <si>
    <t xml:space="preserve">CFt = </t>
  </si>
  <si>
    <t xml:space="preserve">CF0 = </t>
  </si>
  <si>
    <t xml:space="preserve">(CFt / CF0 - 1) * 100 = </t>
  </si>
  <si>
    <t>כאשר בשאלה משלבים לי בין ריבית, למענקים, עם תוספות ועוד אירועים - כדאי לעבוד בגישה העקרונית של:</t>
  </si>
  <si>
    <t>חישוב סך הסכום שמשקיעים, נטו; לצדו חישוב סך הסכום שמקבלים בסוף - שמתחשב בתוספת המענק או בכל נתון אחר שמקבלים;</t>
  </si>
  <si>
    <t>ואז לעבוד על הנוסחה הזו:</t>
  </si>
  <si>
    <t xml:space="preserve">והטיפ הנוסף שלנו הוא: אם אין מידע כספי על קרן ההשקעה / ההלוואה, אפשר בהחלט להניח לצרכי החישוב קרן 1. </t>
  </si>
  <si>
    <t>אז מה עשינו פה? אמרנו, על כל השקעה של 1 ש״ח, בסוף התקופה מקבלים 10% מהשקל הזה (0.1),</t>
  </si>
  <si>
    <t>ובנוסף מקבלים את השקל כולו בתוספת ריבית דריבית:</t>
  </si>
  <si>
    <t xml:space="preserve">1*(1+2%/3)^60 = </t>
  </si>
  <si>
    <t xml:space="preserve">הרי נתון שהריבית 2% לרבעון מחושבת כל חודש - לכן חולקה ב-3, ואז העלינו בחזקת 60, כי יש 60 חודשים ב-5 שנים. </t>
  </si>
  <si>
    <t>ומדוע בחישוב של השקל עם הריבית אין מינוס אחת? כי המטרה היא לחשב סכום כולל בהקשר הזה לטובת CFt ולא את אחוז הריבית.</t>
  </si>
  <si>
    <t>ריבית זו חושבה לפי היחס בין התקבול בסוף התקופה לתקבול בתחילת התקופה, וכל זה פחות אחת. זו הריבית לתקופת העסקה</t>
  </si>
  <si>
    <t xml:space="preserve">כולה כלומר ל-5 שנים. </t>
  </si>
  <si>
    <t>ומה לגבי המרת הריבית למונחים שנתיים אפקטיביים? ובכן, המרה של ריבית אפקטיבית מתקופה לתקופה מבוצעת באמצעות</t>
  </si>
  <si>
    <t xml:space="preserve">מעריך חזקה מתאים; והואיל וצריך שנה מתוך 5, המעריך יהיה 1/5. </t>
  </si>
  <si>
    <t>לכן הריבית האפקטיבית השנתית המתאימה לסעיף ד׳ היא:</t>
  </si>
  <si>
    <t xml:space="preserve">[(1 + 58.9846%)^(1/5) - 1] * 100 = </t>
  </si>
  <si>
    <r>
      <rPr>
        <b/>
        <sz val="12"/>
        <color theme="1"/>
        <rFont val="David"/>
        <family val="2"/>
        <charset val="177"/>
      </rPr>
      <t>הסבר לסעיף ד - מפורט</t>
    </r>
    <r>
      <rPr>
        <sz val="12"/>
        <color theme="1"/>
        <rFont val="David"/>
        <family val="2"/>
        <charset val="177"/>
      </rPr>
      <t xml:space="preserve"> - פקדון המקנה למשקיע תקבול חד פעמי, 10%, מיד בסיום ההשקעה, והקרן המקורית צוברת ריבית לפי </t>
    </r>
  </si>
  <si>
    <t>הסבר לסעיף ג - מפורט:</t>
  </si>
  <si>
    <t xml:space="preserve">כאשר ישנה ריבית מראש בלבד, ללא תוספות או שינויים נוספים (בשונה מסעיף ד), הדרך הקלה ביותר לחשב ריבית אפקטיבית </t>
  </si>
  <si>
    <t>היא על ידי הנוסחה:</t>
  </si>
  <si>
    <t xml:space="preserve">1/(1-d) - 1 </t>
  </si>
  <si>
    <t>כאן:</t>
  </si>
  <si>
    <t xml:space="preserve">1/(1-40%) - 1 = </t>
  </si>
  <si>
    <t xml:space="preserve">זו הריבית האפקטיבית לכל תקופת העסקה, ל-5 שנים. </t>
  </si>
  <si>
    <t xml:space="preserve">[(1 + 66.667%)^(1/5) - 1] * 100 = </t>
  </si>
  <si>
    <t>הסברים נוספים ותרגול עצמי לא להגשה: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</si>
</sst>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  <numFmt numFmtId="175" formatCode="0.0000000%"/>
    <numFmt numFmtId="176" formatCode="_(* #,##0_);_(* \(#,##0\);_(* &quot;-&quot;??_);_(@_)"/>
  </numFmts>
  <fonts count="4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  <font>
      <sz val="9"/>
      <color theme="0"/>
      <name val="David"/>
      <family val="2"/>
      <charset val="177"/>
    </font>
    <font>
      <u/>
      <sz val="12"/>
      <color rgb="FF00B050"/>
      <name val="David"/>
      <family val="2"/>
      <charset val="177"/>
    </font>
    <font>
      <sz val="8"/>
      <name val="Aptos Narrow"/>
      <family val="2"/>
      <scheme val="minor"/>
    </font>
    <font>
      <u/>
      <sz val="12"/>
      <color rgb="FF0070C0"/>
      <name val="David"/>
      <family val="2"/>
      <charset val="177"/>
    </font>
    <font>
      <u/>
      <sz val="9"/>
      <color theme="1"/>
      <name val="David"/>
      <family val="2"/>
      <charset val="177"/>
    </font>
    <font>
      <u/>
      <sz val="9"/>
      <color rgb="FFFF0000"/>
      <name val="David"/>
      <family val="2"/>
      <charset val="177"/>
    </font>
    <font>
      <sz val="10"/>
      <color theme="2" tint="-0.249977111117893"/>
      <name val="David"/>
      <family val="2"/>
      <charset val="177"/>
    </font>
    <font>
      <sz val="12"/>
      <color rgb="FF000000"/>
      <name val="David"/>
      <family val="2"/>
      <charset val="177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 diagonalUp="1" diagonalDown="1">
      <left/>
      <right/>
      <top/>
      <bottom style="thin">
        <color indexed="64"/>
      </bottom>
      <diagonal style="thin">
        <color auto="1"/>
      </diagonal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0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9" fontId="2" fillId="0" borderId="0" xfId="0" applyNumberFormat="1" applyFont="1"/>
    <xf numFmtId="0" fontId="24" fillId="0" borderId="0" xfId="0" applyFont="1"/>
    <xf numFmtId="0" fontId="2" fillId="0" borderId="19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center"/>
    </xf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7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1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8" fillId="22" borderId="12" xfId="0" applyNumberFormat="1" applyFont="1" applyFill="1" applyBorder="1" applyAlignment="1">
      <alignment horizontal="center"/>
    </xf>
    <xf numFmtId="0" fontId="2" fillId="23" borderId="0" xfId="0" applyFont="1" applyFill="1"/>
    <xf numFmtId="0" fontId="3" fillId="23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29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29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0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0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24" borderId="0" xfId="0" applyFont="1" applyFill="1"/>
    <xf numFmtId="0" fontId="4" fillId="24" borderId="0" xfId="0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2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0" fontId="26" fillId="0" borderId="0" xfId="0" applyFont="1" applyAlignment="1">
      <alignment horizontal="center" wrapText="1"/>
    </xf>
    <xf numFmtId="0" fontId="31" fillId="22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25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15" fillId="0" borderId="0" xfId="0" applyFont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/>
    <xf numFmtId="0" fontId="2" fillId="10" borderId="0" xfId="0" applyFont="1" applyFill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10" borderId="0" xfId="0" applyFont="1" applyFill="1"/>
    <xf numFmtId="0" fontId="2" fillId="22" borderId="0" xfId="0" quotePrefix="1" applyFont="1" applyFill="1"/>
    <xf numFmtId="1" fontId="2" fillId="22" borderId="0" xfId="0" applyNumberFormat="1" applyFont="1" applyFill="1" applyAlignment="1">
      <alignment horizontal="center"/>
    </xf>
    <xf numFmtId="0" fontId="4" fillId="26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2" fontId="2" fillId="20" borderId="0" xfId="0" applyNumberFormat="1" applyFont="1" applyFill="1" applyAlignment="1">
      <alignment horizontal="center"/>
    </xf>
    <xf numFmtId="2" fontId="10" fillId="15" borderId="0" xfId="0" applyNumberFormat="1" applyFont="1" applyFill="1" applyAlignment="1">
      <alignment horizontal="center"/>
    </xf>
    <xf numFmtId="0" fontId="14" fillId="11" borderId="0" xfId="0" applyFont="1" applyFill="1"/>
    <xf numFmtId="0" fontId="27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175" fontId="2" fillId="2" borderId="0" xfId="0" applyNumberFormat="1" applyFont="1" applyFill="1"/>
    <xf numFmtId="172" fontId="2" fillId="2" borderId="0" xfId="1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172" fontId="2" fillId="9" borderId="0" xfId="1" applyNumberFormat="1" applyFont="1" applyFill="1"/>
    <xf numFmtId="0" fontId="3" fillId="0" borderId="12" xfId="0" applyFont="1" applyBorder="1"/>
    <xf numFmtId="0" fontId="2" fillId="0" borderId="3" xfId="0" applyFont="1" applyBorder="1" applyAlignment="1">
      <alignment horizontal="center"/>
    </xf>
    <xf numFmtId="9" fontId="2" fillId="0" borderId="0" xfId="0" applyNumberFormat="1" applyFont="1" applyAlignment="1">
      <alignment horizontal="center"/>
    </xf>
    <xf numFmtId="168" fontId="2" fillId="2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2" borderId="0" xfId="1" applyNumberFormat="1" applyFont="1" applyFill="1" applyAlignment="1">
      <alignment vertical="center"/>
    </xf>
    <xf numFmtId="0" fontId="2" fillId="27" borderId="0" xfId="0" applyFont="1" applyFill="1"/>
    <xf numFmtId="0" fontId="2" fillId="2" borderId="2" xfId="0" applyFont="1" applyFill="1" applyBorder="1"/>
    <xf numFmtId="0" fontId="2" fillId="2" borderId="3" xfId="0" applyFont="1" applyFill="1" applyBorder="1"/>
    <xf numFmtId="167" fontId="2" fillId="0" borderId="0" xfId="1" applyNumberFormat="1" applyFont="1" applyAlignment="1">
      <alignment horizontal="center"/>
    </xf>
    <xf numFmtId="167" fontId="2" fillId="2" borderId="0" xfId="1" applyNumberFormat="1" applyFont="1" applyFill="1" applyAlignment="1">
      <alignment horizontal="center"/>
    </xf>
    <xf numFmtId="0" fontId="40" fillId="0" borderId="0" xfId="0" applyFont="1"/>
    <xf numFmtId="168" fontId="2" fillId="2" borderId="0" xfId="1" applyNumberFormat="1" applyFont="1" applyFill="1" applyAlignment="1">
      <alignment horizontal="center"/>
    </xf>
    <xf numFmtId="10" fontId="2" fillId="2" borderId="0" xfId="1" applyNumberFormat="1" applyFont="1" applyFill="1" applyAlignment="1">
      <alignment horizontal="center"/>
    </xf>
    <xf numFmtId="3" fontId="2" fillId="3" borderId="0" xfId="0" applyNumberFormat="1" applyFont="1" applyFill="1" applyAlignment="1">
      <alignment horizontal="center"/>
    </xf>
    <xf numFmtId="10" fontId="3" fillId="0" borderId="5" xfId="0" applyNumberFormat="1" applyFont="1" applyBorder="1"/>
    <xf numFmtId="10" fontId="3" fillId="0" borderId="0" xfId="0" applyNumberFormat="1" applyFont="1"/>
    <xf numFmtId="166" fontId="3" fillId="0" borderId="0" xfId="0" applyNumberFormat="1" applyFont="1"/>
    <xf numFmtId="0" fontId="3" fillId="0" borderId="10" xfId="0" applyFont="1" applyBorder="1"/>
    <xf numFmtId="176" fontId="2" fillId="2" borderId="0" xfId="2" applyNumberFormat="1" applyFont="1" applyFill="1"/>
    <xf numFmtId="167" fontId="2" fillId="12" borderId="0" xfId="1" applyNumberFormat="1" applyFont="1" applyFill="1"/>
    <xf numFmtId="0" fontId="5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41" fillId="0" borderId="0" xfId="0" applyFont="1" applyAlignment="1">
      <alignment readingOrder="2"/>
    </xf>
    <xf numFmtId="0" fontId="41" fillId="0" borderId="0" xfId="0" applyFont="1" applyAlignment="1">
      <alignment readingOrder="1"/>
    </xf>
    <xf numFmtId="10" fontId="41" fillId="0" borderId="0" xfId="0" applyNumberFormat="1" applyFont="1" applyAlignment="1">
      <alignment readingOrder="1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168" fontId="2" fillId="2" borderId="0" xfId="1" applyNumberFormat="1" applyFont="1" applyFill="1" applyAlignment="1">
      <alignment horizontal="center" vertical="center"/>
    </xf>
    <xf numFmtId="167" fontId="2" fillId="0" borderId="0" xfId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/>
    <xf numFmtId="0" fontId="25" fillId="23" borderId="0" xfId="0" applyFont="1" applyFill="1"/>
    <xf numFmtId="0" fontId="2" fillId="0" borderId="0" xfId="0" applyFont="1" applyBorder="1"/>
    <xf numFmtId="0" fontId="3" fillId="0" borderId="0" xfId="0" applyFont="1" applyBorder="1"/>
    <xf numFmtId="10" fontId="2" fillId="4" borderId="0" xfId="0" applyNumberFormat="1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1" xfId="0" applyFont="1" applyBorder="1"/>
    <xf numFmtId="10" fontId="2" fillId="4" borderId="21" xfId="0" applyNumberFormat="1" applyFont="1" applyFill="1" applyBorder="1" applyAlignment="1">
      <alignment horizontal="center"/>
    </xf>
    <xf numFmtId="2" fontId="2" fillId="27" borderId="0" xfId="0" applyNumberFormat="1" applyFont="1" applyFill="1" applyAlignment="1">
      <alignment horizontal="center"/>
    </xf>
    <xf numFmtId="164" fontId="2" fillId="0" borderId="21" xfId="0" applyNumberFormat="1" applyFont="1" applyBorder="1" applyAlignment="1">
      <alignment horizontal="center"/>
    </xf>
    <xf numFmtId="10" fontId="2" fillId="0" borderId="0" xfId="1" applyNumberFormat="1" applyFont="1" applyAlignment="1">
      <alignment horizontal="center"/>
    </xf>
    <xf numFmtId="171" fontId="2" fillId="0" borderId="0" xfId="0" applyNumberFormat="1" applyFont="1"/>
    <xf numFmtId="0" fontId="2" fillId="0" borderId="0" xfId="1" applyNumberFormat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8AD8"/>
      <color rgb="FFD5FC79"/>
      <color rgb="FF73FDD6"/>
      <color rgb="FFD883FF"/>
      <color rgb="FFFFD579"/>
      <color rgb="FFE8FFC5"/>
      <color rgb="FF929000"/>
      <color rgb="FF8E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Relationship Id="rId9" Type="http://schemas.openxmlformats.org/officeDocument/2006/relationships/image" Target="../media/image3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7247827"/>
          <a:ext cx="1514489" cy="13589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635938"/>
          <a:ext cx="482599" cy="56173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3951" y="34320698"/>
          <a:ext cx="1141052" cy="949773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580819</xdr:colOff>
      <xdr:row>78</xdr:row>
      <xdr:rowOff>112697</xdr:rowOff>
    </xdr:from>
    <xdr:to>
      <xdr:col>3</xdr:col>
      <xdr:colOff>515697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 flipH="1">
          <a:off x="13490048467" y="16028874"/>
          <a:ext cx="758427" cy="1125018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179</xdr:row>
      <xdr:rowOff>140402</xdr:rowOff>
    </xdr:from>
    <xdr:to>
      <xdr:col>4</xdr:col>
      <xdr:colOff>70201</xdr:colOff>
      <xdr:row>184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193</xdr:row>
      <xdr:rowOff>188267</xdr:rowOff>
    </xdr:from>
    <xdr:to>
      <xdr:col>5</xdr:col>
      <xdr:colOff>299950</xdr:colOff>
      <xdr:row>195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193</xdr:row>
      <xdr:rowOff>207412</xdr:rowOff>
    </xdr:from>
    <xdr:to>
      <xdr:col>4</xdr:col>
      <xdr:colOff>654146</xdr:colOff>
      <xdr:row>198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215</xdr:row>
      <xdr:rowOff>51766</xdr:rowOff>
    </xdr:from>
    <xdr:to>
      <xdr:col>4</xdr:col>
      <xdr:colOff>65571</xdr:colOff>
      <xdr:row>220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223</xdr:row>
      <xdr:rowOff>31060</xdr:rowOff>
    </xdr:from>
    <xdr:to>
      <xdr:col>4</xdr:col>
      <xdr:colOff>355462</xdr:colOff>
      <xdr:row>224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223</xdr:row>
      <xdr:rowOff>0</xdr:rowOff>
    </xdr:from>
    <xdr:to>
      <xdr:col>3</xdr:col>
      <xdr:colOff>686766</xdr:colOff>
      <xdr:row>224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460851</xdr:colOff>
      <xdr:row>263</xdr:row>
      <xdr:rowOff>139225</xdr:rowOff>
    </xdr:from>
    <xdr:to>
      <xdr:col>10</xdr:col>
      <xdr:colOff>65399</xdr:colOff>
      <xdr:row>273</xdr:row>
      <xdr:rowOff>188148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5180823" y="53502744"/>
          <a:ext cx="2088104" cy="2071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285</xdr:row>
      <xdr:rowOff>149411</xdr:rowOff>
    </xdr:from>
    <xdr:to>
      <xdr:col>3</xdr:col>
      <xdr:colOff>323020</xdr:colOff>
      <xdr:row>295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285</xdr:row>
      <xdr:rowOff>115454</xdr:rowOff>
    </xdr:from>
    <xdr:to>
      <xdr:col>6</xdr:col>
      <xdr:colOff>692726</xdr:colOff>
      <xdr:row>297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</a:t>
          </a:r>
          <a:r>
            <a:rPr lang="en-US" sz="1100" baseline="0"/>
            <a:t> </a:t>
          </a:r>
          <a:r>
            <a:rPr lang="he-IL" sz="1100" baseline="0"/>
            <a:t>ומוצעות מספר חלופות לרכישה</a:t>
          </a:r>
          <a:r>
            <a:rPr lang="he-IL" sz="1100"/>
            <a:t>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287</xdr:row>
      <xdr:rowOff>101871</xdr:rowOff>
    </xdr:from>
    <xdr:to>
      <xdr:col>7</xdr:col>
      <xdr:colOff>543315</xdr:colOff>
      <xdr:row>287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299</xdr:row>
      <xdr:rowOff>45358</xdr:rowOff>
    </xdr:from>
    <xdr:to>
      <xdr:col>7</xdr:col>
      <xdr:colOff>795804</xdr:colOff>
      <xdr:row>308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319</xdr:row>
      <xdr:rowOff>25918</xdr:rowOff>
    </xdr:from>
    <xdr:to>
      <xdr:col>5</xdr:col>
      <xdr:colOff>425802</xdr:colOff>
      <xdr:row>320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325</xdr:row>
      <xdr:rowOff>51836</xdr:rowOff>
    </xdr:from>
    <xdr:to>
      <xdr:col>3</xdr:col>
      <xdr:colOff>509404</xdr:colOff>
      <xdr:row>332</xdr:row>
      <xdr:rowOff>150599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326</xdr:row>
      <xdr:rowOff>85160</xdr:rowOff>
    </xdr:from>
    <xdr:to>
      <xdr:col>5</xdr:col>
      <xdr:colOff>596122</xdr:colOff>
      <xdr:row>330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377</xdr:row>
      <xdr:rowOff>202573</xdr:rowOff>
    </xdr:from>
    <xdr:to>
      <xdr:col>3</xdr:col>
      <xdr:colOff>654351</xdr:colOff>
      <xdr:row>381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375</xdr:row>
      <xdr:rowOff>125970</xdr:rowOff>
    </xdr:from>
    <xdr:to>
      <xdr:col>6</xdr:col>
      <xdr:colOff>840880</xdr:colOff>
      <xdr:row>382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384</xdr:row>
      <xdr:rowOff>80126</xdr:rowOff>
    </xdr:from>
    <xdr:to>
      <xdr:col>9</xdr:col>
      <xdr:colOff>228360</xdr:colOff>
      <xdr:row>384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386</xdr:row>
      <xdr:rowOff>88139</xdr:rowOff>
    </xdr:from>
    <xdr:to>
      <xdr:col>7</xdr:col>
      <xdr:colOff>416655</xdr:colOff>
      <xdr:row>387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386</xdr:row>
      <xdr:rowOff>60093</xdr:rowOff>
    </xdr:from>
    <xdr:to>
      <xdr:col>4</xdr:col>
      <xdr:colOff>765203</xdr:colOff>
      <xdr:row>387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377</xdr:row>
      <xdr:rowOff>76120</xdr:rowOff>
    </xdr:from>
    <xdr:to>
      <xdr:col>8</xdr:col>
      <xdr:colOff>292461</xdr:colOff>
      <xdr:row>380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377</xdr:row>
      <xdr:rowOff>168264</xdr:rowOff>
    </xdr:from>
    <xdr:to>
      <xdr:col>2</xdr:col>
      <xdr:colOff>677067</xdr:colOff>
      <xdr:row>381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386</xdr:row>
      <xdr:rowOff>200316</xdr:rowOff>
    </xdr:from>
    <xdr:to>
      <xdr:col>4</xdr:col>
      <xdr:colOff>769212</xdr:colOff>
      <xdr:row>389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389</xdr:row>
      <xdr:rowOff>164258</xdr:rowOff>
    </xdr:from>
    <xdr:to>
      <xdr:col>5</xdr:col>
      <xdr:colOff>372588</xdr:colOff>
      <xdr:row>389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387</xdr:row>
      <xdr:rowOff>152240</xdr:rowOff>
    </xdr:from>
    <xdr:to>
      <xdr:col>5</xdr:col>
      <xdr:colOff>376594</xdr:colOff>
      <xdr:row>389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390</xdr:row>
      <xdr:rowOff>196309</xdr:rowOff>
    </xdr:from>
    <xdr:to>
      <xdr:col>1</xdr:col>
      <xdr:colOff>777224</xdr:colOff>
      <xdr:row>391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391</xdr:row>
      <xdr:rowOff>180284</xdr:rowOff>
    </xdr:from>
    <xdr:to>
      <xdr:col>5</xdr:col>
      <xdr:colOff>817288</xdr:colOff>
      <xdr:row>392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389</xdr:row>
      <xdr:rowOff>184290</xdr:rowOff>
    </xdr:from>
    <xdr:to>
      <xdr:col>6</xdr:col>
      <xdr:colOff>24038</xdr:colOff>
      <xdr:row>390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819215</xdr:colOff>
      <xdr:row>67</xdr:row>
      <xdr:rowOff>134369</xdr:rowOff>
    </xdr:from>
    <xdr:to>
      <xdr:col>8</xdr:col>
      <xdr:colOff>0</xdr:colOff>
      <xdr:row>70</xdr:row>
      <xdr:rowOff>190718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512198B4-431B-6469-A03B-B9F0AC674760}"/>
            </a:ext>
          </a:extLst>
        </xdr:cNvPr>
        <xdr:cNvSpPr/>
      </xdr:nvSpPr>
      <xdr:spPr>
        <a:xfrm>
          <a:off x="13486446416" y="13809625"/>
          <a:ext cx="1651434" cy="667509"/>
        </a:xfrm>
        <a:prstGeom prst="wedgeRoundRectCallout">
          <a:avLst>
            <a:gd name="adj1" fmla="val 68143"/>
            <a:gd name="adj2" fmla="val 4237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אפקטיבית = ריבית כוללת מתחשבת במנגנון</a:t>
          </a:r>
          <a:r>
            <a:rPr lang="he-IL" sz="1100" baseline="0"/>
            <a:t> של ״ריבית דריבית״ = חזקה</a:t>
          </a:r>
          <a:endParaRPr lang="en-US" sz="1100"/>
        </a:p>
      </xdr:txBody>
    </xdr:sp>
    <xdr:clientData/>
  </xdr:twoCellAnchor>
  <xdr:oneCellAnchor>
    <xdr:from>
      <xdr:col>1</xdr:col>
      <xdr:colOff>86689</xdr:colOff>
      <xdr:row>77</xdr:row>
      <xdr:rowOff>134454</xdr:rowOff>
    </xdr:from>
    <xdr:ext cx="1877261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(1+12%)</a:t>
              </a:r>
              <a:r>
                <a:rPr lang="he-IL" sz="1100" b="0" i="0">
                  <a:latin typeface="Cambria Math" panose="02040503050406030204" pitchFamily="18" charset="0"/>
                </a:rPr>
                <a:t>〗^(1/12)−1]∗100=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30341</xdr:colOff>
      <xdr:row>71</xdr:row>
      <xdr:rowOff>30341</xdr:rowOff>
    </xdr:from>
    <xdr:to>
      <xdr:col>8</xdr:col>
      <xdr:colOff>34676</xdr:colOff>
      <xdr:row>74</xdr:row>
      <xdr:rowOff>86690</xdr:rowOff>
    </xdr:to>
    <xdr:sp macro="" textlink="">
      <xdr:nvSpPr>
        <xdr:cNvPr id="55" name="Rounded Rectangular Callout 54">
          <a:extLst>
            <a:ext uri="{FF2B5EF4-FFF2-40B4-BE49-F238E27FC236}">
              <a16:creationId xmlns:a16="http://schemas.microsoft.com/office/drawing/2014/main" id="{284F0925-0C1B-1815-9661-66A0605E4B8A}"/>
            </a:ext>
          </a:extLst>
        </xdr:cNvPr>
        <xdr:cNvSpPr/>
      </xdr:nvSpPr>
      <xdr:spPr>
        <a:xfrm>
          <a:off x="13486411740" y="14520478"/>
          <a:ext cx="1651434" cy="667509"/>
        </a:xfrm>
        <a:prstGeom prst="wedgeRoundRectCallout">
          <a:avLst>
            <a:gd name="adj1" fmla="val 54232"/>
            <a:gd name="adj2" fmla="val -355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ריבית</a:t>
          </a:r>
          <a:r>
            <a:rPr lang="he-IL" sz="1100" baseline="0"/>
            <a:t> נקובה = ריבית חוזית = ריבית שהחישוב שלה יחסי (חלוקה)</a:t>
          </a:r>
          <a:endParaRPr lang="en-US" sz="1100"/>
        </a:p>
      </xdr:txBody>
    </xdr:sp>
    <xdr:clientData/>
  </xdr:twoCellAnchor>
  <xdr:twoCellAnchor editAs="oneCell">
    <xdr:from>
      <xdr:col>5</xdr:col>
      <xdr:colOff>657876</xdr:colOff>
      <xdr:row>341</xdr:row>
      <xdr:rowOff>79961</xdr:rowOff>
    </xdr:from>
    <xdr:to>
      <xdr:col>6</xdr:col>
      <xdr:colOff>732837</xdr:colOff>
      <xdr:row>347</xdr:row>
      <xdr:rowOff>191439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B52195C2-16E2-823D-32E6-9712C64E7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7824793" y="69219702"/>
          <a:ext cx="902813" cy="1325033"/>
        </a:xfrm>
        <a:prstGeom prst="rect">
          <a:avLst/>
        </a:prstGeom>
      </xdr:spPr>
    </xdr:pic>
    <xdr:clientData/>
  </xdr:twoCellAnchor>
  <xdr:twoCellAnchor>
    <xdr:from>
      <xdr:col>4</xdr:col>
      <xdr:colOff>45720</xdr:colOff>
      <xdr:row>358</xdr:row>
      <xdr:rowOff>106680</xdr:rowOff>
    </xdr:from>
    <xdr:to>
      <xdr:col>6</xdr:col>
      <xdr:colOff>0</xdr:colOff>
      <xdr:row>360</xdr:row>
      <xdr:rowOff>116840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51F4DE37-DCFB-9BF6-F997-433CF5B56C1C}"/>
            </a:ext>
          </a:extLst>
        </xdr:cNvPr>
        <xdr:cNvCxnSpPr/>
      </xdr:nvCxnSpPr>
      <xdr:spPr>
        <a:xfrm flipV="1">
          <a:off x="13561664520" y="73030080"/>
          <a:ext cx="1610360" cy="4165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519545</xdr:colOff>
      <xdr:row>388</xdr:row>
      <xdr:rowOff>131199</xdr:rowOff>
    </xdr:from>
    <xdr:to>
      <xdr:col>2</xdr:col>
      <xdr:colOff>173182</xdr:colOff>
      <xdr:row>389</xdr:row>
      <xdr:rowOff>104958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8981CC52-55DC-25E3-41CB-FB5545EB29ED}"/>
            </a:ext>
          </a:extLst>
        </xdr:cNvPr>
        <xdr:cNvCxnSpPr/>
      </xdr:nvCxnSpPr>
      <xdr:spPr>
        <a:xfrm flipH="1" flipV="1">
          <a:off x="13497402562" y="79721364"/>
          <a:ext cx="477562" cy="1784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802934</xdr:colOff>
      <xdr:row>391</xdr:row>
      <xdr:rowOff>120702</xdr:rowOff>
    </xdr:from>
    <xdr:to>
      <xdr:col>5</xdr:col>
      <xdr:colOff>524794</xdr:colOff>
      <xdr:row>392</xdr:row>
      <xdr:rowOff>104959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8A359E5-5887-AD88-4976-E88D46E8DA31}"/>
            </a:ext>
          </a:extLst>
        </xdr:cNvPr>
        <xdr:cNvCxnSpPr/>
      </xdr:nvCxnSpPr>
      <xdr:spPr>
        <a:xfrm flipH="1">
          <a:off x="13494579173" y="80324876"/>
          <a:ext cx="1369711" cy="1889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116</xdr:row>
      <xdr:rowOff>164081</xdr:rowOff>
    </xdr:from>
    <xdr:to>
      <xdr:col>4</xdr:col>
      <xdr:colOff>490409</xdr:colOff>
      <xdr:row>123</xdr:row>
      <xdr:rowOff>195058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120</xdr:row>
      <xdr:rowOff>75478</xdr:rowOff>
    </xdr:from>
    <xdr:to>
      <xdr:col>5</xdr:col>
      <xdr:colOff>777752</xdr:colOff>
      <xdr:row>120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116</xdr:row>
      <xdr:rowOff>134547</xdr:rowOff>
    </xdr:from>
    <xdr:to>
      <xdr:col>2</xdr:col>
      <xdr:colOff>528348</xdr:colOff>
      <xdr:row>119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117</xdr:row>
      <xdr:rowOff>11116</xdr:rowOff>
    </xdr:from>
    <xdr:to>
      <xdr:col>2</xdr:col>
      <xdr:colOff>603364</xdr:colOff>
      <xdr:row>118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120</xdr:row>
      <xdr:rowOff>124703</xdr:rowOff>
    </xdr:from>
    <xdr:to>
      <xdr:col>2</xdr:col>
      <xdr:colOff>548037</xdr:colOff>
      <xdr:row>120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119</xdr:row>
      <xdr:rowOff>80031</xdr:rowOff>
    </xdr:from>
    <xdr:to>
      <xdr:col>2</xdr:col>
      <xdr:colOff>268634</xdr:colOff>
      <xdr:row>120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121</xdr:row>
      <xdr:rowOff>105013</xdr:rowOff>
    </xdr:from>
    <xdr:to>
      <xdr:col>2</xdr:col>
      <xdr:colOff>544755</xdr:colOff>
      <xdr:row>124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122</xdr:row>
      <xdr:rowOff>47213</xdr:rowOff>
    </xdr:from>
    <xdr:to>
      <xdr:col>2</xdr:col>
      <xdr:colOff>258790</xdr:colOff>
      <xdr:row>123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247</xdr:row>
      <xdr:rowOff>118139</xdr:rowOff>
    </xdr:from>
    <xdr:to>
      <xdr:col>7</xdr:col>
      <xdr:colOff>525066</xdr:colOff>
      <xdr:row>247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243</xdr:row>
      <xdr:rowOff>183772</xdr:rowOff>
    </xdr:from>
    <xdr:to>
      <xdr:col>7</xdr:col>
      <xdr:colOff>387236</xdr:colOff>
      <xdr:row>245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242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244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248</xdr:row>
      <xdr:rowOff>160801</xdr:rowOff>
    </xdr:from>
    <xdr:to>
      <xdr:col>7</xdr:col>
      <xdr:colOff>413490</xdr:colOff>
      <xdr:row>250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250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248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248</xdr:row>
      <xdr:rowOff>157519</xdr:rowOff>
    </xdr:from>
    <xdr:to>
      <xdr:col>6</xdr:col>
      <xdr:colOff>341294</xdr:colOff>
      <xdr:row>250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250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248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248</xdr:row>
      <xdr:rowOff>144393</xdr:rowOff>
    </xdr:from>
    <xdr:to>
      <xdr:col>5</xdr:col>
      <xdr:colOff>275660</xdr:colOff>
      <xdr:row>249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248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250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248</xdr:row>
      <xdr:rowOff>150957</xdr:rowOff>
    </xdr:from>
    <xdr:to>
      <xdr:col>4</xdr:col>
      <xdr:colOff>164084</xdr:colOff>
      <xdr:row>249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248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271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277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276</xdr:row>
      <xdr:rowOff>91887</xdr:rowOff>
    </xdr:from>
    <xdr:to>
      <xdr:col>6</xdr:col>
      <xdr:colOff>748218</xdr:colOff>
      <xdr:row>278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275</xdr:row>
      <xdr:rowOff>193617</xdr:rowOff>
    </xdr:from>
    <xdr:to>
      <xdr:col>5</xdr:col>
      <xdr:colOff>744935</xdr:colOff>
      <xdr:row>277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276</xdr:row>
      <xdr:rowOff>3282</xdr:rowOff>
    </xdr:from>
    <xdr:to>
      <xdr:col>5</xdr:col>
      <xdr:colOff>49225</xdr:colOff>
      <xdr:row>277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278</xdr:row>
      <xdr:rowOff>62352</xdr:rowOff>
    </xdr:from>
    <xdr:to>
      <xdr:col>4</xdr:col>
      <xdr:colOff>36098</xdr:colOff>
      <xdr:row>278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279</xdr:row>
      <xdr:rowOff>177209</xdr:rowOff>
    </xdr:from>
    <xdr:to>
      <xdr:col>4</xdr:col>
      <xdr:colOff>784315</xdr:colOff>
      <xdr:row>280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283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283</xdr:row>
      <xdr:rowOff>98450</xdr:rowOff>
    </xdr:from>
    <xdr:to>
      <xdr:col>5</xdr:col>
      <xdr:colOff>813850</xdr:colOff>
      <xdr:row>284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284</xdr:row>
      <xdr:rowOff>137830</xdr:rowOff>
    </xdr:from>
    <xdr:to>
      <xdr:col>5</xdr:col>
      <xdr:colOff>183773</xdr:colOff>
      <xdr:row>285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283</xdr:row>
      <xdr:rowOff>82042</xdr:rowOff>
    </xdr:from>
    <xdr:to>
      <xdr:col>4</xdr:col>
      <xdr:colOff>377391</xdr:colOff>
      <xdr:row>284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287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291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294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296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299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301</xdr:row>
      <xdr:rowOff>134547</xdr:rowOff>
    </xdr:from>
    <xdr:to>
      <xdr:col>5</xdr:col>
      <xdr:colOff>118140</xdr:colOff>
      <xdr:row>303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303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300</xdr:row>
      <xdr:rowOff>75478</xdr:rowOff>
    </xdr:from>
    <xdr:to>
      <xdr:col>4</xdr:col>
      <xdr:colOff>708838</xdr:colOff>
      <xdr:row>308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308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321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324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326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338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348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349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350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350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359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363</xdr:row>
      <xdr:rowOff>58057</xdr:rowOff>
    </xdr:from>
    <xdr:to>
      <xdr:col>10</xdr:col>
      <xdr:colOff>486228</xdr:colOff>
      <xdr:row>373</xdr:row>
      <xdr:rowOff>117933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  <xdr:twoCellAnchor>
    <xdr:from>
      <xdr:col>6</xdr:col>
      <xdr:colOff>200036</xdr:colOff>
      <xdr:row>8</xdr:row>
      <xdr:rowOff>69780</xdr:rowOff>
    </xdr:from>
    <xdr:to>
      <xdr:col>7</xdr:col>
      <xdr:colOff>604762</xdr:colOff>
      <xdr:row>12</xdr:row>
      <xdr:rowOff>134908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677EE45F-75D2-4964-790D-86CF814AD1B8}"/>
            </a:ext>
          </a:extLst>
        </xdr:cNvPr>
        <xdr:cNvSpPr/>
      </xdr:nvSpPr>
      <xdr:spPr>
        <a:xfrm>
          <a:off x="13484325018" y="1725897"/>
          <a:ext cx="1228132" cy="8838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מספר אחד באחוזים:</a:t>
          </a:r>
          <a:r>
            <a:rPr lang="he-IL" sz="1100" baseline="0"/>
            <a:t> ריבית אפקטיבית</a:t>
          </a:r>
          <a:endParaRPr lang="en-US" sz="1100"/>
        </a:p>
      </xdr:txBody>
    </xdr:sp>
    <xdr:clientData/>
  </xdr:twoCellAnchor>
  <xdr:twoCellAnchor>
    <xdr:from>
      <xdr:col>7</xdr:col>
      <xdr:colOff>628022</xdr:colOff>
      <xdr:row>7</xdr:row>
      <xdr:rowOff>167472</xdr:rowOff>
    </xdr:from>
    <xdr:to>
      <xdr:col>7</xdr:col>
      <xdr:colOff>818754</xdr:colOff>
      <xdr:row>8</xdr:row>
      <xdr:rowOff>97693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5EE88625-16AC-27C4-A58A-21A95FC249D8}"/>
            </a:ext>
          </a:extLst>
        </xdr:cNvPr>
        <xdr:cNvCxnSpPr/>
      </xdr:nvCxnSpPr>
      <xdr:spPr>
        <a:xfrm>
          <a:off x="13484111026" y="1618901"/>
          <a:ext cx="190732" cy="1349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609414</xdr:colOff>
      <xdr:row>9</xdr:row>
      <xdr:rowOff>93040</xdr:rowOff>
    </xdr:from>
    <xdr:to>
      <xdr:col>8</xdr:col>
      <xdr:colOff>4652</xdr:colOff>
      <xdr:row>9</xdr:row>
      <xdr:rowOff>195385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57FF73FD-1EC9-B8AF-A543-A509BB15A1A0}"/>
            </a:ext>
          </a:extLst>
        </xdr:cNvPr>
        <xdr:cNvCxnSpPr/>
      </xdr:nvCxnSpPr>
      <xdr:spPr>
        <a:xfrm>
          <a:off x="13484101721" y="1953846"/>
          <a:ext cx="218645" cy="1023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623370</xdr:colOff>
      <xdr:row>11</xdr:row>
      <xdr:rowOff>69780</xdr:rowOff>
    </xdr:from>
    <xdr:to>
      <xdr:col>8</xdr:col>
      <xdr:colOff>4651</xdr:colOff>
      <xdr:row>11</xdr:row>
      <xdr:rowOff>134909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113FD5C-7BBA-67E3-0CDC-34428C1B40DA}"/>
            </a:ext>
          </a:extLst>
        </xdr:cNvPr>
        <xdr:cNvCxnSpPr/>
      </xdr:nvCxnSpPr>
      <xdr:spPr>
        <a:xfrm>
          <a:off x="13484101722" y="2339963"/>
          <a:ext cx="204688" cy="651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614066</xdr:colOff>
      <xdr:row>12</xdr:row>
      <xdr:rowOff>88388</xdr:rowOff>
    </xdr:from>
    <xdr:to>
      <xdr:col>7</xdr:col>
      <xdr:colOff>790842</xdr:colOff>
      <xdr:row>13</xdr:row>
      <xdr:rowOff>32565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71DE628-0B38-E54D-566E-CC4976071476}"/>
            </a:ext>
          </a:extLst>
        </xdr:cNvPr>
        <xdr:cNvCxnSpPr/>
      </xdr:nvCxnSpPr>
      <xdr:spPr>
        <a:xfrm flipV="1">
          <a:off x="13484138938" y="2563260"/>
          <a:ext cx="176776" cy="1488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125604</xdr:colOff>
      <xdr:row>22</xdr:row>
      <xdr:rowOff>69781</xdr:rowOff>
    </xdr:from>
    <xdr:to>
      <xdr:col>5</xdr:col>
      <xdr:colOff>693149</xdr:colOff>
      <xdr:row>22</xdr:row>
      <xdr:rowOff>74432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ED1709F5-DEBD-3395-1577-50E3E59ED07A}"/>
            </a:ext>
          </a:extLst>
        </xdr:cNvPr>
        <xdr:cNvCxnSpPr/>
      </xdr:nvCxnSpPr>
      <xdr:spPr>
        <a:xfrm>
          <a:off x="13485883444" y="4424067"/>
          <a:ext cx="303776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22</xdr:row>
      <xdr:rowOff>13956</xdr:rowOff>
    </xdr:from>
    <xdr:to>
      <xdr:col>5</xdr:col>
      <xdr:colOff>390769</xdr:colOff>
      <xdr:row>22</xdr:row>
      <xdr:rowOff>162821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15FD95BD-F55E-F317-D2F5-A98074DBA1A4}"/>
            </a:ext>
          </a:extLst>
        </xdr:cNvPr>
        <xdr:cNvCxnSpPr/>
      </xdr:nvCxnSpPr>
      <xdr:spPr>
        <a:xfrm>
          <a:off x="13486185824" y="4572930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21</xdr:row>
      <xdr:rowOff>204688</xdr:rowOff>
    </xdr:from>
    <xdr:to>
      <xdr:col>3</xdr:col>
      <xdr:colOff>400073</xdr:colOff>
      <xdr:row>22</xdr:row>
      <xdr:rowOff>148865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CA6BF480-8B04-12B1-0C3F-95B21639AD20}"/>
            </a:ext>
          </a:extLst>
        </xdr:cNvPr>
        <xdr:cNvCxnSpPr/>
      </xdr:nvCxnSpPr>
      <xdr:spPr>
        <a:xfrm>
          <a:off x="13487823333" y="4558974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725715</xdr:colOff>
      <xdr:row>19</xdr:row>
      <xdr:rowOff>126629</xdr:rowOff>
    </xdr:from>
    <xdr:ext cx="3453589" cy="4039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בש״ח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ריבית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קרן</m:t>
                        </m:r>
                      </m:den>
                    </m:f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112</m:t>
                        </m:r>
                        <m:r>
                          <a:rPr lang="he-IL" sz="1100" b="0" i="1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num>
                      <m:den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בש״ח ריבית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קרן=(</a:t>
              </a:r>
              <a:r>
                <a:rPr lang="he-IL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112</a:t>
              </a:r>
              <a:r>
                <a:rPr lang="he-IL" sz="11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−</a:t>
              </a:r>
              <a:r>
                <a:rPr lang="he-IL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100)/100</a:t>
              </a:r>
              <a:r>
                <a:rPr lang="he-IL" sz="1100" b="0" i="0">
                  <a:latin typeface="Cambria Math" panose="02040503050406030204" pitchFamily="18" charset="0"/>
                </a:rPr>
                <a:t>=12/100=0.12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24425</xdr:colOff>
      <xdr:row>29</xdr:row>
      <xdr:rowOff>114299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820618</xdr:colOff>
      <xdr:row>30</xdr:row>
      <xdr:rowOff>16608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801079</xdr:colOff>
      <xdr:row>30</xdr:row>
      <xdr:rowOff>202223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435429</xdr:colOff>
      <xdr:row>31</xdr:row>
      <xdr:rowOff>156307</xdr:rowOff>
    </xdr:from>
    <xdr:to>
      <xdr:col>8</xdr:col>
      <xdr:colOff>571500</xdr:colOff>
      <xdr:row>37</xdr:row>
      <xdr:rowOff>24191</xdr:rowOff>
    </xdr:to>
    <xdr:sp macro="" textlink="">
      <xdr:nvSpPr>
        <xdr:cNvPr id="79" name="Down Arrow 78">
          <a:extLst>
            <a:ext uri="{FF2B5EF4-FFF2-40B4-BE49-F238E27FC236}">
              <a16:creationId xmlns:a16="http://schemas.microsoft.com/office/drawing/2014/main" id="{D635A7B3-E760-2CEB-3843-718D8E42F999}"/>
            </a:ext>
          </a:extLst>
        </xdr:cNvPr>
        <xdr:cNvSpPr/>
      </xdr:nvSpPr>
      <xdr:spPr>
        <a:xfrm>
          <a:off x="13567334405" y="6603069"/>
          <a:ext cx="136071" cy="110159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36</xdr:row>
      <xdr:rowOff>69781</xdr:rowOff>
    </xdr:from>
    <xdr:to>
      <xdr:col>5</xdr:col>
      <xdr:colOff>693149</xdr:colOff>
      <xdr:row>36</xdr:row>
      <xdr:rowOff>74432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D7FC248-59BF-2B4D-AA5A-167873FD3F96}"/>
            </a:ext>
          </a:extLst>
        </xdr:cNvPr>
        <xdr:cNvCxnSpPr/>
      </xdr:nvCxnSpPr>
      <xdr:spPr>
        <a:xfrm>
          <a:off x="13520171351" y="4641781"/>
          <a:ext cx="304404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36</xdr:row>
      <xdr:rowOff>13956</xdr:rowOff>
    </xdr:from>
    <xdr:to>
      <xdr:col>5</xdr:col>
      <xdr:colOff>390769</xdr:colOff>
      <xdr:row>36</xdr:row>
      <xdr:rowOff>162821</xdr:rowOff>
    </xdr:to>
    <xdr:cxnSp macro="">
      <xdr:nvCxnSpPr>
        <xdr:cNvPr id="82" name="Straight Connector 81">
          <a:extLst>
            <a:ext uri="{FF2B5EF4-FFF2-40B4-BE49-F238E27FC236}">
              <a16:creationId xmlns:a16="http://schemas.microsoft.com/office/drawing/2014/main" id="{988ED33D-CFE3-C94E-84E4-0403C55C5407}"/>
            </a:ext>
          </a:extLst>
        </xdr:cNvPr>
        <xdr:cNvCxnSpPr/>
      </xdr:nvCxnSpPr>
      <xdr:spPr>
        <a:xfrm>
          <a:off x="13520473731" y="4585956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35</xdr:row>
      <xdr:rowOff>204688</xdr:rowOff>
    </xdr:from>
    <xdr:to>
      <xdr:col>3</xdr:col>
      <xdr:colOff>400073</xdr:colOff>
      <xdr:row>36</xdr:row>
      <xdr:rowOff>148865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E79E231C-E299-AB4B-AFB1-14009EB891F7}"/>
            </a:ext>
          </a:extLst>
        </xdr:cNvPr>
        <xdr:cNvCxnSpPr/>
      </xdr:nvCxnSpPr>
      <xdr:spPr>
        <a:xfrm>
          <a:off x="13522115427" y="4571534"/>
          <a:ext cx="0" cy="14933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791309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0=100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=112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459154</xdr:colOff>
      <xdr:row>37</xdr:row>
      <xdr:rowOff>89875</xdr:rowOff>
    </xdr:from>
    <xdr:ext cx="1652445" cy="3180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112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=0.12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9</xdr:col>
      <xdr:colOff>211667</xdr:colOff>
      <xdr:row>28</xdr:row>
      <xdr:rowOff>120952</xdr:rowOff>
    </xdr:from>
    <xdr:to>
      <xdr:col>9</xdr:col>
      <xdr:colOff>695476</xdr:colOff>
      <xdr:row>41</xdr:row>
      <xdr:rowOff>96762</xdr:rowOff>
    </xdr:to>
    <xdr:sp macro="" textlink="">
      <xdr:nvSpPr>
        <xdr:cNvPr id="88" name="Left Brace 87">
          <a:extLst>
            <a:ext uri="{FF2B5EF4-FFF2-40B4-BE49-F238E27FC236}">
              <a16:creationId xmlns:a16="http://schemas.microsoft.com/office/drawing/2014/main" id="{00BD7480-0FF5-A9CE-E759-8BF16D46B3D3}"/>
            </a:ext>
          </a:extLst>
        </xdr:cNvPr>
        <xdr:cNvSpPr/>
      </xdr:nvSpPr>
      <xdr:spPr>
        <a:xfrm>
          <a:off x="13566381905" y="5950857"/>
          <a:ext cx="483809" cy="264885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56</xdr:row>
      <xdr:rowOff>69781</xdr:rowOff>
    </xdr:from>
    <xdr:to>
      <xdr:col>5</xdr:col>
      <xdr:colOff>693149</xdr:colOff>
      <xdr:row>56</xdr:row>
      <xdr:rowOff>74432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1637B299-E483-1747-BC93-67AD3504CA3C}"/>
            </a:ext>
          </a:extLst>
        </xdr:cNvPr>
        <xdr:cNvCxnSpPr/>
      </xdr:nvCxnSpPr>
      <xdr:spPr>
        <a:xfrm>
          <a:off x="13569698327" y="7544638"/>
          <a:ext cx="3053116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56</xdr:row>
      <xdr:rowOff>13956</xdr:rowOff>
    </xdr:from>
    <xdr:to>
      <xdr:col>5</xdr:col>
      <xdr:colOff>390769</xdr:colOff>
      <xdr:row>56</xdr:row>
      <xdr:rowOff>162821</xdr:rowOff>
    </xdr:to>
    <xdr:cxnSp macro="">
      <xdr:nvCxnSpPr>
        <xdr:cNvPr id="90" name="Straight Connector 89">
          <a:extLst>
            <a:ext uri="{FF2B5EF4-FFF2-40B4-BE49-F238E27FC236}">
              <a16:creationId xmlns:a16="http://schemas.microsoft.com/office/drawing/2014/main" id="{337271C6-BEB4-3945-A5E7-068C32EC8C90}"/>
            </a:ext>
          </a:extLst>
        </xdr:cNvPr>
        <xdr:cNvCxnSpPr/>
      </xdr:nvCxnSpPr>
      <xdr:spPr>
        <a:xfrm>
          <a:off x="13570000707" y="7488813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55</xdr:row>
      <xdr:rowOff>204688</xdr:rowOff>
    </xdr:from>
    <xdr:to>
      <xdr:col>3</xdr:col>
      <xdr:colOff>400073</xdr:colOff>
      <xdr:row>56</xdr:row>
      <xdr:rowOff>148865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B48A8E5D-0993-4B44-889A-25A0842665EE}"/>
            </a:ext>
          </a:extLst>
        </xdr:cNvPr>
        <xdr:cNvCxnSpPr/>
      </xdr:nvCxnSpPr>
      <xdr:spPr>
        <a:xfrm>
          <a:off x="13571648451" y="7473926"/>
          <a:ext cx="0" cy="14979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774330</xdr:colOff>
      <xdr:row>60</xdr:row>
      <xdr:rowOff>59870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34428</xdr:colOff>
      <xdr:row>60</xdr:row>
      <xdr:rowOff>22656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39079</xdr:colOff>
      <xdr:row>61</xdr:row>
      <xdr:rowOff>20795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193523</xdr:colOff>
      <xdr:row>43</xdr:row>
      <xdr:rowOff>102810</xdr:rowOff>
    </xdr:from>
    <xdr:to>
      <xdr:col>7</xdr:col>
      <xdr:colOff>514047</xdr:colOff>
      <xdr:row>52</xdr:row>
      <xdr:rowOff>24190</xdr:rowOff>
    </xdr:to>
    <xdr:sp macro="" textlink="">
      <xdr:nvSpPr>
        <xdr:cNvPr id="97" name="Left Brace 96">
          <a:extLst>
            <a:ext uri="{FF2B5EF4-FFF2-40B4-BE49-F238E27FC236}">
              <a16:creationId xmlns:a16="http://schemas.microsoft.com/office/drawing/2014/main" id="{0191CFB0-7279-3EF5-236B-6A8FBF8B21C4}"/>
            </a:ext>
          </a:extLst>
        </xdr:cNvPr>
        <xdr:cNvSpPr/>
      </xdr:nvSpPr>
      <xdr:spPr>
        <a:xfrm>
          <a:off x="13568220381" y="9017000"/>
          <a:ext cx="320524" cy="17719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677567</xdr:colOff>
      <xdr:row>56</xdr:row>
      <xdr:rowOff>192918</xdr:rowOff>
    </xdr:from>
    <xdr:ext cx="105163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=143,000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_0=143,000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725949</xdr:colOff>
      <xdr:row>56</xdr:row>
      <xdr:rowOff>180823</xdr:rowOff>
    </xdr:from>
    <xdr:ext cx="2352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=185,000+3,000=188,000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_4=185,000+3,000=188,000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725714</xdr:colOff>
      <xdr:row>60</xdr:row>
      <xdr:rowOff>162679</xdr:rowOff>
    </xdr:from>
    <xdr:ext cx="1717107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188,000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143,000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𝑟_𝑒=188,000/143,000−1=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641048</xdr:colOff>
      <xdr:row>76</xdr:row>
      <xdr:rowOff>120346</xdr:rowOff>
    </xdr:from>
    <xdr:ext cx="322191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1+31.4685315%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</a:t>
              </a:r>
              <a:r>
                <a:rPr lang="en-US" sz="11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(1+31.4685315%)</a:t>
              </a:r>
              <a:r>
                <a:rPr lang="he-IL" sz="1100" b="0" i="0">
                  <a:latin typeface="Cambria Math" panose="02040503050406030204" pitchFamily="18" charset="0"/>
                </a:rPr>
                <a:t>〗^(1/4)−1]∗100=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181428</xdr:colOff>
      <xdr:row>78</xdr:row>
      <xdr:rowOff>60476</xdr:rowOff>
    </xdr:from>
    <xdr:to>
      <xdr:col>6</xdr:col>
      <xdr:colOff>181428</xdr:colOff>
      <xdr:row>79</xdr:row>
      <xdr:rowOff>96762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8F3E119F-ABA7-32C5-9FEE-5E4D6005D6B6}"/>
            </a:ext>
          </a:extLst>
        </xdr:cNvPr>
        <xdr:cNvCxnSpPr/>
      </xdr:nvCxnSpPr>
      <xdr:spPr>
        <a:xfrm>
          <a:off x="13569381524" y="1621971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465667</xdr:colOff>
      <xdr:row>78</xdr:row>
      <xdr:rowOff>36286</xdr:rowOff>
    </xdr:from>
    <xdr:to>
      <xdr:col>4</xdr:col>
      <xdr:colOff>465667</xdr:colOff>
      <xdr:row>79</xdr:row>
      <xdr:rowOff>72572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B9166534-2C51-0EF6-0181-250E744506E1}"/>
            </a:ext>
          </a:extLst>
        </xdr:cNvPr>
        <xdr:cNvCxnSpPr/>
      </xdr:nvCxnSpPr>
      <xdr:spPr>
        <a:xfrm>
          <a:off x="13570754333" y="1619552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308428</xdr:colOff>
      <xdr:row>77</xdr:row>
      <xdr:rowOff>151191</xdr:rowOff>
    </xdr:from>
    <xdr:to>
      <xdr:col>3</xdr:col>
      <xdr:colOff>701524</xdr:colOff>
      <xdr:row>80</xdr:row>
      <xdr:rowOff>60476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504631B9-C896-E6BF-6707-2F1A3B313F84}"/>
            </a:ext>
          </a:extLst>
        </xdr:cNvPr>
        <xdr:cNvCxnSpPr/>
      </xdr:nvCxnSpPr>
      <xdr:spPr>
        <a:xfrm>
          <a:off x="13571347000" y="16104810"/>
          <a:ext cx="1221619" cy="5261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45357</xdr:colOff>
      <xdr:row>86</xdr:row>
      <xdr:rowOff>31749</xdr:rowOff>
    </xdr:from>
    <xdr:ext cx="166395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𝑟_𝑒=[(𝐶𝐹_𝑡)/(𝐶𝐹_0 )−1]∗100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734786</xdr:colOff>
      <xdr:row>90</xdr:row>
      <xdr:rowOff>18142</xdr:rowOff>
    </xdr:from>
    <xdr:ext cx="3221917" cy="2424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8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𝑟</a:t>
              </a:r>
              <a:r>
                <a:rPr lang="en-US" sz="8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800" b="0" i="0">
                  <a:latin typeface="Cambria Math" panose="02040503050406030204" pitchFamily="18" charset="0"/>
                </a:rPr>
                <a:t>〖[</a:t>
              </a:r>
              <a:r>
                <a:rPr lang="en-US" sz="800" b="0" i="0">
                  <a:latin typeface="Cambria Math" panose="02040503050406030204" pitchFamily="18" charset="0"/>
                </a:rPr>
                <a:t>(1+𝑟_𝑒 )</a:t>
              </a:r>
              <a:r>
                <a:rPr lang="he-IL" sz="800" b="0" i="0">
                  <a:latin typeface="Cambria Math" panose="02040503050406030204" pitchFamily="18" charset="0"/>
                </a:rPr>
                <a:t>〗^(רצוי</a:t>
              </a:r>
              <a:r>
                <a:rPr lang="en-US" sz="800" b="0" i="0">
                  <a:latin typeface="Cambria Math" panose="02040503050406030204" pitchFamily="18" charset="0"/>
                </a:rPr>
                <a:t>/</a:t>
              </a:r>
              <a:r>
                <a:rPr lang="he-IL" sz="800" b="0" i="0">
                  <a:latin typeface="Cambria Math" panose="02040503050406030204" pitchFamily="18" charset="0"/>
                </a:rPr>
                <a:t>מצוי)−1]∗100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693209</xdr:colOff>
      <xdr:row>110</xdr:row>
      <xdr:rowOff>126999</xdr:rowOff>
    </xdr:from>
    <xdr:ext cx="5905499" cy="3032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0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he-IL" sz="1000" b="0" i="1">
                        <a:latin typeface="Cambria Math" panose="02040503050406030204" pitchFamily="18" charset="0"/>
                      </a:rPr>
                      <m:t>→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27.717391%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en-US" sz="10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0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0" i="0">
                  <a:latin typeface="Cambria Math" panose="02040503050406030204" pitchFamily="18" charset="0"/>
                </a:rPr>
                <a:t>𝑟</a:t>
              </a:r>
              <a:r>
                <a:rPr lang="en-US" sz="10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000" b="0" i="0">
                  <a:latin typeface="Cambria Math" panose="02040503050406030204" pitchFamily="18" charset="0"/>
                </a:rPr>
                <a:t>〖[</a:t>
              </a:r>
              <a:r>
                <a:rPr lang="en-US" sz="1000" b="0" i="0">
                  <a:latin typeface="Cambria Math" panose="02040503050406030204" pitchFamily="18" charset="0"/>
                </a:rPr>
                <a:t>(1+𝑟_𝑒 )</a:t>
              </a:r>
              <a:r>
                <a:rPr lang="he-IL" sz="1000" b="0" i="0">
                  <a:latin typeface="Cambria Math" panose="02040503050406030204" pitchFamily="18" charset="0"/>
                </a:rPr>
                <a:t>〗^(רצוי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מצוי)−1]∗100→〖[</a:t>
              </a:r>
              <a:r>
                <a:rPr lang="en-US" sz="1000" b="0" i="0">
                  <a:latin typeface="Cambria Math" panose="02040503050406030204" pitchFamily="18" charset="0"/>
                </a:rPr>
                <a:t>(1+</a:t>
              </a:r>
              <a:r>
                <a:rPr lang="he-IL" sz="1000" b="0" i="0">
                  <a:latin typeface="Cambria Math" panose="02040503050406030204" pitchFamily="18" charset="0"/>
                </a:rPr>
                <a:t>27.717391%</a:t>
              </a:r>
              <a:r>
                <a:rPr lang="en-US" sz="1000" b="0" i="0">
                  <a:latin typeface="Cambria Math" panose="02040503050406030204" pitchFamily="18" charset="0"/>
                </a:rPr>
                <a:t>)</a:t>
              </a:r>
              <a:r>
                <a:rPr lang="he-IL" sz="1000" b="0" i="0">
                  <a:latin typeface="Cambria Math" panose="02040503050406030204" pitchFamily="18" charset="0"/>
                </a:rPr>
                <a:t>〗^(1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6)−1]∗100</a:t>
              </a:r>
              <a:r>
                <a:rPr lang="en-US" sz="1000" b="0" i="0">
                  <a:latin typeface="Cambria Math" panose="02040503050406030204" pitchFamily="18" charset="0"/>
                </a:rPr>
                <a:t>=</a:t>
              </a:r>
              <a:endParaRPr lang="en-US" sz="1000"/>
            </a:p>
          </xdr:txBody>
        </xdr:sp>
      </mc:Fallback>
    </mc:AlternateContent>
    <xdr:clientData/>
  </xdr:oneCellAnchor>
  <xdr:oneCellAnchor>
    <xdr:from>
      <xdr:col>2</xdr:col>
      <xdr:colOff>435429</xdr:colOff>
      <xdr:row>93</xdr:row>
      <xdr:rowOff>136070</xdr:rowOff>
    </xdr:from>
    <xdr:ext cx="296570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470,000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368,000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[470,000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368,000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376464</xdr:colOff>
      <xdr:row>87</xdr:row>
      <xdr:rowOff>108857</xdr:rowOff>
    </xdr:from>
    <xdr:to>
      <xdr:col>5</xdr:col>
      <xdr:colOff>376464</xdr:colOff>
      <xdr:row>88</xdr:row>
      <xdr:rowOff>90714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557972C3-8E79-D8BB-8250-BE653F224CF1}"/>
            </a:ext>
          </a:extLst>
        </xdr:cNvPr>
        <xdr:cNvCxnSpPr/>
      </xdr:nvCxnSpPr>
      <xdr:spPr>
        <a:xfrm>
          <a:off x="13520488036" y="18002250"/>
          <a:ext cx="0" cy="1859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142875</xdr:colOff>
      <xdr:row>156</xdr:row>
      <xdr:rowOff>3174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𝐶𝐹_0∗(1+𝑅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𝑛)^𝑡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159</xdr:row>
      <xdr:rowOff>8465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15876</xdr:colOff>
      <xdr:row>159</xdr:row>
      <xdr:rowOff>198965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10584</xdr:colOff>
      <xdr:row>161</xdr:row>
      <xdr:rowOff>13756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𝑛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63500</xdr:colOff>
      <xdr:row>165</xdr:row>
      <xdr:rowOff>34923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174625</xdr:colOff>
      <xdr:row>169</xdr:row>
      <xdr:rowOff>188383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∗(1+</a:t>
              </a:r>
              <a:r>
                <a:rPr lang="he-IL" sz="1100" b="0" i="0">
                  <a:latin typeface="Cambria Math" panose="02040503050406030204" pitchFamily="18" charset="0"/>
                </a:rPr>
                <a:t>(10%)/4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180</xdr:row>
      <xdr:rowOff>201083</xdr:rowOff>
    </xdr:from>
    <xdr:ext cx="322262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110.3812891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[110.3812891/100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333375</xdr:colOff>
      <xdr:row>186</xdr:row>
      <xdr:rowOff>93133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767292</xdr:colOff>
      <xdr:row>194</xdr:row>
      <xdr:rowOff>98424</xdr:rowOff>
    </xdr:from>
    <xdr:ext cx="2717696" cy="3916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264584</xdr:colOff>
      <xdr:row>212</xdr:row>
      <xdr:rowOff>31750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139700</xdr:colOff>
      <xdr:row>218</xdr:row>
      <xdr:rowOff>69850</xdr:rowOff>
    </xdr:from>
    <xdr:ext cx="4797322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12.6825%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r>
                <a:rPr lang="he-IL" sz="1100" b="0" i="0">
                  <a:latin typeface="Cambria Math" panose="02040503050406030204" pitchFamily="18" charset="0"/>
                </a:rPr>
                <a:t>12.6825%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304800</xdr:colOff>
      <xdr:row>228</xdr:row>
      <xdr:rowOff>76200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8%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6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</a:t>
              </a:r>
              <a:r>
                <a:rPr lang="he-IL" sz="1100" b="0" i="0">
                  <a:latin typeface="Cambria Math" panose="02040503050406030204" pitchFamily="18" charset="0"/>
                </a:rPr>
                <a:t>(8%)/6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699613</xdr:colOff>
      <xdr:row>7</xdr:row>
      <xdr:rowOff>35649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739718</xdr:colOff>
      <xdr:row>13</xdr:row>
      <xdr:rowOff>8912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646139</xdr:colOff>
      <xdr:row>19</xdr:row>
      <xdr:rowOff>75754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</a:t>
              </a:r>
              <a:r>
                <a:rPr lang="he-IL" sz="1100" b="0" i="0">
                  <a:latin typeface="Cambria Math" panose="02040503050406030204" pitchFamily="18" charset="0"/>
                </a:rPr>
                <a:t>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597121</xdr:colOff>
      <xdr:row>27</xdr:row>
      <xdr:rowOff>71299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623860</xdr:colOff>
      <xdr:row>63</xdr:row>
      <xdr:rowOff>187160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17825</xdr:colOff>
      <xdr:row>66</xdr:row>
      <xdr:rowOff>75755</xdr:rowOff>
    </xdr:from>
    <xdr:ext cx="2511321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655054</xdr:colOff>
      <xdr:row>72</xdr:row>
      <xdr:rowOff>115861</xdr:rowOff>
    </xdr:from>
    <xdr:ext cx="4797322" cy="2863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6</m:t>
                            </m:r>
                          </m:sup>
                        </m:sSup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𝑟_𝑒=[(1+(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12%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)/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)^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6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−1]∗100</a:t>
              </a:r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98035</xdr:colOff>
      <xdr:row>78</xdr:row>
      <xdr:rowOff>129228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106947</xdr:colOff>
      <xdr:row>82</xdr:row>
      <xdr:rowOff>4456</xdr:rowOff>
    </xdr:from>
    <xdr:ext cx="4797322" cy="3246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1−5%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[1/(1−5%)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90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91</xdr:row>
      <xdr:rowOff>200526</xdr:rowOff>
    </xdr:from>
    <xdr:to>
      <xdr:col>6</xdr:col>
      <xdr:colOff>369860</xdr:colOff>
      <xdr:row>93</xdr:row>
      <xdr:rowOff>102491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2BD2FCCF-AEC3-906D-96A1-652A9F04B5F4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91</xdr:row>
      <xdr:rowOff>196070</xdr:rowOff>
    </xdr:from>
    <xdr:to>
      <xdr:col>5</xdr:col>
      <xdr:colOff>650596</xdr:colOff>
      <xdr:row>93</xdr:row>
      <xdr:rowOff>98035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077C855-DCCB-8CE7-1BA1-4D22C548BAE1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91</xdr:row>
      <xdr:rowOff>120316</xdr:rowOff>
    </xdr:from>
    <xdr:to>
      <xdr:col>5</xdr:col>
      <xdr:colOff>525824</xdr:colOff>
      <xdr:row>93</xdr:row>
      <xdr:rowOff>164877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6E79BF60-2DA4-8110-90B5-1F53916400D2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95</xdr:row>
      <xdr:rowOff>22281</xdr:rowOff>
    </xdr:from>
    <xdr:to>
      <xdr:col>6</xdr:col>
      <xdr:colOff>369860</xdr:colOff>
      <xdr:row>101</xdr:row>
      <xdr:rowOff>164877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B529FE78-9C91-BAEF-C69D-E9A632EEF429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97</xdr:row>
      <xdr:rowOff>62386</xdr:rowOff>
    </xdr:from>
    <xdr:to>
      <xdr:col>5</xdr:col>
      <xdr:colOff>641684</xdr:colOff>
      <xdr:row>101</xdr:row>
      <xdr:rowOff>151508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D7030813-0EF3-FDB2-5257-B5E46A51A1DC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100</xdr:row>
      <xdr:rowOff>17825</xdr:rowOff>
    </xdr:from>
    <xdr:to>
      <xdr:col>5</xdr:col>
      <xdr:colOff>236176</xdr:colOff>
      <xdr:row>102</xdr:row>
      <xdr:rowOff>13368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C0DAEE4A-2213-59CE-D6BF-91F603506E61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102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1+5.2632%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(1+5.2632%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548106</xdr:colOff>
      <xdr:row>111</xdr:row>
      <xdr:rowOff>196070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334212</xdr:colOff>
      <xdr:row>116</xdr:row>
      <xdr:rowOff>40106</xdr:rowOff>
    </xdr:from>
    <xdr:ext cx="4797322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113,000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113,000/100,000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123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124</xdr:row>
      <xdr:rowOff>200526</xdr:rowOff>
    </xdr:from>
    <xdr:to>
      <xdr:col>6</xdr:col>
      <xdr:colOff>369860</xdr:colOff>
      <xdr:row>126</xdr:row>
      <xdr:rowOff>102491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E3977753-3469-0749-BBCE-D8CB94BA6750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124</xdr:row>
      <xdr:rowOff>196070</xdr:rowOff>
    </xdr:from>
    <xdr:to>
      <xdr:col>5</xdr:col>
      <xdr:colOff>650596</xdr:colOff>
      <xdr:row>126</xdr:row>
      <xdr:rowOff>98035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150D8BB-0734-BA42-971F-BA7353DE8B76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124</xdr:row>
      <xdr:rowOff>120316</xdr:rowOff>
    </xdr:from>
    <xdr:to>
      <xdr:col>5</xdr:col>
      <xdr:colOff>525824</xdr:colOff>
      <xdr:row>126</xdr:row>
      <xdr:rowOff>164877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F45164D-141C-FC46-B50A-6727BF01A2C9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128</xdr:row>
      <xdr:rowOff>22281</xdr:rowOff>
    </xdr:from>
    <xdr:to>
      <xdr:col>6</xdr:col>
      <xdr:colOff>369860</xdr:colOff>
      <xdr:row>134</xdr:row>
      <xdr:rowOff>164877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AADFC1D8-AB61-F349-848F-6470A57945A5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130</xdr:row>
      <xdr:rowOff>62386</xdr:rowOff>
    </xdr:from>
    <xdr:to>
      <xdr:col>5</xdr:col>
      <xdr:colOff>641684</xdr:colOff>
      <xdr:row>134</xdr:row>
      <xdr:rowOff>151508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7B654E1E-60CD-494E-950D-B3849C1FAA1B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133</xdr:row>
      <xdr:rowOff>17825</xdr:rowOff>
    </xdr:from>
    <xdr:to>
      <xdr:col>5</xdr:col>
      <xdr:colOff>236176</xdr:colOff>
      <xdr:row>135</xdr:row>
      <xdr:rowOff>13368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FCD8284F-1C64-034B-8180-A6F84A267BBE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135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1+13%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(1+13%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231720</xdr:colOff>
      <xdr:row>148</xdr:row>
      <xdr:rowOff>93579</xdr:rowOff>
    </xdr:from>
    <xdr:to>
      <xdr:col>7</xdr:col>
      <xdr:colOff>712983</xdr:colOff>
      <xdr:row>148</xdr:row>
      <xdr:rowOff>102491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EDE8D632-0AE4-E20D-BEC8-B9C3D70DD86B}"/>
            </a:ext>
          </a:extLst>
        </xdr:cNvPr>
        <xdr:cNvCxnSpPr/>
      </xdr:nvCxnSpPr>
      <xdr:spPr>
        <a:xfrm>
          <a:off x="13500255965" y="28603965"/>
          <a:ext cx="5610280" cy="891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690704</xdr:colOff>
      <xdr:row>148</xdr:row>
      <xdr:rowOff>95359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100,000∗(1+(3%)/6)^6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352035</xdr:colOff>
      <xdr:row>150</xdr:row>
      <xdr:rowOff>124772</xdr:rowOff>
    </xdr:from>
    <xdr:to>
      <xdr:col>3</xdr:col>
      <xdr:colOff>360947</xdr:colOff>
      <xdr:row>153</xdr:row>
      <xdr:rowOff>182702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80484F66-CD12-872F-48D0-47DAFA3EB1AE}"/>
            </a:ext>
          </a:extLst>
        </xdr:cNvPr>
        <xdr:cNvCxnSpPr/>
      </xdr:nvCxnSpPr>
      <xdr:spPr>
        <a:xfrm>
          <a:off x="13504088246" y="29045123"/>
          <a:ext cx="8912" cy="67287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138140</xdr:colOff>
      <xdr:row>149</xdr:row>
      <xdr:rowOff>66843</xdr:rowOff>
    </xdr:from>
    <xdr:to>
      <xdr:col>3</xdr:col>
      <xdr:colOff>138140</xdr:colOff>
      <xdr:row>152</xdr:row>
      <xdr:rowOff>178245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8FDA447D-866C-D07F-6280-4DAE8FA5A342}"/>
            </a:ext>
          </a:extLst>
        </xdr:cNvPr>
        <xdr:cNvCxnSpPr/>
      </xdr:nvCxnSpPr>
      <xdr:spPr>
        <a:xfrm>
          <a:off x="13504311053" y="28782211"/>
          <a:ext cx="0" cy="7263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668422</xdr:colOff>
      <xdr:row>156</xdr:row>
      <xdr:rowOff>90902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∗(1+𝑅/𝑛)^𝑡=𝐶𝐹_𝑡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788459</xdr:colOff>
      <xdr:row>158</xdr:row>
      <xdr:rowOff>86445</xdr:rowOff>
    </xdr:from>
    <xdr:ext cx="230856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103,038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806562</xdr:colOff>
      <xdr:row>161</xdr:row>
      <xdr:rowOff>202308</xdr:rowOff>
    </xdr:from>
    <xdr:ext cx="152317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227541</xdr:colOff>
      <xdr:row>165</xdr:row>
      <xdr:rowOff>149392</xdr:rowOff>
    </xdr:from>
    <xdr:ext cx="2398526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103,038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96,000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96,000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21166</xdr:colOff>
      <xdr:row>168</xdr:row>
      <xdr:rowOff>101766</xdr:rowOff>
    </xdr:from>
    <xdr:ext cx="2398526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1+7.3312%</m:t>
                            </m:r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〖[(1+7.3312%)〗^2−1]∗100=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63500</xdr:colOff>
      <xdr:row>172</xdr:row>
      <xdr:rowOff>21167</xdr:rowOff>
    </xdr:from>
    <xdr:to>
      <xdr:col>5</xdr:col>
      <xdr:colOff>343958</xdr:colOff>
      <xdr:row>177</xdr:row>
      <xdr:rowOff>211667</xdr:rowOff>
    </xdr:to>
    <xdr:sp macro="" textlink="">
      <xdr:nvSpPr>
        <xdr:cNvPr id="58" name="Left Brace 57">
          <a:extLst>
            <a:ext uri="{FF2B5EF4-FFF2-40B4-BE49-F238E27FC236}">
              <a16:creationId xmlns:a16="http://schemas.microsoft.com/office/drawing/2014/main" id="{1CF87E66-C4AD-6FE2-A485-EB05B556E3A2}"/>
            </a:ext>
          </a:extLst>
        </xdr:cNvPr>
        <xdr:cNvSpPr/>
      </xdr:nvSpPr>
      <xdr:spPr>
        <a:xfrm>
          <a:off x="13520674000" y="32845375"/>
          <a:ext cx="280458" cy="11959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492125</xdr:colOff>
      <xdr:row>34</xdr:row>
      <xdr:rowOff>45509</xdr:rowOff>
    </xdr:from>
    <xdr:ext cx="1315404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t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∗(1+𝑅/𝑛)^t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172975</xdr:colOff>
      <xdr:row>195</xdr:row>
      <xdr:rowOff>75381</xdr:rowOff>
    </xdr:from>
    <xdr:ext cx="200446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∗(1−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113799</xdr:colOff>
      <xdr:row>196</xdr:row>
      <xdr:rowOff>84484</xdr:rowOff>
    </xdr:from>
    <xdr:ext cx="2004461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132007</xdr:colOff>
      <xdr:row>195</xdr:row>
      <xdr:rowOff>45520</xdr:rowOff>
    </xdr:from>
    <xdr:to>
      <xdr:col>3</xdr:col>
      <xdr:colOff>377814</xdr:colOff>
      <xdr:row>198</xdr:row>
      <xdr:rowOff>104696</xdr:rowOff>
    </xdr:to>
    <xdr:sp macro="" textlink="">
      <xdr:nvSpPr>
        <xdr:cNvPr id="62" name="Right Brace 61">
          <a:extLst>
            <a:ext uri="{FF2B5EF4-FFF2-40B4-BE49-F238E27FC236}">
              <a16:creationId xmlns:a16="http://schemas.microsoft.com/office/drawing/2014/main" id="{7573C9CE-7191-459B-1893-7C4EA3D3EBC4}"/>
            </a:ext>
          </a:extLst>
        </xdr:cNvPr>
        <xdr:cNvSpPr/>
      </xdr:nvSpPr>
      <xdr:spPr>
        <a:xfrm>
          <a:off x="13496221720" y="40025484"/>
          <a:ext cx="245807" cy="67369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0</xdr:col>
      <xdr:colOff>792042</xdr:colOff>
      <xdr:row>195</xdr:row>
      <xdr:rowOff>184628</xdr:rowOff>
    </xdr:from>
    <xdr:ext cx="2004461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268567</xdr:colOff>
      <xdr:row>204</xdr:row>
      <xdr:rowOff>11653</xdr:rowOff>
    </xdr:from>
    <xdr:ext cx="419851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1−4%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r>
                <a:rPr lang="he-IL" sz="1100" b="0" i="0">
                  <a:latin typeface="Cambria Math" panose="02040503050406030204" pitchFamily="18" charset="0"/>
                </a:rPr>
                <a:t>→</a:t>
              </a:r>
              <a:r>
                <a:rPr lang="en-US" sz="1100" b="0" i="0">
                  <a:latin typeface="Cambria Math" panose="02040503050406030204" pitchFamily="18" charset="0"/>
                </a:rPr>
                <a:t>𝐶𝐹_0=500,000∗(1−4%)=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687347</xdr:colOff>
      <xdr:row>205</xdr:row>
      <xdr:rowOff>107245</xdr:rowOff>
    </xdr:from>
    <xdr:ext cx="375241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∗(1+𝑅/𝑛)^𝑡→𝐶𝐹_𝑡=500,000∗(1+(12%)/12)^24=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350500</xdr:colOff>
      <xdr:row>214</xdr:row>
      <xdr:rowOff>120900</xdr:rowOff>
    </xdr:from>
    <xdr:ext cx="3024103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634,867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480,000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𝑟_𝑒=((𝐶𝐹_𝑡)/(𝐶𝐹_0 )−1)∗100→(</a:t>
              </a:r>
              <a:r>
                <a:rPr lang="he-IL" sz="1100" b="0" i="0">
                  <a:latin typeface="Cambria Math" panose="02040503050406030204" pitchFamily="18" charset="0"/>
                </a:rPr>
                <a:t>634,867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480,000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295878</xdr:colOff>
      <xdr:row>221</xdr:row>
      <xdr:rowOff>134556</xdr:rowOff>
    </xdr:from>
    <xdr:ext cx="3269909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שנתיים</m:t>
                                    </m:r>
                                  </m:sub>
                                </m:sSub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(1+𝑟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שנתיים</a:t>
              </a:r>
              <a:r>
                <a:rPr lang="en-US" sz="1100" b="0" i="0">
                  <a:latin typeface="Cambria Math" panose="02040503050406030204" pitchFamily="18" charset="0"/>
                </a:rPr>
                <a:t> )^(1/2)−1]∗100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277671</xdr:colOff>
      <xdr:row>223</xdr:row>
      <xdr:rowOff>116348</xdr:rowOff>
    </xdr:from>
    <xdr:ext cx="3269909" cy="2679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32.264%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32.264%)^(1/2)−1]∗100=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0</xdr:col>
      <xdr:colOff>58697</xdr:colOff>
      <xdr:row>233</xdr:row>
      <xdr:rowOff>80042</xdr:rowOff>
    </xdr:from>
    <xdr:to>
      <xdr:col>5</xdr:col>
      <xdr:colOff>576302</xdr:colOff>
      <xdr:row>239</xdr:row>
      <xdr:rowOff>131776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605FBB7E-61AE-0D73-FBB5-BE448997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6657774" y="47368866"/>
          <a:ext cx="4695798" cy="1268372"/>
        </a:xfrm>
        <a:prstGeom prst="rect">
          <a:avLst/>
        </a:prstGeom>
      </xdr:spPr>
    </xdr:pic>
    <xdr:clientData/>
  </xdr:twoCellAnchor>
  <xdr:twoCellAnchor editAs="oneCell">
    <xdr:from>
      <xdr:col>0</xdr:col>
      <xdr:colOff>10673</xdr:colOff>
      <xdr:row>239</xdr:row>
      <xdr:rowOff>154748</xdr:rowOff>
    </xdr:from>
    <xdr:to>
      <xdr:col>5</xdr:col>
      <xdr:colOff>284937</xdr:colOff>
      <xdr:row>256</xdr:row>
      <xdr:rowOff>49656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6BB0E6F0-3A44-834C-B752-C6761851C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6949139" y="48660210"/>
          <a:ext cx="4452457" cy="334205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258</xdr:row>
      <xdr:rowOff>74706</xdr:rowOff>
    </xdr:from>
    <xdr:to>
      <xdr:col>6</xdr:col>
      <xdr:colOff>49398</xdr:colOff>
      <xdr:row>266</xdr:row>
      <xdr:rowOff>5057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DA7DAE5-D734-D7D7-FD11-661EBC31B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6272199" y="52432857"/>
          <a:ext cx="5140070" cy="15525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289588</xdr:colOff>
      <xdr:row>309</xdr:row>
      <xdr:rowOff>115138</xdr:rowOff>
    </xdr:from>
    <xdr:to>
      <xdr:col>5</xdr:col>
      <xdr:colOff>704780</xdr:colOff>
      <xdr:row>309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318</xdr:row>
      <xdr:rowOff>104670</xdr:rowOff>
    </xdr:from>
    <xdr:to>
      <xdr:col>6</xdr:col>
      <xdr:colOff>739670</xdr:colOff>
      <xdr:row>318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309</xdr:row>
      <xdr:rowOff>10467</xdr:rowOff>
    </xdr:from>
    <xdr:to>
      <xdr:col>8</xdr:col>
      <xdr:colOff>139560</xdr:colOff>
      <xdr:row>309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309</xdr:row>
      <xdr:rowOff>195384</xdr:rowOff>
    </xdr:from>
    <xdr:to>
      <xdr:col>7</xdr:col>
      <xdr:colOff>139561</xdr:colOff>
      <xdr:row>310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311</xdr:row>
      <xdr:rowOff>6977</xdr:rowOff>
    </xdr:from>
    <xdr:to>
      <xdr:col>5</xdr:col>
      <xdr:colOff>289588</xdr:colOff>
      <xdr:row>311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318</xdr:row>
      <xdr:rowOff>195384</xdr:rowOff>
    </xdr:from>
    <xdr:to>
      <xdr:col>5</xdr:col>
      <xdr:colOff>785028</xdr:colOff>
      <xdr:row>319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317</xdr:row>
      <xdr:rowOff>202362</xdr:rowOff>
    </xdr:from>
    <xdr:to>
      <xdr:col>7</xdr:col>
      <xdr:colOff>139561</xdr:colOff>
      <xdr:row>318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319</xdr:row>
      <xdr:rowOff>24422</xdr:rowOff>
    </xdr:from>
    <xdr:to>
      <xdr:col>7</xdr:col>
      <xdr:colOff>143050</xdr:colOff>
      <xdr:row>320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347</xdr:row>
      <xdr:rowOff>115138</xdr:rowOff>
    </xdr:from>
    <xdr:to>
      <xdr:col>5</xdr:col>
      <xdr:colOff>704780</xdr:colOff>
      <xdr:row>347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357</xdr:row>
      <xdr:rowOff>104670</xdr:rowOff>
    </xdr:from>
    <xdr:to>
      <xdr:col>6</xdr:col>
      <xdr:colOff>739670</xdr:colOff>
      <xdr:row>357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347</xdr:row>
      <xdr:rowOff>10467</xdr:rowOff>
    </xdr:from>
    <xdr:to>
      <xdr:col>8</xdr:col>
      <xdr:colOff>139560</xdr:colOff>
      <xdr:row>347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347</xdr:row>
      <xdr:rowOff>195384</xdr:rowOff>
    </xdr:from>
    <xdr:to>
      <xdr:col>7</xdr:col>
      <xdr:colOff>139561</xdr:colOff>
      <xdr:row>348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349</xdr:row>
      <xdr:rowOff>6977</xdr:rowOff>
    </xdr:from>
    <xdr:to>
      <xdr:col>5</xdr:col>
      <xdr:colOff>289588</xdr:colOff>
      <xdr:row>349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357</xdr:row>
      <xdr:rowOff>195384</xdr:rowOff>
    </xdr:from>
    <xdr:to>
      <xdr:col>5</xdr:col>
      <xdr:colOff>785028</xdr:colOff>
      <xdr:row>358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356</xdr:row>
      <xdr:rowOff>202362</xdr:rowOff>
    </xdr:from>
    <xdr:to>
      <xdr:col>7</xdr:col>
      <xdr:colOff>139561</xdr:colOff>
      <xdr:row>357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358</xdr:row>
      <xdr:rowOff>24422</xdr:rowOff>
    </xdr:from>
    <xdr:to>
      <xdr:col>7</xdr:col>
      <xdr:colOff>143050</xdr:colOff>
      <xdr:row>359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359</xdr:row>
      <xdr:rowOff>151630</xdr:rowOff>
    </xdr:from>
    <xdr:to>
      <xdr:col>13</xdr:col>
      <xdr:colOff>556081</xdr:colOff>
      <xdr:row>369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  <xdr:twoCellAnchor>
    <xdr:from>
      <xdr:col>5</xdr:col>
      <xdr:colOff>454526</xdr:colOff>
      <xdr:row>35</xdr:row>
      <xdr:rowOff>193842</xdr:rowOff>
    </xdr:from>
    <xdr:to>
      <xdr:col>5</xdr:col>
      <xdr:colOff>635000</xdr:colOff>
      <xdr:row>37</xdr:row>
      <xdr:rowOff>20052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777DFB07-FB41-54A2-7E04-B7BF256B2D79}"/>
            </a:ext>
          </a:extLst>
        </xdr:cNvPr>
        <xdr:cNvSpPr/>
      </xdr:nvSpPr>
      <xdr:spPr>
        <a:xfrm>
          <a:off x="13574876263" y="7406105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53471</xdr:colOff>
      <xdr:row>37</xdr:row>
      <xdr:rowOff>190498</xdr:rowOff>
    </xdr:from>
    <xdr:to>
      <xdr:col>4</xdr:col>
      <xdr:colOff>731922</xdr:colOff>
      <xdr:row>38</xdr:row>
      <xdr:rowOff>170446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F2A2882A-82B2-6272-F363-955D5F825A8C}"/>
            </a:ext>
          </a:extLst>
        </xdr:cNvPr>
        <xdr:cNvSpPr/>
      </xdr:nvSpPr>
      <xdr:spPr>
        <a:xfrm rot="16200000">
          <a:off x="13575857173" y="7554825"/>
          <a:ext cx="180474" cy="67845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374315</xdr:colOff>
      <xdr:row>44</xdr:row>
      <xdr:rowOff>53474</xdr:rowOff>
    </xdr:from>
    <xdr:to>
      <xdr:col>5</xdr:col>
      <xdr:colOff>554789</xdr:colOff>
      <xdr:row>45</xdr:row>
      <xdr:rowOff>80211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34CAB4A3-7577-DF14-5CC7-34FD2BF41C8C}"/>
            </a:ext>
          </a:extLst>
        </xdr:cNvPr>
        <xdr:cNvSpPr/>
      </xdr:nvSpPr>
      <xdr:spPr>
        <a:xfrm>
          <a:off x="13574956474" y="9070474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170144</xdr:colOff>
      <xdr:row>47</xdr:row>
      <xdr:rowOff>12315</xdr:rowOff>
    </xdr:from>
    <xdr:to>
      <xdr:col>4</xdr:col>
      <xdr:colOff>732164</xdr:colOff>
      <xdr:row>47</xdr:row>
      <xdr:rowOff>192789</xdr:rowOff>
    </xdr:to>
    <xdr:sp macro="" textlink="">
      <xdr:nvSpPr>
        <xdr:cNvPr id="26" name="Down Arrow 25">
          <a:extLst>
            <a:ext uri="{FF2B5EF4-FFF2-40B4-BE49-F238E27FC236}">
              <a16:creationId xmlns:a16="http://schemas.microsoft.com/office/drawing/2014/main" id="{1B88AC4B-6490-2F98-97BD-648ED948D286}"/>
            </a:ext>
          </a:extLst>
        </xdr:cNvPr>
        <xdr:cNvSpPr/>
      </xdr:nvSpPr>
      <xdr:spPr>
        <a:xfrm rot="16200000">
          <a:off x="13575798715" y="9440121"/>
          <a:ext cx="180474" cy="56202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78</xdr:row>
      <xdr:rowOff>14942</xdr:rowOff>
    </xdr:from>
    <xdr:to>
      <xdr:col>3</xdr:col>
      <xdr:colOff>179294</xdr:colOff>
      <xdr:row>83</xdr:row>
      <xdr:rowOff>179294</xdr:rowOff>
    </xdr:to>
    <xdr:sp macro="" textlink="">
      <xdr:nvSpPr>
        <xdr:cNvPr id="27" name="Right Brace 26">
          <a:extLst>
            <a:ext uri="{FF2B5EF4-FFF2-40B4-BE49-F238E27FC236}">
              <a16:creationId xmlns:a16="http://schemas.microsoft.com/office/drawing/2014/main" id="{5253770A-5547-0C84-0A72-1D981D6EBBEB}"/>
            </a:ext>
          </a:extLst>
        </xdr:cNvPr>
        <xdr:cNvSpPr/>
      </xdr:nvSpPr>
      <xdr:spPr>
        <a:xfrm>
          <a:off x="13583434412" y="13925177"/>
          <a:ext cx="291353" cy="117288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104</xdr:row>
      <xdr:rowOff>14942</xdr:rowOff>
    </xdr:from>
    <xdr:to>
      <xdr:col>3</xdr:col>
      <xdr:colOff>179294</xdr:colOff>
      <xdr:row>109</xdr:row>
      <xdr:rowOff>179294</xdr:rowOff>
    </xdr:to>
    <xdr:sp macro="" textlink="">
      <xdr:nvSpPr>
        <xdr:cNvPr id="28" name="Right Brace 27">
          <a:extLst>
            <a:ext uri="{FF2B5EF4-FFF2-40B4-BE49-F238E27FC236}">
              <a16:creationId xmlns:a16="http://schemas.microsoft.com/office/drawing/2014/main" id="{EE54D483-0C13-3742-B885-F26A3DDB9224}"/>
            </a:ext>
          </a:extLst>
        </xdr:cNvPr>
        <xdr:cNvSpPr/>
      </xdr:nvSpPr>
      <xdr:spPr>
        <a:xfrm>
          <a:off x="13583434412" y="14328589"/>
          <a:ext cx="291353" cy="1172881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309563</xdr:colOff>
      <xdr:row>246</xdr:row>
      <xdr:rowOff>63500</xdr:rowOff>
    </xdr:from>
    <xdr:to>
      <xdr:col>5</xdr:col>
      <xdr:colOff>579438</xdr:colOff>
      <xdr:row>247</xdr:row>
      <xdr:rowOff>158750</xdr:rowOff>
    </xdr:to>
    <xdr:sp macro="" textlink="">
      <xdr:nvSpPr>
        <xdr:cNvPr id="29" name="Down Arrow 28">
          <a:extLst>
            <a:ext uri="{FF2B5EF4-FFF2-40B4-BE49-F238E27FC236}">
              <a16:creationId xmlns:a16="http://schemas.microsoft.com/office/drawing/2014/main" id="{2E46B560-9534-7CD8-8CB1-20430633FEF4}"/>
            </a:ext>
          </a:extLst>
        </xdr:cNvPr>
        <xdr:cNvSpPr/>
      </xdr:nvSpPr>
      <xdr:spPr>
        <a:xfrm>
          <a:off x="13520261250" y="4948237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238125</xdr:colOff>
      <xdr:row>254</xdr:row>
      <xdr:rowOff>79375</xdr:rowOff>
    </xdr:from>
    <xdr:to>
      <xdr:col>5</xdr:col>
      <xdr:colOff>508000</xdr:colOff>
      <xdr:row>255</xdr:row>
      <xdr:rowOff>174625</xdr:rowOff>
    </xdr:to>
    <xdr:sp macro="" textlink="">
      <xdr:nvSpPr>
        <xdr:cNvPr id="30" name="Down Arrow 29">
          <a:extLst>
            <a:ext uri="{FF2B5EF4-FFF2-40B4-BE49-F238E27FC236}">
              <a16:creationId xmlns:a16="http://schemas.microsoft.com/office/drawing/2014/main" id="{08648A46-8CB5-B22D-BA8E-6591C52D79FF}"/>
            </a:ext>
          </a:extLst>
        </xdr:cNvPr>
        <xdr:cNvSpPr/>
      </xdr:nvSpPr>
      <xdr:spPr>
        <a:xfrm>
          <a:off x="13520332688" y="5116512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69" t="s">
        <v>1185</v>
      </c>
      <c r="B1" s="269"/>
      <c r="C1" s="269"/>
      <c r="D1" s="269"/>
      <c r="E1" s="269"/>
      <c r="F1" s="269"/>
      <c r="G1" s="269"/>
      <c r="H1" s="269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1144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1145</v>
      </c>
      <c r="G46" s="1" t="s">
        <v>36</v>
      </c>
    </row>
    <row r="47" spans="1:8" x14ac:dyDescent="0.2">
      <c r="B47" s="1" t="s">
        <v>29</v>
      </c>
      <c r="D47" s="1" t="s">
        <v>1146</v>
      </c>
      <c r="G47" s="1" t="s">
        <v>32</v>
      </c>
    </row>
    <row r="48" spans="1:8" x14ac:dyDescent="0.2">
      <c r="B48" s="1" t="s">
        <v>30</v>
      </c>
      <c r="D48" s="1" t="s">
        <v>1147</v>
      </c>
      <c r="G48" s="1" t="s">
        <v>33</v>
      </c>
    </row>
    <row r="49" spans="1:8" x14ac:dyDescent="0.2">
      <c r="B49" s="1" t="s">
        <v>31</v>
      </c>
      <c r="D49" s="1" t="s">
        <v>1148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58" t="s">
        <v>1149</v>
      </c>
    </row>
    <row r="58" spans="1:8" s="158" customFormat="1" x14ac:dyDescent="0.2"/>
    <row r="59" spans="1:8" s="158" customFormat="1" x14ac:dyDescent="0.2">
      <c r="A59" s="159" t="s">
        <v>53</v>
      </c>
    </row>
    <row r="60" spans="1:8" s="158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1150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1151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60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1152</v>
      </c>
      <c r="H111" s="31"/>
      <c r="I111" s="23"/>
    </row>
    <row r="112" spans="1:9" x14ac:dyDescent="0.2">
      <c r="G112" s="24" t="s">
        <v>1153</v>
      </c>
      <c r="I112" s="25"/>
    </row>
    <row r="113" spans="1:9" ht="17" thickBot="1" x14ac:dyDescent="0.25">
      <c r="A113" s="1" t="s">
        <v>83</v>
      </c>
      <c r="G113" s="26" t="s">
        <v>1154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1155</v>
      </c>
    </row>
    <row r="120" spans="1:9" x14ac:dyDescent="0.2">
      <c r="E120" s="1" t="s">
        <v>1157</v>
      </c>
      <c r="F120" s="12">
        <f>4*12</f>
        <v>48</v>
      </c>
      <c r="G120" s="1" t="s">
        <v>45</v>
      </c>
      <c r="H120" s="1" t="s">
        <v>1156</v>
      </c>
    </row>
    <row r="121" spans="1:9" x14ac:dyDescent="0.2">
      <c r="F121" s="12">
        <v>-25000</v>
      </c>
      <c r="G121" s="1" t="s">
        <v>39</v>
      </c>
      <c r="H121" s="1" t="s">
        <v>1158</v>
      </c>
    </row>
    <row r="122" spans="1:9" x14ac:dyDescent="0.2">
      <c r="F122" s="12">
        <v>-500</v>
      </c>
      <c r="G122" s="1" t="s">
        <v>47</v>
      </c>
      <c r="H122" s="1" t="s">
        <v>1159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1160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1161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1162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61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1167</v>
      </c>
      <c r="H189" s="2" t="s">
        <v>1163</v>
      </c>
    </row>
    <row r="190" spans="1:8" x14ac:dyDescent="0.2">
      <c r="H190" s="1" t="s">
        <v>1164</v>
      </c>
    </row>
    <row r="191" spans="1:8" x14ac:dyDescent="0.2">
      <c r="B191" s="1" t="s">
        <v>1168</v>
      </c>
      <c r="E191" s="163" t="s">
        <v>137</v>
      </c>
      <c r="F191" s="162" t="s">
        <v>136</v>
      </c>
      <c r="H191" s="1" t="s">
        <v>1165</v>
      </c>
    </row>
    <row r="192" spans="1:8" x14ac:dyDescent="0.2">
      <c r="H192" s="1" t="s">
        <v>1166</v>
      </c>
    </row>
    <row r="193" spans="1:8" x14ac:dyDescent="0.2">
      <c r="A193" s="271">
        <f>(1+6.539%)^12-1</f>
        <v>1.1384711369525191</v>
      </c>
      <c r="B193" s="270" t="s">
        <v>138</v>
      </c>
      <c r="C193" s="270">
        <f>(1+6.539%)^12-1</f>
        <v>1.1384711369525191</v>
      </c>
    </row>
    <row r="194" spans="1:8" x14ac:dyDescent="0.2">
      <c r="A194" s="271"/>
      <c r="B194" s="270"/>
      <c r="C194" s="270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61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1169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1170</v>
      </c>
      <c r="B225" s="164"/>
      <c r="C225" s="164"/>
      <c r="D225" s="164"/>
      <c r="E225" s="164"/>
      <c r="F225" s="164"/>
      <c r="G225" s="164"/>
      <c r="H225" s="164"/>
    </row>
    <row r="226" spans="1:8" x14ac:dyDescent="0.2">
      <c r="A226" s="1" t="s">
        <v>1171</v>
      </c>
    </row>
    <row r="227" spans="1:8" x14ac:dyDescent="0.2">
      <c r="A227" s="1" t="s">
        <v>1172</v>
      </c>
    </row>
    <row r="228" spans="1:8" x14ac:dyDescent="0.2">
      <c r="A228" s="1" t="s">
        <v>1173</v>
      </c>
    </row>
    <row r="229" spans="1:8" x14ac:dyDescent="0.2">
      <c r="A229" s="1" t="s">
        <v>1174</v>
      </c>
    </row>
    <row r="230" spans="1:8" x14ac:dyDescent="0.2">
      <c r="A230" s="1" t="s">
        <v>1175</v>
      </c>
    </row>
    <row r="231" spans="1:8" x14ac:dyDescent="0.2">
      <c r="A231" s="1" t="s">
        <v>1176</v>
      </c>
    </row>
    <row r="234" spans="1:8" x14ac:dyDescent="0.2">
      <c r="C234" s="166">
        <f>A241*100</f>
        <v>0.40741237836483535</v>
      </c>
      <c r="D234" s="1" t="s">
        <v>42</v>
      </c>
      <c r="E234" s="1" t="s">
        <v>1180</v>
      </c>
    </row>
    <row r="235" spans="1:8" x14ac:dyDescent="0.2">
      <c r="C235" s="1">
        <f>10*12</f>
        <v>120</v>
      </c>
      <c r="D235" s="1" t="s">
        <v>45</v>
      </c>
      <c r="E235" s="1" t="s">
        <v>1179</v>
      </c>
    </row>
    <row r="236" spans="1:8" x14ac:dyDescent="0.2">
      <c r="C236" s="1">
        <v>-400000</v>
      </c>
      <c r="D236" s="1" t="s">
        <v>39</v>
      </c>
      <c r="E236" s="1" t="s">
        <v>1178</v>
      </c>
    </row>
    <row r="237" spans="1:8" x14ac:dyDescent="0.2">
      <c r="C237" s="168">
        <f>PMT(C234/100,C235,C236,C238)</f>
        <v>-28170.20662589727</v>
      </c>
      <c r="D237" s="1" t="s">
        <v>47</v>
      </c>
      <c r="E237" s="1" t="s">
        <v>798</v>
      </c>
    </row>
    <row r="238" spans="1:8" x14ac:dyDescent="0.2">
      <c r="C238" s="86">
        <v>5000000</v>
      </c>
      <c r="D238" s="1" t="s">
        <v>50</v>
      </c>
      <c r="E238" s="1" t="s">
        <v>1177</v>
      </c>
    </row>
    <row r="240" spans="1:8" x14ac:dyDescent="0.2">
      <c r="A240" s="1" t="s">
        <v>1181</v>
      </c>
    </row>
    <row r="241" spans="1:8" x14ac:dyDescent="0.2">
      <c r="A241" s="165">
        <f>C241</f>
        <v>4.0741237836483535E-3</v>
      </c>
      <c r="B241" s="1" t="s">
        <v>1184</v>
      </c>
      <c r="C241" s="167">
        <f>(1+5%)^(1/12)-1</f>
        <v>4.0741237836483535E-3</v>
      </c>
    </row>
    <row r="243" spans="1:8" x14ac:dyDescent="0.2">
      <c r="A243" s="1" t="s">
        <v>1182</v>
      </c>
    </row>
    <row r="244" spans="1:8" x14ac:dyDescent="0.2">
      <c r="A244" s="1" t="s">
        <v>1183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1186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1187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1188</v>
      </c>
    </row>
    <row r="18" spans="1:8" x14ac:dyDescent="0.2">
      <c r="C18" s="1" t="s">
        <v>1189</v>
      </c>
      <c r="F18" s="12" t="s">
        <v>174</v>
      </c>
    </row>
    <row r="19" spans="1:8" x14ac:dyDescent="0.2">
      <c r="C19" s="1" t="s">
        <v>1190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1191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1192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1193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169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169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58" customFormat="1" x14ac:dyDescent="0.2">
      <c r="D87" s="169">
        <f>FV(D84/100,D83,D86,D85)</f>
        <v>505.04948184269637</v>
      </c>
      <c r="E87" s="70" t="s">
        <v>50</v>
      </c>
      <c r="F87" s="170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1194</v>
      </c>
    </row>
    <row r="106" spans="1:8" x14ac:dyDescent="0.2">
      <c r="A106" s="1" t="s">
        <v>1195</v>
      </c>
      <c r="D106" s="12">
        <f>12*3</f>
        <v>36</v>
      </c>
      <c r="E106" s="12" t="s">
        <v>45</v>
      </c>
      <c r="F106" s="1" t="s">
        <v>1196</v>
      </c>
    </row>
    <row r="107" spans="1:8" x14ac:dyDescent="0.2">
      <c r="A107" s="1" t="s">
        <v>1197</v>
      </c>
      <c r="D107" s="12">
        <v>1</v>
      </c>
      <c r="E107" s="12" t="s">
        <v>42</v>
      </c>
      <c r="F107" s="1" t="s">
        <v>1198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1199</v>
      </c>
    </row>
    <row r="110" spans="1:8" x14ac:dyDescent="0.2">
      <c r="A110" s="2" t="s">
        <v>1200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169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169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171" t="s">
        <v>1201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169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173">
        <f>FV(D191/100,D190,D193,D192)</f>
        <v>55897.002444829268</v>
      </c>
      <c r="E194" s="172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1203</v>
      </c>
      <c r="F195" s="12" t="s">
        <v>1202</v>
      </c>
    </row>
    <row r="196" spans="1:8" x14ac:dyDescent="0.2">
      <c r="D196" s="1" t="s">
        <v>1204</v>
      </c>
    </row>
    <row r="198" spans="1:8" x14ac:dyDescent="0.2">
      <c r="A198" s="1" t="s">
        <v>298</v>
      </c>
    </row>
    <row r="200" spans="1:8" x14ac:dyDescent="0.2">
      <c r="A200" s="175" t="s">
        <v>1205</v>
      </c>
      <c r="B200" s="174"/>
      <c r="C200" s="174"/>
      <c r="D200" s="174"/>
      <c r="E200" s="174"/>
      <c r="F200" s="174"/>
      <c r="G200" s="174"/>
    </row>
    <row r="201" spans="1:8" x14ac:dyDescent="0.2">
      <c r="A201" s="1" t="s">
        <v>1206</v>
      </c>
    </row>
    <row r="202" spans="1:8" x14ac:dyDescent="0.2">
      <c r="A202" s="1" t="s">
        <v>1207</v>
      </c>
    </row>
    <row r="203" spans="1:8" x14ac:dyDescent="0.2">
      <c r="A203" s="1" t="s">
        <v>1208</v>
      </c>
    </row>
    <row r="204" spans="1:8" x14ac:dyDescent="0.2">
      <c r="A204" s="1" t="s">
        <v>1209</v>
      </c>
    </row>
    <row r="205" spans="1:8" x14ac:dyDescent="0.2">
      <c r="A205" s="1" t="s">
        <v>1210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1211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1212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1214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176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1213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176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171" t="s">
        <v>1201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177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178">
        <f>FV(C253/100,C252,C255,C254)</f>
        <v>417719.81329510908</v>
      </c>
      <c r="D256" s="177">
        <f>FV(D253/100,D252,D255,D254)</f>
        <v>51058.051641720835</v>
      </c>
      <c r="E256" s="172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179" t="s">
        <v>1215</v>
      </c>
      <c r="B268" s="179"/>
      <c r="C268" s="179"/>
      <c r="D268" s="179"/>
      <c r="E268" s="179"/>
      <c r="F268" s="179"/>
      <c r="G268" s="179"/>
      <c r="H268" s="179"/>
    </row>
    <row r="269" spans="1:8" x14ac:dyDescent="0.2">
      <c r="A269" s="1" t="s">
        <v>1216</v>
      </c>
    </row>
    <row r="270" spans="1:8" x14ac:dyDescent="0.2">
      <c r="A270" s="1" t="s">
        <v>1217</v>
      </c>
    </row>
    <row r="271" spans="1:8" x14ac:dyDescent="0.2">
      <c r="A271" s="1" t="s">
        <v>1218</v>
      </c>
    </row>
    <row r="272" spans="1:8" x14ac:dyDescent="0.2">
      <c r="A272" s="1" t="s">
        <v>1219</v>
      </c>
    </row>
    <row r="273" spans="1:8" x14ac:dyDescent="0.2">
      <c r="A273" s="1" t="s">
        <v>1221</v>
      </c>
    </row>
    <row r="274" spans="1:8" x14ac:dyDescent="0.2">
      <c r="A274" s="1" t="s">
        <v>1220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180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179" t="s">
        <v>1215</v>
      </c>
      <c r="B284" s="179"/>
      <c r="C284" s="179"/>
      <c r="D284" s="179"/>
      <c r="E284" s="179"/>
      <c r="F284" s="179"/>
      <c r="G284" s="179"/>
      <c r="H284" s="179"/>
    </row>
    <row r="285" spans="1:8" x14ac:dyDescent="0.2">
      <c r="A285" s="1" t="s">
        <v>1222</v>
      </c>
    </row>
    <row r="286" spans="1:8" x14ac:dyDescent="0.2">
      <c r="A286" s="1" t="s">
        <v>1223</v>
      </c>
    </row>
    <row r="287" spans="1:8" x14ac:dyDescent="0.2">
      <c r="A287" s="1" t="s">
        <v>1224</v>
      </c>
    </row>
    <row r="288" spans="1:8" x14ac:dyDescent="0.2">
      <c r="A288" s="1" t="s">
        <v>1225</v>
      </c>
    </row>
    <row r="289" spans="1:9" x14ac:dyDescent="0.2">
      <c r="H289" s="1" t="s">
        <v>1226</v>
      </c>
    </row>
    <row r="290" spans="1:9" x14ac:dyDescent="0.2">
      <c r="D290" s="59" t="s">
        <v>291</v>
      </c>
      <c r="E290" s="59" t="s">
        <v>290</v>
      </c>
      <c r="H290" s="1" t="s">
        <v>1227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1228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1229</v>
      </c>
    </row>
    <row r="296" spans="1:9" x14ac:dyDescent="0.2">
      <c r="A296" s="1" t="s">
        <v>1234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1230</v>
      </c>
    </row>
    <row r="298" spans="1:9" x14ac:dyDescent="0.2">
      <c r="A298" s="1" t="s">
        <v>1231</v>
      </c>
    </row>
    <row r="299" spans="1:9" x14ac:dyDescent="0.2">
      <c r="A299" s="1" t="s">
        <v>294</v>
      </c>
    </row>
    <row r="300" spans="1:9" x14ac:dyDescent="0.2">
      <c r="A300" s="1" t="s">
        <v>1232</v>
      </c>
    </row>
    <row r="301" spans="1:9" x14ac:dyDescent="0.2">
      <c r="A301" s="1" t="s">
        <v>1233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1235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69" t="s">
        <v>449</v>
      </c>
      <c r="B1" s="269"/>
      <c r="C1" s="269"/>
      <c r="D1" s="269"/>
      <c r="E1" s="269"/>
      <c r="F1" s="269"/>
      <c r="G1" s="269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1236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1242</v>
      </c>
      <c r="D24" s="272" t="s">
        <v>390</v>
      </c>
      <c r="E24" s="273"/>
    </row>
    <row r="25" spans="1:7" x14ac:dyDescent="0.2">
      <c r="D25" s="274" t="s">
        <v>385</v>
      </c>
      <c r="E25" s="274"/>
    </row>
    <row r="26" spans="1:7" x14ac:dyDescent="0.2">
      <c r="A26" s="1" t="s">
        <v>1241</v>
      </c>
      <c r="D26" s="274" t="s">
        <v>386</v>
      </c>
      <c r="E26" s="274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183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1240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182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1238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1239</v>
      </c>
      <c r="E36" s="184">
        <f>FV(E33/100,E32,E35,E34)</f>
        <v>1036407.6625229202</v>
      </c>
      <c r="F36" s="181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1237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1243</v>
      </c>
    </row>
    <row r="43" spans="1:9" x14ac:dyDescent="0.2">
      <c r="A43" s="1" t="s">
        <v>400</v>
      </c>
      <c r="I43" s="1" t="s">
        <v>1244</v>
      </c>
    </row>
    <row r="44" spans="1:9" x14ac:dyDescent="0.2">
      <c r="A44" s="1" t="s">
        <v>401</v>
      </c>
      <c r="I44" s="1" t="s">
        <v>1245</v>
      </c>
    </row>
    <row r="45" spans="1:9" x14ac:dyDescent="0.2">
      <c r="A45" s="1" t="s">
        <v>402</v>
      </c>
      <c r="I45" s="1" t="s">
        <v>1246</v>
      </c>
    </row>
    <row r="46" spans="1:9" x14ac:dyDescent="0.2">
      <c r="A46" s="1" t="s">
        <v>403</v>
      </c>
      <c r="I46" s="1" t="s">
        <v>1247</v>
      </c>
    </row>
    <row r="47" spans="1:9" x14ac:dyDescent="0.2">
      <c r="I47" s="1" t="s">
        <v>1248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185" t="s">
        <v>406</v>
      </c>
      <c r="D57" s="185" t="s">
        <v>1249</v>
      </c>
      <c r="E57" s="185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190">
        <f>-D63-45000</f>
        <v>-296602.96101395937</v>
      </c>
      <c r="D61" s="188">
        <f>-E63</f>
        <v>-146607.24267146544</v>
      </c>
      <c r="E61" s="186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191">
        <f>FV(C60/100,C59,C62,C61)</f>
        <v>465460.98942108313</v>
      </c>
      <c r="D63" s="189">
        <f>FV(D60/100,D59,D62,D61)</f>
        <v>251602.96101395934</v>
      </c>
      <c r="E63" s="187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860</v>
      </c>
      <c r="I70" s="12" t="s">
        <v>1254</v>
      </c>
      <c r="J70" s="12" t="s">
        <v>851</v>
      </c>
      <c r="K70" s="12" t="s">
        <v>959</v>
      </c>
      <c r="L70" s="12"/>
    </row>
    <row r="71" spans="1:13" x14ac:dyDescent="0.2">
      <c r="A71" s="1" t="s">
        <v>417</v>
      </c>
      <c r="H71" s="12" t="s">
        <v>1250</v>
      </c>
      <c r="I71" s="12" t="s">
        <v>1255</v>
      </c>
      <c r="J71" s="12" t="s">
        <v>1253</v>
      </c>
      <c r="K71" s="12" t="s">
        <v>1250</v>
      </c>
      <c r="L71" s="12"/>
    </row>
    <row r="72" spans="1:13" x14ac:dyDescent="0.2">
      <c r="A72" s="1" t="s">
        <v>418</v>
      </c>
      <c r="H72" s="12" t="s">
        <v>1257</v>
      </c>
      <c r="I72" s="12" t="s">
        <v>316</v>
      </c>
      <c r="J72" s="12" t="s">
        <v>829</v>
      </c>
      <c r="K72" s="12" t="s">
        <v>1251</v>
      </c>
      <c r="L72" s="12"/>
    </row>
    <row r="73" spans="1:13" x14ac:dyDescent="0.2">
      <c r="A73" s="1" t="s">
        <v>419</v>
      </c>
      <c r="H73" s="59" t="s">
        <v>1258</v>
      </c>
      <c r="I73" s="59" t="s">
        <v>1256</v>
      </c>
      <c r="J73" s="59" t="s">
        <v>1143</v>
      </c>
      <c r="K73" s="59" t="s">
        <v>1252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47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798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1261</v>
      </c>
    </row>
    <row r="109" spans="1:10" x14ac:dyDescent="0.2">
      <c r="A109" s="1" t="s">
        <v>443</v>
      </c>
      <c r="J109" s="12" t="s">
        <v>1262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1263</v>
      </c>
    </row>
    <row r="113" spans="1:10" x14ac:dyDescent="0.2">
      <c r="A113" s="59" t="s">
        <v>1260</v>
      </c>
      <c r="B113" s="59" t="s">
        <v>1259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192">
        <f>FV(B116/100,B115,B118,B117)</f>
        <v>193.88462809689082</v>
      </c>
      <c r="C119" s="1" t="s">
        <v>50</v>
      </c>
    </row>
    <row r="120" spans="1:10" x14ac:dyDescent="0.2">
      <c r="A120" s="12" t="s">
        <v>1265</v>
      </c>
      <c r="B120" s="12" t="s">
        <v>1264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193" t="s">
        <v>1266</v>
      </c>
      <c r="B136" s="193"/>
      <c r="C136" s="193"/>
      <c r="D136" s="193"/>
      <c r="E136" s="193"/>
      <c r="F136" s="193"/>
      <c r="G136" s="193"/>
      <c r="H136" s="193"/>
    </row>
    <row r="147" spans="1:10" x14ac:dyDescent="0.2">
      <c r="A147" s="1" t="s">
        <v>1267</v>
      </c>
      <c r="H147" s="1" t="s">
        <v>1274</v>
      </c>
    </row>
    <row r="148" spans="1:10" x14ac:dyDescent="0.2">
      <c r="A148" s="1" t="s">
        <v>1268</v>
      </c>
    </row>
    <row r="149" spans="1:10" x14ac:dyDescent="0.2">
      <c r="A149" s="1" t="s">
        <v>1269</v>
      </c>
    </row>
    <row r="150" spans="1:10" x14ac:dyDescent="0.2">
      <c r="H150" s="1" t="s">
        <v>1270</v>
      </c>
    </row>
    <row r="151" spans="1:10" x14ac:dyDescent="0.2">
      <c r="A151" s="1" t="s">
        <v>1271</v>
      </c>
      <c r="J151" s="1" t="s">
        <v>1272</v>
      </c>
    </row>
    <row r="152" spans="1:10" x14ac:dyDescent="0.2">
      <c r="A152" s="1" t="s">
        <v>1276</v>
      </c>
      <c r="D152" s="12">
        <v>1</v>
      </c>
      <c r="E152" s="1" t="s">
        <v>1184</v>
      </c>
      <c r="F152" s="133">
        <f>(1+4.060401%)^0.25-1</f>
        <v>1.0000000000000009E-2</v>
      </c>
      <c r="H152" s="1" t="s">
        <v>1275</v>
      </c>
      <c r="J152" s="1" t="s">
        <v>1273</v>
      </c>
    </row>
    <row r="154" spans="1:10" x14ac:dyDescent="0.2">
      <c r="D154" s="59" t="s">
        <v>1278</v>
      </c>
      <c r="E154" s="59" t="s">
        <v>1277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53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2" t="s">
        <v>1279</v>
      </c>
      <c r="B163" s="193"/>
      <c r="C163" s="193"/>
      <c r="D163" s="193"/>
      <c r="E163" s="193"/>
      <c r="F163" s="193"/>
      <c r="G163" s="193"/>
      <c r="H163" s="193"/>
    </row>
    <row r="165" spans="1:11" x14ac:dyDescent="0.2">
      <c r="I165" s="1" t="s">
        <v>1280</v>
      </c>
    </row>
    <row r="166" spans="1:11" x14ac:dyDescent="0.2">
      <c r="K166" s="1" t="s">
        <v>1282</v>
      </c>
    </row>
    <row r="168" spans="1:11" x14ac:dyDescent="0.2">
      <c r="I168" s="1" t="s">
        <v>1281</v>
      </c>
    </row>
    <row r="169" spans="1:11" x14ac:dyDescent="0.2">
      <c r="K169" s="1" t="s">
        <v>1283</v>
      </c>
    </row>
    <row r="174" spans="1:11" x14ac:dyDescent="0.2">
      <c r="C174" s="12" t="s">
        <v>437</v>
      </c>
      <c r="D174" s="12" t="s">
        <v>436</v>
      </c>
      <c r="G174" s="1" t="s">
        <v>1286</v>
      </c>
    </row>
    <row r="175" spans="1:11" x14ac:dyDescent="0.2">
      <c r="C175" s="59" t="s">
        <v>1285</v>
      </c>
      <c r="D175" s="59" t="s">
        <v>1284</v>
      </c>
      <c r="G175" s="1" t="s">
        <v>1287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1288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1289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1290</v>
      </c>
      <c r="K179" s="105" t="s">
        <v>1292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1291</v>
      </c>
      <c r="K181" s="1" t="s">
        <v>1293</v>
      </c>
    </row>
    <row r="185" spans="1:11" ht="18" x14ac:dyDescent="0.2">
      <c r="A185" s="131" t="s">
        <v>1541</v>
      </c>
      <c r="B185" s="131"/>
      <c r="C185" s="131"/>
      <c r="D185" s="131"/>
      <c r="E185" s="131"/>
      <c r="F185" s="131"/>
      <c r="G185" s="131"/>
      <c r="H185" s="131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797</v>
      </c>
    </row>
    <row r="198" spans="1:8" x14ac:dyDescent="0.2">
      <c r="C198" s="1" t="s">
        <v>801</v>
      </c>
      <c r="E198" s="1" t="s">
        <v>800</v>
      </c>
    </row>
    <row r="199" spans="1:8" x14ac:dyDescent="0.2">
      <c r="C199" s="1" t="s">
        <v>802</v>
      </c>
    </row>
    <row r="200" spans="1:8" x14ac:dyDescent="0.2">
      <c r="C200" s="59" t="s">
        <v>799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09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798</v>
      </c>
    </row>
    <row r="207" spans="1:8" x14ac:dyDescent="0.2">
      <c r="A207" s="2" t="s">
        <v>803</v>
      </c>
      <c r="B207" s="2"/>
      <c r="C207" s="2"/>
      <c r="D207" s="2"/>
      <c r="E207" s="2"/>
      <c r="F207" s="110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0"/>
    </row>
    <row r="209" spans="1:7" x14ac:dyDescent="0.2">
      <c r="A209" s="2"/>
      <c r="B209" s="2"/>
      <c r="C209" s="2"/>
      <c r="D209" s="2"/>
      <c r="E209" s="2"/>
      <c r="F209" s="110"/>
    </row>
    <row r="210" spans="1:7" x14ac:dyDescent="0.2">
      <c r="A210" s="2"/>
      <c r="B210" s="2"/>
      <c r="C210" s="2"/>
      <c r="D210" s="2"/>
      <c r="E210" s="2"/>
      <c r="F210" s="110"/>
    </row>
    <row r="219" spans="1:7" x14ac:dyDescent="0.2">
      <c r="B219" s="115" t="s">
        <v>629</v>
      </c>
      <c r="C219" s="115" t="s">
        <v>315</v>
      </c>
      <c r="D219" s="115" t="s">
        <v>817</v>
      </c>
      <c r="E219" s="115" t="s">
        <v>813</v>
      </c>
      <c r="F219" s="116" t="s">
        <v>805</v>
      </c>
    </row>
    <row r="220" spans="1:7" x14ac:dyDescent="0.2">
      <c r="B220" s="115" t="s">
        <v>818</v>
      </c>
      <c r="C220" s="115" t="s">
        <v>814</v>
      </c>
      <c r="D220" s="115" t="s">
        <v>814</v>
      </c>
      <c r="E220" s="115" t="s">
        <v>806</v>
      </c>
      <c r="F220" s="115" t="s">
        <v>804</v>
      </c>
    </row>
    <row r="221" spans="1:7" x14ac:dyDescent="0.2">
      <c r="B221" s="111" t="s">
        <v>819</v>
      </c>
      <c r="C221" s="111" t="s">
        <v>816</v>
      </c>
      <c r="D221" s="111" t="s">
        <v>815</v>
      </c>
      <c r="E221" s="111" t="s">
        <v>809</v>
      </c>
      <c r="F221" s="111" t="s">
        <v>812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3"/>
      <c r="G222" s="1" t="s">
        <v>45</v>
      </c>
    </row>
    <row r="223" spans="1:7" x14ac:dyDescent="0.2">
      <c r="B223" s="16">
        <f>((1+10%)^0.25-1)*100</f>
        <v>2.4113689084445111</v>
      </c>
      <c r="C223" s="119">
        <v>10</v>
      </c>
      <c r="D223" s="117">
        <f>E223</f>
        <v>0.94887929345830457</v>
      </c>
      <c r="E223" s="117">
        <f>((1+12%)^(1/12)-1)*100</f>
        <v>0.94887929345830457</v>
      </c>
      <c r="F223" s="114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4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4"/>
      <c r="G225" s="1" t="s">
        <v>47</v>
      </c>
    </row>
    <row r="226" spans="1:8" x14ac:dyDescent="0.2">
      <c r="B226" s="108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2">
        <f>5000*12</f>
        <v>60000</v>
      </c>
      <c r="G226" s="1" t="s">
        <v>50</v>
      </c>
      <c r="H226" s="1" t="s">
        <v>798</v>
      </c>
    </row>
    <row r="229" spans="1:8" x14ac:dyDescent="0.2">
      <c r="B229" s="1" t="s">
        <v>820</v>
      </c>
      <c r="E229" s="1" t="s">
        <v>807</v>
      </c>
    </row>
    <row r="230" spans="1:8" x14ac:dyDescent="0.2">
      <c r="B230" s="1" t="s">
        <v>821</v>
      </c>
      <c r="E230" s="1" t="s">
        <v>808</v>
      </c>
    </row>
    <row r="231" spans="1:8" x14ac:dyDescent="0.2">
      <c r="A231" s="120">
        <f>B223</f>
        <v>2.4113689084445111</v>
      </c>
      <c r="C231" s="1" t="s">
        <v>822</v>
      </c>
      <c r="E231" s="1" t="s">
        <v>810</v>
      </c>
    </row>
    <row r="232" spans="1:8" x14ac:dyDescent="0.2">
      <c r="E232" s="117">
        <f>E223</f>
        <v>0.94887929345830457</v>
      </c>
      <c r="G232" s="1" t="s">
        <v>811</v>
      </c>
    </row>
    <row r="234" spans="1:8" x14ac:dyDescent="0.2">
      <c r="A234" s="1" t="s">
        <v>823</v>
      </c>
    </row>
    <row r="242" spans="1:9" ht="17" thickBot="1" x14ac:dyDescent="0.25">
      <c r="E242" s="115" t="s">
        <v>827</v>
      </c>
      <c r="F242" s="115" t="s">
        <v>824</v>
      </c>
    </row>
    <row r="243" spans="1:9" x14ac:dyDescent="0.2">
      <c r="A243" s="21" t="s">
        <v>841</v>
      </c>
      <c r="B243" s="122"/>
      <c r="E243" s="115" t="s">
        <v>828</v>
      </c>
      <c r="F243" s="115" t="s">
        <v>825</v>
      </c>
      <c r="I243" s="1" t="s">
        <v>846</v>
      </c>
    </row>
    <row r="244" spans="1:9" x14ac:dyDescent="0.2">
      <c r="A244" s="123" t="s">
        <v>842</v>
      </c>
      <c r="B244" s="124"/>
      <c r="E244" s="111" t="s">
        <v>829</v>
      </c>
      <c r="F244" s="111" t="s">
        <v>826</v>
      </c>
      <c r="I244" s="2" t="s">
        <v>847</v>
      </c>
    </row>
    <row r="245" spans="1:9" x14ac:dyDescent="0.2">
      <c r="A245" s="123" t="s">
        <v>843</v>
      </c>
      <c r="B245" s="124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3" t="s">
        <v>844</v>
      </c>
      <c r="B246" s="124"/>
      <c r="C246" s="1" t="s">
        <v>830</v>
      </c>
      <c r="E246" s="117">
        <f>F246</f>
        <v>0.94887929345830457</v>
      </c>
      <c r="F246" s="117">
        <f>((1+12%)^(1/12)-1)*100</f>
        <v>0.94887929345830457</v>
      </c>
      <c r="G246" s="1" t="s">
        <v>42</v>
      </c>
    </row>
    <row r="247" spans="1:9" ht="17" thickBot="1" x14ac:dyDescent="0.25">
      <c r="A247" s="125" t="s">
        <v>845</v>
      </c>
      <c r="B247" s="126"/>
      <c r="C247" s="1" t="s">
        <v>831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832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833</v>
      </c>
      <c r="E249" s="108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834</v>
      </c>
    </row>
    <row r="251" spans="1:9" x14ac:dyDescent="0.2">
      <c r="C251" s="1" t="s">
        <v>835</v>
      </c>
    </row>
    <row r="252" spans="1:9" x14ac:dyDescent="0.2">
      <c r="C252" s="1" t="s">
        <v>836</v>
      </c>
    </row>
    <row r="253" spans="1:9" x14ac:dyDescent="0.2">
      <c r="E253" s="1" t="s">
        <v>837</v>
      </c>
      <c r="G253" s="86">
        <f>F249</f>
        <v>1198304.9862389127</v>
      </c>
    </row>
    <row r="254" spans="1:9" x14ac:dyDescent="0.2">
      <c r="E254" s="1" t="s">
        <v>838</v>
      </c>
      <c r="G254" s="86">
        <v>200000</v>
      </c>
    </row>
    <row r="255" spans="1:9" x14ac:dyDescent="0.2">
      <c r="E255" s="1" t="s">
        <v>839</v>
      </c>
      <c r="G255" s="121">
        <f>G253+G254</f>
        <v>1398304.9862389127</v>
      </c>
      <c r="H255" s="1" t="s">
        <v>840</v>
      </c>
    </row>
    <row r="267" spans="1:8" x14ac:dyDescent="0.2">
      <c r="B267" s="127" t="s">
        <v>850</v>
      </c>
      <c r="C267" s="127" t="s">
        <v>850</v>
      </c>
      <c r="D267" s="127" t="s">
        <v>850</v>
      </c>
      <c r="F267" s="116" t="s">
        <v>850</v>
      </c>
      <c r="G267" s="127" t="s">
        <v>856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849</v>
      </c>
      <c r="B271" s="12"/>
      <c r="C271" s="12">
        <v>-150000</v>
      </c>
      <c r="D271" s="12" t="s">
        <v>851</v>
      </c>
      <c r="E271" s="12">
        <v>-80000</v>
      </c>
      <c r="F271" s="12" t="s">
        <v>854</v>
      </c>
      <c r="G271" s="12"/>
      <c r="H271" s="12" t="s">
        <v>848</v>
      </c>
    </row>
    <row r="272" spans="1:8" x14ac:dyDescent="0.2">
      <c r="C272" s="12" t="s">
        <v>387</v>
      </c>
      <c r="E272" s="12" t="s">
        <v>387</v>
      </c>
      <c r="F272" s="12" t="s">
        <v>855</v>
      </c>
    </row>
    <row r="274" spans="1:7" x14ac:dyDescent="0.2">
      <c r="B274" s="115" t="s">
        <v>860</v>
      </c>
      <c r="C274" s="115" t="s">
        <v>863</v>
      </c>
      <c r="D274" s="115" t="s">
        <v>860</v>
      </c>
      <c r="E274" s="115" t="s">
        <v>859</v>
      </c>
      <c r="F274" s="115" t="s">
        <v>368</v>
      </c>
    </row>
    <row r="275" spans="1:7" x14ac:dyDescent="0.2">
      <c r="B275" s="115" t="s">
        <v>861</v>
      </c>
      <c r="C275" s="115" t="s">
        <v>864</v>
      </c>
      <c r="D275" s="115" t="s">
        <v>861</v>
      </c>
      <c r="E275" s="115" t="s">
        <v>857</v>
      </c>
      <c r="F275" s="115" t="s">
        <v>852</v>
      </c>
    </row>
    <row r="276" spans="1:7" x14ac:dyDescent="0.2">
      <c r="B276" s="128" t="s">
        <v>866</v>
      </c>
      <c r="C276" s="111" t="s">
        <v>865</v>
      </c>
      <c r="D276" s="128" t="s">
        <v>862</v>
      </c>
      <c r="E276" s="111" t="s">
        <v>858</v>
      </c>
      <c r="F276" s="111" t="s">
        <v>853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7">
        <f>C278</f>
        <v>1.4673846168659299</v>
      </c>
      <c r="C278" s="117">
        <f>((1+6%)^(1/4)-1)*100</f>
        <v>1.4673846168659299</v>
      </c>
      <c r="D278" s="117">
        <f>E278</f>
        <v>1.2272234429039353</v>
      </c>
      <c r="E278" s="117">
        <f>((1+5%)^(1/4)-1)*100</f>
        <v>1.2272234429039353</v>
      </c>
      <c r="F278" s="119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8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867</v>
      </c>
    </row>
    <row r="293" spans="1:7" x14ac:dyDescent="0.2">
      <c r="A293" s="1" t="s">
        <v>873</v>
      </c>
      <c r="D293" s="12" t="s">
        <v>814</v>
      </c>
      <c r="E293" s="12" t="s">
        <v>870</v>
      </c>
      <c r="F293" s="12" t="s">
        <v>868</v>
      </c>
    </row>
    <row r="294" spans="1:7" x14ac:dyDescent="0.2">
      <c r="A294" s="1" t="s">
        <v>874</v>
      </c>
      <c r="D294" s="59" t="s">
        <v>872</v>
      </c>
      <c r="E294" s="59" t="s">
        <v>871</v>
      </c>
      <c r="F294" s="59" t="s">
        <v>869</v>
      </c>
    </row>
    <row r="295" spans="1:7" x14ac:dyDescent="0.2">
      <c r="A295" s="1" t="s">
        <v>875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19">
        <v>6</v>
      </c>
      <c r="E296" s="117">
        <f>((1+5%)^(1/12)-1)*100</f>
        <v>0.40741237836483535</v>
      </c>
      <c r="F296" s="117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09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876</v>
      </c>
    </row>
    <row r="309" spans="1:8" x14ac:dyDescent="0.2">
      <c r="H309" s="1" t="s">
        <v>884</v>
      </c>
    </row>
    <row r="310" spans="1:8" x14ac:dyDescent="0.2">
      <c r="F310" s="12" t="s">
        <v>868</v>
      </c>
    </row>
    <row r="311" spans="1:8" x14ac:dyDescent="0.2">
      <c r="F311" s="59" t="s">
        <v>869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878</v>
      </c>
      <c r="E313" s="1" t="s">
        <v>877</v>
      </c>
      <c r="F313" s="129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879</v>
      </c>
      <c r="F314" s="18">
        <v>0</v>
      </c>
      <c r="G314" s="1" t="s">
        <v>39</v>
      </c>
    </row>
    <row r="315" spans="1:8" x14ac:dyDescent="0.2">
      <c r="A315" s="1" t="s">
        <v>880</v>
      </c>
      <c r="F315" s="18">
        <v>-1000</v>
      </c>
      <c r="G315" s="1" t="s">
        <v>47</v>
      </c>
    </row>
    <row r="316" spans="1:8" ht="17" thickBot="1" x14ac:dyDescent="0.25">
      <c r="A316" s="1" t="s">
        <v>881</v>
      </c>
      <c r="F316" s="18">
        <v>14000</v>
      </c>
      <c r="G316" s="1" t="s">
        <v>50</v>
      </c>
    </row>
    <row r="317" spans="1:8" ht="17" thickBot="1" x14ac:dyDescent="0.25">
      <c r="B317" s="130">
        <f>(1+2.7599%)^12-1</f>
        <v>0.38638571727340021</v>
      </c>
      <c r="D317" s="1" t="s">
        <v>882</v>
      </c>
    </row>
    <row r="319" spans="1:8" x14ac:dyDescent="0.2">
      <c r="A319" s="2" t="s">
        <v>883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opLeftCell="A356" zoomScale="270" zoomScaleNormal="270" workbookViewId="0">
      <selection activeCell="F347" sqref="F347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1294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5" t="s">
        <v>1295</v>
      </c>
      <c r="B19" s="95"/>
      <c r="C19" s="95"/>
      <c r="D19" s="95"/>
      <c r="E19" s="95"/>
      <c r="F19" s="95"/>
      <c r="G19" s="95"/>
      <c r="H19" s="95"/>
    </row>
    <row r="20" spans="1:8" x14ac:dyDescent="0.2">
      <c r="A20" s="1" t="s">
        <v>1296</v>
      </c>
    </row>
    <row r="21" spans="1:8" x14ac:dyDescent="0.2">
      <c r="A21" s="1" t="s">
        <v>1297</v>
      </c>
    </row>
    <row r="22" spans="1:8" x14ac:dyDescent="0.2">
      <c r="A22" s="1" t="s">
        <v>1298</v>
      </c>
    </row>
    <row r="23" spans="1:8" x14ac:dyDescent="0.2">
      <c r="A23" s="1" t="s">
        <v>1299</v>
      </c>
    </row>
    <row r="25" spans="1:8" x14ac:dyDescent="0.2">
      <c r="A25" s="1" t="s">
        <v>711</v>
      </c>
    </row>
    <row r="26" spans="1:8" x14ac:dyDescent="0.2">
      <c r="A26" s="1" t="s">
        <v>1301</v>
      </c>
    </row>
    <row r="27" spans="1:8" x14ac:dyDescent="0.2">
      <c r="A27" s="1" t="s">
        <v>1300</v>
      </c>
    </row>
    <row r="28" spans="1:8" x14ac:dyDescent="0.2">
      <c r="F28" s="1" t="s">
        <v>1308</v>
      </c>
    </row>
    <row r="29" spans="1:8" x14ac:dyDescent="0.2">
      <c r="A29" s="58" t="s">
        <v>1303</v>
      </c>
      <c r="B29" s="58"/>
      <c r="C29" s="58"/>
      <c r="D29" s="58" t="s">
        <v>1306</v>
      </c>
      <c r="F29" s="58"/>
      <c r="G29" s="58"/>
      <c r="H29" s="58" t="s">
        <v>1307</v>
      </c>
    </row>
    <row r="30" spans="1:8" x14ac:dyDescent="0.2">
      <c r="A30" s="1" t="s">
        <v>1302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1304</v>
      </c>
      <c r="C33" s="12">
        <v>-200000</v>
      </c>
      <c r="D33" s="1" t="s">
        <v>39</v>
      </c>
      <c r="G33" s="90">
        <v>-200000</v>
      </c>
      <c r="H33" s="1" t="s">
        <v>39</v>
      </c>
      <c r="I33" s="40" t="s">
        <v>798</v>
      </c>
    </row>
    <row r="34" spans="1:9" x14ac:dyDescent="0.2">
      <c r="A34" s="1" t="s">
        <v>1305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1309</v>
      </c>
      <c r="C35" s="90">
        <f>200000*1.03^4</f>
        <v>225101.76199999999</v>
      </c>
      <c r="D35" s="1" t="s">
        <v>50</v>
      </c>
      <c r="E35" s="40" t="s">
        <v>798</v>
      </c>
      <c r="G35" s="12">
        <v>225102</v>
      </c>
      <c r="H35" s="1" t="s">
        <v>50</v>
      </c>
      <c r="I35" s="1" t="s">
        <v>1199</v>
      </c>
    </row>
    <row r="37" spans="1:9" x14ac:dyDescent="0.2">
      <c r="A37" s="2" t="s">
        <v>1310</v>
      </c>
    </row>
    <row r="38" spans="1:9" x14ac:dyDescent="0.2">
      <c r="A38" s="1" t="s">
        <v>1311</v>
      </c>
    </row>
    <row r="40" spans="1:9" x14ac:dyDescent="0.2">
      <c r="A40" s="2" t="s">
        <v>1320</v>
      </c>
    </row>
    <row r="41" spans="1:9" x14ac:dyDescent="0.2">
      <c r="A41" s="1" t="s">
        <v>1314</v>
      </c>
    </row>
    <row r="43" spans="1:9" x14ac:dyDescent="0.2">
      <c r="A43" s="1" t="s">
        <v>1316</v>
      </c>
    </row>
    <row r="44" spans="1:9" x14ac:dyDescent="0.2">
      <c r="A44" s="1" t="s">
        <v>1315</v>
      </c>
    </row>
    <row r="45" spans="1:9" x14ac:dyDescent="0.2">
      <c r="A45" s="1" t="s">
        <v>1317</v>
      </c>
    </row>
    <row r="46" spans="1:9" ht="17" thickBot="1" x14ac:dyDescent="0.25"/>
    <row r="47" spans="1:9" x14ac:dyDescent="0.2">
      <c r="A47" s="30" t="s">
        <v>1312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1313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194" t="s">
        <v>1318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1319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1321</v>
      </c>
    </row>
    <row r="75" spans="1:8" x14ac:dyDescent="0.2">
      <c r="A75" s="1" t="s">
        <v>1322</v>
      </c>
    </row>
    <row r="76" spans="1:8" x14ac:dyDescent="0.2">
      <c r="A76" s="1" t="s">
        <v>1323</v>
      </c>
    </row>
    <row r="77" spans="1:8" x14ac:dyDescent="0.2">
      <c r="A77" s="1" t="s">
        <v>1324</v>
      </c>
    </row>
    <row r="78" spans="1:8" x14ac:dyDescent="0.2">
      <c r="A78" s="1" t="s">
        <v>1325</v>
      </c>
    </row>
    <row r="80" spans="1:8" x14ac:dyDescent="0.2">
      <c r="A80" s="2" t="s">
        <v>1326</v>
      </c>
      <c r="F80" s="1" t="s">
        <v>1328</v>
      </c>
    </row>
    <row r="81" spans="1:8" x14ac:dyDescent="0.2">
      <c r="A81" s="1" t="s">
        <v>1327</v>
      </c>
      <c r="F81" s="2" t="s">
        <v>1329</v>
      </c>
    </row>
    <row r="82" spans="1:8" ht="17" thickBot="1" x14ac:dyDescent="0.25"/>
    <row r="83" spans="1:8" x14ac:dyDescent="0.2">
      <c r="C83" s="195" t="s">
        <v>292</v>
      </c>
      <c r="D83" s="195" t="s">
        <v>291</v>
      </c>
      <c r="E83" s="195" t="s">
        <v>290</v>
      </c>
      <c r="F83" s="59" t="s">
        <v>177</v>
      </c>
    </row>
    <row r="84" spans="1:8" x14ac:dyDescent="0.2">
      <c r="C84" s="157" t="s">
        <v>179</v>
      </c>
      <c r="D84" s="157" t="s">
        <v>179</v>
      </c>
      <c r="E84" s="157" t="s">
        <v>179</v>
      </c>
      <c r="F84" s="12" t="s">
        <v>178</v>
      </c>
    </row>
    <row r="85" spans="1:8" x14ac:dyDescent="0.2">
      <c r="C85" s="157">
        <f>10*4</f>
        <v>40</v>
      </c>
      <c r="D85" s="157">
        <f>10*12</f>
        <v>120</v>
      </c>
      <c r="E85" s="157">
        <v>10</v>
      </c>
      <c r="F85" s="12" t="s">
        <v>45</v>
      </c>
    </row>
    <row r="86" spans="1:8" x14ac:dyDescent="0.2">
      <c r="C86" s="157">
        <v>1</v>
      </c>
      <c r="D86" s="157">
        <v>0.5</v>
      </c>
      <c r="E86" s="157">
        <v>4</v>
      </c>
      <c r="F86" s="12" t="s">
        <v>42</v>
      </c>
    </row>
    <row r="87" spans="1:8" x14ac:dyDescent="0.2">
      <c r="C87" s="196">
        <f t="shared" ref="C87:D87" si="0">PV(C86/100,C85,C88,C89)</f>
        <v>-335826.56943021901</v>
      </c>
      <c r="D87" s="196">
        <f t="shared" si="0"/>
        <v>-274816.36668208335</v>
      </c>
      <c r="E87" s="196">
        <f>PV(E86/100,E85,E88,E89)</f>
        <v>-337782.08441289928</v>
      </c>
      <c r="F87" s="12" t="s">
        <v>39</v>
      </c>
      <c r="G87" s="1" t="s">
        <v>798</v>
      </c>
    </row>
    <row r="88" spans="1:8" x14ac:dyDescent="0.2">
      <c r="C88" s="157">
        <v>0</v>
      </c>
      <c r="D88" s="157">
        <v>0</v>
      </c>
      <c r="E88" s="157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1333</v>
      </c>
      <c r="D91" s="2" t="s">
        <v>1333</v>
      </c>
      <c r="E91" s="2" t="s">
        <v>1330</v>
      </c>
    </row>
    <row r="92" spans="1:8" x14ac:dyDescent="0.2">
      <c r="C92" s="2" t="s">
        <v>1335</v>
      </c>
      <c r="D92" s="2" t="s">
        <v>1334</v>
      </c>
      <c r="E92" s="2" t="s">
        <v>1331</v>
      </c>
    </row>
    <row r="93" spans="1:8" x14ac:dyDescent="0.2">
      <c r="C93" s="197">
        <f>-C87</f>
        <v>335826.56943021901</v>
      </c>
      <c r="D93" s="197">
        <f>-D87</f>
        <v>274816.36668208335</v>
      </c>
      <c r="E93" s="2" t="s">
        <v>1332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1318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1336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1337</v>
      </c>
    </row>
    <row r="111" spans="1:8" x14ac:dyDescent="0.2">
      <c r="A111" s="1" t="s">
        <v>1338</v>
      </c>
    </row>
    <row r="112" spans="1:8" x14ac:dyDescent="0.2">
      <c r="A112" s="1" t="s">
        <v>1339</v>
      </c>
    </row>
    <row r="113" spans="1:8" x14ac:dyDescent="0.2">
      <c r="A113" s="1" t="s">
        <v>1340</v>
      </c>
    </row>
    <row r="115" spans="1:8" x14ac:dyDescent="0.2">
      <c r="C115" s="1" t="s">
        <v>1342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1343</v>
      </c>
      <c r="D117" s="12">
        <f>10*12</f>
        <v>120</v>
      </c>
      <c r="E117" s="12" t="s">
        <v>45</v>
      </c>
      <c r="F117" s="146" t="s">
        <v>1341</v>
      </c>
    </row>
    <row r="118" spans="1:8" x14ac:dyDescent="0.2">
      <c r="C118" s="1" t="s">
        <v>1345</v>
      </c>
      <c r="D118" s="12">
        <f>(1.08^(1/12)-1)*100</f>
        <v>0.64340301100034303</v>
      </c>
      <c r="E118" s="12" t="s">
        <v>42</v>
      </c>
      <c r="F118" s="146" t="s">
        <v>1344</v>
      </c>
    </row>
    <row r="119" spans="1:8" x14ac:dyDescent="0.2">
      <c r="D119" s="80">
        <f>PV(D118/100,D117,D120,D121)</f>
        <v>-250297.17116836525</v>
      </c>
      <c r="E119" s="12" t="s">
        <v>39</v>
      </c>
      <c r="F119" s="198" t="s">
        <v>798</v>
      </c>
    </row>
    <row r="120" spans="1:8" x14ac:dyDescent="0.2">
      <c r="D120" s="12">
        <v>3000</v>
      </c>
      <c r="E120" s="12" t="s">
        <v>47</v>
      </c>
      <c r="F120" s="146" t="s">
        <v>1346</v>
      </c>
    </row>
    <row r="121" spans="1:8" x14ac:dyDescent="0.2">
      <c r="D121" s="12">
        <v>0</v>
      </c>
      <c r="E121" s="12" t="s">
        <v>50</v>
      </c>
      <c r="F121" s="1" t="s">
        <v>1347</v>
      </c>
    </row>
    <row r="122" spans="1:8" x14ac:dyDescent="0.2">
      <c r="D122" s="12"/>
      <c r="E122" s="12"/>
    </row>
    <row r="123" spans="1:8" x14ac:dyDescent="0.2">
      <c r="A123" s="1" t="s">
        <v>1348</v>
      </c>
    </row>
    <row r="125" spans="1:8" x14ac:dyDescent="0.2">
      <c r="A125" s="77" t="s">
        <v>1349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1358</v>
      </c>
    </row>
    <row r="127" spans="1:8" x14ac:dyDescent="0.2">
      <c r="A127" s="1" t="s">
        <v>1350</v>
      </c>
    </row>
    <row r="128" spans="1:8" x14ac:dyDescent="0.2">
      <c r="A128" s="1" t="s">
        <v>1351</v>
      </c>
    </row>
    <row r="129" spans="1:8" x14ac:dyDescent="0.2">
      <c r="A129" s="1" t="s">
        <v>1352</v>
      </c>
    </row>
    <row r="131" spans="1:8" x14ac:dyDescent="0.2">
      <c r="A131" s="1" t="s">
        <v>1353</v>
      </c>
      <c r="D131" s="58"/>
      <c r="E131" s="58"/>
      <c r="F131" s="58" t="s">
        <v>177</v>
      </c>
    </row>
    <row r="132" spans="1:8" x14ac:dyDescent="0.2">
      <c r="A132" s="1" t="s">
        <v>1354</v>
      </c>
      <c r="E132" s="12" t="s">
        <v>179</v>
      </c>
      <c r="F132" s="1" t="s">
        <v>178</v>
      </c>
    </row>
    <row r="133" spans="1:8" x14ac:dyDescent="0.2">
      <c r="A133" s="1" t="s">
        <v>1355</v>
      </c>
      <c r="E133" s="12">
        <f>4*12</f>
        <v>48</v>
      </c>
      <c r="F133" s="1" t="s">
        <v>45</v>
      </c>
    </row>
    <row r="134" spans="1:8" x14ac:dyDescent="0.2">
      <c r="A134" s="1" t="s">
        <v>1356</v>
      </c>
      <c r="E134" s="12">
        <v>1</v>
      </c>
      <c r="F134" s="1" t="s">
        <v>42</v>
      </c>
    </row>
    <row r="135" spans="1:8" x14ac:dyDescent="0.2">
      <c r="A135" s="1" t="s">
        <v>1357</v>
      </c>
      <c r="E135" s="42">
        <f>PV(E134/100,E133,E136,E137)</f>
        <v>-238250.10906248679</v>
      </c>
      <c r="F135" s="1" t="s">
        <v>39</v>
      </c>
      <c r="G135" s="200" t="s">
        <v>798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1318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1318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1318</v>
      </c>
      <c r="G173" s="82"/>
      <c r="H173" s="82"/>
    </row>
    <row r="174" spans="1:8" x14ac:dyDescent="0.2">
      <c r="A174" s="1" t="s">
        <v>502</v>
      </c>
      <c r="H174" s="275" t="s">
        <v>506</v>
      </c>
    </row>
    <row r="175" spans="1:8" x14ac:dyDescent="0.2">
      <c r="A175" s="1" t="s">
        <v>503</v>
      </c>
      <c r="H175" s="276"/>
    </row>
    <row r="176" spans="1:8" x14ac:dyDescent="0.2">
      <c r="A176" s="1" t="s">
        <v>504</v>
      </c>
      <c r="H176" s="276"/>
    </row>
    <row r="177" spans="1:8" ht="17" thickBot="1" x14ac:dyDescent="0.25">
      <c r="A177" s="1" t="s">
        <v>505</v>
      </c>
      <c r="H177" s="277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1318</v>
      </c>
      <c r="H200" s="82"/>
    </row>
    <row r="201" spans="1:8" x14ac:dyDescent="0.2">
      <c r="A201" s="1" t="s">
        <v>518</v>
      </c>
      <c r="H201" s="275" t="s">
        <v>506</v>
      </c>
    </row>
    <row r="202" spans="1:8" x14ac:dyDescent="0.2">
      <c r="A202" s="1" t="s">
        <v>519</v>
      </c>
      <c r="H202" s="276"/>
    </row>
    <row r="203" spans="1:8" x14ac:dyDescent="0.2">
      <c r="A203" s="1" t="s">
        <v>520</v>
      </c>
      <c r="H203" s="276"/>
    </row>
    <row r="204" spans="1:8" ht="17" thickBot="1" x14ac:dyDescent="0.25">
      <c r="A204" s="1" t="s">
        <v>521</v>
      </c>
      <c r="H204" s="277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1318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1318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1360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1361</v>
      </c>
    </row>
    <row r="261" spans="1:8" x14ac:dyDescent="0.2">
      <c r="A261" s="1" t="s">
        <v>1362</v>
      </c>
    </row>
    <row r="262" spans="1:8" x14ac:dyDescent="0.2">
      <c r="A262" s="1" t="s">
        <v>1363</v>
      </c>
    </row>
    <row r="263" spans="1:8" x14ac:dyDescent="0.2">
      <c r="A263" s="1" t="s">
        <v>1364</v>
      </c>
    </row>
    <row r="264" spans="1:8" x14ac:dyDescent="0.2">
      <c r="A264" s="1" t="s">
        <v>1365</v>
      </c>
    </row>
    <row r="265" spans="1:8" x14ac:dyDescent="0.2">
      <c r="A265" s="1" t="s">
        <v>1366</v>
      </c>
    </row>
    <row r="266" spans="1:8" x14ac:dyDescent="0.2">
      <c r="A266" s="1" t="s">
        <v>1367</v>
      </c>
    </row>
    <row r="268" spans="1:8" x14ac:dyDescent="0.2">
      <c r="A268" s="1" t="s">
        <v>27</v>
      </c>
    </row>
    <row r="270" spans="1:8" x14ac:dyDescent="0.2">
      <c r="A270" s="2" t="s">
        <v>1368</v>
      </c>
    </row>
    <row r="271" spans="1:8" x14ac:dyDescent="0.2">
      <c r="A271" s="1" t="s">
        <v>1369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1371</v>
      </c>
      <c r="D275" s="12">
        <v>60</v>
      </c>
      <c r="E275" s="1" t="s">
        <v>45</v>
      </c>
      <c r="F275" s="1" t="s">
        <v>1370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1372</v>
      </c>
    </row>
    <row r="277" spans="1:10" x14ac:dyDescent="0.2">
      <c r="D277" s="80">
        <f>PV(D276/100,D275,D278,D279)</f>
        <v>260003.35845961256</v>
      </c>
      <c r="E277" s="1" t="s">
        <v>39</v>
      </c>
      <c r="F277" s="201" t="s">
        <v>798</v>
      </c>
    </row>
    <row r="278" spans="1:10" x14ac:dyDescent="0.2">
      <c r="D278" s="12">
        <v>-4000</v>
      </c>
      <c r="E278" s="1" t="s">
        <v>47</v>
      </c>
      <c r="F278" s="1" t="s">
        <v>1379</v>
      </c>
    </row>
    <row r="279" spans="1:10" x14ac:dyDescent="0.2">
      <c r="D279" s="12">
        <v>-70000</v>
      </c>
      <c r="E279" s="1" t="s">
        <v>50</v>
      </c>
      <c r="F279" s="1" t="s">
        <v>1380</v>
      </c>
    </row>
    <row r="280" spans="1:10" x14ac:dyDescent="0.2">
      <c r="F280" s="1" t="s">
        <v>1381</v>
      </c>
    </row>
    <row r="281" spans="1:10" ht="17" thickBot="1" x14ac:dyDescent="0.25"/>
    <row r="282" spans="1:10" x14ac:dyDescent="0.2">
      <c r="F282" s="21" t="s">
        <v>1382</v>
      </c>
      <c r="G282" s="31"/>
      <c r="H282" s="31"/>
      <c r="I282" s="31"/>
      <c r="J282" s="23"/>
    </row>
    <row r="283" spans="1:10" x14ac:dyDescent="0.2">
      <c r="F283" s="24" t="s">
        <v>1383</v>
      </c>
      <c r="J283" s="25"/>
    </row>
    <row r="284" spans="1:10" x14ac:dyDescent="0.2">
      <c r="A284" s="1" t="s">
        <v>1373</v>
      </c>
      <c r="B284" s="1" t="s">
        <v>1374</v>
      </c>
      <c r="F284" s="24" t="s">
        <v>1384</v>
      </c>
      <c r="J284" s="25"/>
    </row>
    <row r="285" spans="1:10" x14ac:dyDescent="0.2">
      <c r="A285" s="1" t="s">
        <v>1375</v>
      </c>
      <c r="B285" s="1" t="s">
        <v>1376</v>
      </c>
      <c r="F285" s="24" t="s">
        <v>1385</v>
      </c>
      <c r="J285" s="25"/>
    </row>
    <row r="286" spans="1:10" x14ac:dyDescent="0.2">
      <c r="A286" s="1" t="s">
        <v>1377</v>
      </c>
      <c r="B286" s="1" t="s">
        <v>1378</v>
      </c>
      <c r="F286" s="24" t="s">
        <v>1386</v>
      </c>
      <c r="J286" s="25"/>
    </row>
    <row r="287" spans="1:10" ht="17" thickBot="1" x14ac:dyDescent="0.25">
      <c r="F287" s="125" t="s">
        <v>1387</v>
      </c>
      <c r="G287" s="27"/>
      <c r="H287" s="27"/>
      <c r="I287" s="27"/>
      <c r="J287" s="28"/>
    </row>
    <row r="290" spans="1:9" x14ac:dyDescent="0.2">
      <c r="A290" s="77" t="s">
        <v>1388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1397</v>
      </c>
    </row>
    <row r="292" spans="1:9" x14ac:dyDescent="0.2">
      <c r="A292" s="1" t="s">
        <v>1389</v>
      </c>
      <c r="I292" s="1" t="s">
        <v>1398</v>
      </c>
    </row>
    <row r="293" spans="1:9" x14ac:dyDescent="0.2">
      <c r="A293" s="1" t="s">
        <v>1390</v>
      </c>
      <c r="I293" s="1" t="s">
        <v>1399</v>
      </c>
    </row>
    <row r="294" spans="1:9" x14ac:dyDescent="0.2">
      <c r="A294" s="1" t="s">
        <v>1391</v>
      </c>
      <c r="I294" s="1" t="s">
        <v>1400</v>
      </c>
    </row>
    <row r="295" spans="1:9" x14ac:dyDescent="0.2">
      <c r="A295" s="1" t="s">
        <v>1392</v>
      </c>
      <c r="I295" s="1" t="s">
        <v>1401</v>
      </c>
    </row>
    <row r="296" spans="1:9" x14ac:dyDescent="0.2">
      <c r="D296" s="1" t="s">
        <v>1407</v>
      </c>
      <c r="E296" s="1" t="s">
        <v>1408</v>
      </c>
      <c r="I296" s="1" t="s">
        <v>1403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1404</v>
      </c>
    </row>
    <row r="298" spans="1:9" x14ac:dyDescent="0.2">
      <c r="A298" s="1" t="s">
        <v>382</v>
      </c>
      <c r="D298" s="12"/>
      <c r="G298" s="12"/>
      <c r="I298" s="1" t="s">
        <v>1405</v>
      </c>
    </row>
    <row r="299" spans="1:9" x14ac:dyDescent="0.2">
      <c r="D299" s="12"/>
      <c r="E299" s="29">
        <v>-219552.82440000001</v>
      </c>
      <c r="G299" s="202" t="s">
        <v>1414</v>
      </c>
      <c r="I299" s="1" t="s">
        <v>1406</v>
      </c>
    </row>
    <row r="300" spans="1:9" x14ac:dyDescent="0.2">
      <c r="C300" s="12" t="s">
        <v>1393</v>
      </c>
      <c r="D300" s="12"/>
      <c r="E300" s="1" t="s">
        <v>1409</v>
      </c>
    </row>
    <row r="301" spans="1:9" x14ac:dyDescent="0.2">
      <c r="C301" s="12" t="s">
        <v>386</v>
      </c>
      <c r="E301" s="1" t="s">
        <v>1212</v>
      </c>
      <c r="F301" s="1" t="s">
        <v>1410</v>
      </c>
      <c r="I301" s="2" t="s">
        <v>1415</v>
      </c>
    </row>
    <row r="302" spans="1:9" x14ac:dyDescent="0.2">
      <c r="C302" s="12" t="s">
        <v>1394</v>
      </c>
      <c r="F302" s="1" t="s">
        <v>386</v>
      </c>
      <c r="I302" s="2" t="s">
        <v>1416</v>
      </c>
    </row>
    <row r="303" spans="1:9" x14ac:dyDescent="0.2">
      <c r="C303" s="12" t="s">
        <v>1395</v>
      </c>
      <c r="F303" s="1" t="s">
        <v>1411</v>
      </c>
    </row>
    <row r="304" spans="1:9" x14ac:dyDescent="0.2">
      <c r="F304" s="1" t="s">
        <v>1412</v>
      </c>
    </row>
    <row r="306" spans="1:9" x14ac:dyDescent="0.2">
      <c r="D306" s="1" t="s">
        <v>1396</v>
      </c>
      <c r="F306" s="1" t="s">
        <v>1413</v>
      </c>
    </row>
    <row r="308" spans="1:9" x14ac:dyDescent="0.2">
      <c r="A308" s="1" t="s">
        <v>1417</v>
      </c>
    </row>
    <row r="309" spans="1:9" x14ac:dyDescent="0.2">
      <c r="A309" s="1" t="s">
        <v>1418</v>
      </c>
    </row>
    <row r="310" spans="1:9" x14ac:dyDescent="0.2">
      <c r="A310" s="1" t="s">
        <v>1419</v>
      </c>
    </row>
    <row r="312" spans="1:9" x14ac:dyDescent="0.2">
      <c r="D312" s="12" t="s">
        <v>608</v>
      </c>
      <c r="E312" s="12" t="s">
        <v>607</v>
      </c>
      <c r="I312" s="1" t="s">
        <v>1421</v>
      </c>
    </row>
    <row r="313" spans="1:9" x14ac:dyDescent="0.2">
      <c r="D313" s="12" t="s">
        <v>1426</v>
      </c>
      <c r="E313" s="12" t="s">
        <v>1420</v>
      </c>
      <c r="I313" s="1" t="s">
        <v>1422</v>
      </c>
    </row>
    <row r="314" spans="1:9" x14ac:dyDescent="0.2">
      <c r="D314" s="59" t="s">
        <v>1427</v>
      </c>
      <c r="E314" s="59" t="s">
        <v>1425</v>
      </c>
      <c r="F314" s="58" t="s">
        <v>177</v>
      </c>
      <c r="I314" s="1" t="s">
        <v>1424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1423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798</v>
      </c>
      <c r="D318" s="202">
        <v>-172912</v>
      </c>
      <c r="E318" s="90">
        <v>-219552.82440000001</v>
      </c>
      <c r="F318" s="1" t="s">
        <v>39</v>
      </c>
      <c r="G318" s="1" t="s">
        <v>798</v>
      </c>
      <c r="I318" s="1" t="s">
        <v>1428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1429</v>
      </c>
    </row>
    <row r="320" spans="1:9" x14ac:dyDescent="0.2">
      <c r="D320" s="90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1430</v>
      </c>
    </row>
    <row r="323" spans="1:10" x14ac:dyDescent="0.2">
      <c r="A323" s="77" t="s">
        <v>1431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1443</v>
      </c>
    </row>
    <row r="325" spans="1:10" x14ac:dyDescent="0.2">
      <c r="A325" s="1" t="s">
        <v>1432</v>
      </c>
    </row>
    <row r="327" spans="1:10" x14ac:dyDescent="0.2">
      <c r="A327" s="1" t="s">
        <v>1433</v>
      </c>
      <c r="F327" s="1" t="s">
        <v>1434</v>
      </c>
    </row>
    <row r="328" spans="1:10" x14ac:dyDescent="0.2">
      <c r="A328" s="115" t="s">
        <v>1447</v>
      </c>
      <c r="B328" s="115" t="s">
        <v>1435</v>
      </c>
      <c r="F328" s="115" t="s">
        <v>1447</v>
      </c>
      <c r="G328" s="115" t="s">
        <v>1435</v>
      </c>
      <c r="I328" s="1" t="s">
        <v>1452</v>
      </c>
    </row>
    <row r="329" spans="1:10" x14ac:dyDescent="0.2">
      <c r="A329" s="115" t="s">
        <v>1448</v>
      </c>
      <c r="B329" s="115" t="s">
        <v>1436</v>
      </c>
      <c r="F329" s="115" t="s">
        <v>1448</v>
      </c>
      <c r="G329" s="115" t="s">
        <v>1436</v>
      </c>
      <c r="I329" s="1" t="s">
        <v>1453</v>
      </c>
    </row>
    <row r="330" spans="1:10" x14ac:dyDescent="0.2">
      <c r="A330" s="115" t="s">
        <v>1449</v>
      </c>
      <c r="B330" s="115" t="s">
        <v>1437</v>
      </c>
      <c r="F330" s="115" t="s">
        <v>1449</v>
      </c>
      <c r="G330" s="115" t="s">
        <v>1437</v>
      </c>
      <c r="I330" s="1">
        <v>14</v>
      </c>
      <c r="J330" s="1" t="s">
        <v>1454</v>
      </c>
    </row>
    <row r="331" spans="1:10" x14ac:dyDescent="0.2">
      <c r="A331" s="115" t="s">
        <v>1450</v>
      </c>
      <c r="B331" s="115" t="s">
        <v>1402</v>
      </c>
      <c r="F331" s="115" t="s">
        <v>1450</v>
      </c>
      <c r="G331" s="115" t="s">
        <v>1402</v>
      </c>
      <c r="I331" s="2" t="s">
        <v>1455</v>
      </c>
    </row>
    <row r="332" spans="1:10" x14ac:dyDescent="0.2">
      <c r="A332" s="111">
        <v>0</v>
      </c>
      <c r="B332" s="111" t="s">
        <v>1438</v>
      </c>
      <c r="F332" s="111">
        <v>0</v>
      </c>
      <c r="G332" s="111" t="s">
        <v>1438</v>
      </c>
      <c r="I332" s="2" t="s">
        <v>1456</v>
      </c>
    </row>
    <row r="333" spans="1:10" x14ac:dyDescent="0.2">
      <c r="C333" s="1" t="s">
        <v>177</v>
      </c>
      <c r="H333" s="1" t="s">
        <v>177</v>
      </c>
      <c r="I333" s="2" t="s">
        <v>1457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199" t="s">
        <v>1446</v>
      </c>
      <c r="B335" s="204" t="s">
        <v>1439</v>
      </c>
      <c r="C335" s="1" t="s">
        <v>45</v>
      </c>
      <c r="E335" s="1" t="s">
        <v>1458</v>
      </c>
      <c r="F335" s="12">
        <v>13</v>
      </c>
      <c r="G335" s="207">
        <f>5*4</f>
        <v>20</v>
      </c>
      <c r="H335" s="1" t="s">
        <v>45</v>
      </c>
    </row>
    <row r="336" spans="1:10" ht="25" x14ac:dyDescent="0.2">
      <c r="A336" s="12" t="s">
        <v>41</v>
      </c>
      <c r="B336" s="204" t="s">
        <v>1440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1451</v>
      </c>
      <c r="B337" s="205" t="s">
        <v>51</v>
      </c>
      <c r="C337" s="1" t="s">
        <v>39</v>
      </c>
      <c r="F337" s="209">
        <v>-12639</v>
      </c>
      <c r="G337" s="208">
        <v>-16351.433000000001</v>
      </c>
      <c r="H337" s="1" t="s">
        <v>39</v>
      </c>
    </row>
    <row r="338" spans="1:8" x14ac:dyDescent="0.2">
      <c r="A338" s="12" t="s">
        <v>1445</v>
      </c>
      <c r="B338" s="203" t="s">
        <v>1441</v>
      </c>
      <c r="C338" s="1" t="s">
        <v>47</v>
      </c>
      <c r="F338" s="12">
        <v>0</v>
      </c>
      <c r="G338" s="155">
        <v>1000</v>
      </c>
      <c r="H338" s="1" t="s">
        <v>47</v>
      </c>
    </row>
    <row r="339" spans="1:8" x14ac:dyDescent="0.2">
      <c r="A339" s="206" t="s">
        <v>1444</v>
      </c>
      <c r="B339" s="203" t="s">
        <v>1442</v>
      </c>
      <c r="C339" s="1" t="s">
        <v>50</v>
      </c>
      <c r="F339" s="202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1458</v>
      </c>
    </row>
    <row r="347" spans="1:8" x14ac:dyDescent="0.2">
      <c r="A347" s="82" t="s">
        <v>1359</v>
      </c>
      <c r="B347" s="82"/>
      <c r="C347" s="82"/>
      <c r="D347" s="82"/>
      <c r="E347" s="82"/>
      <c r="F347" s="82"/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254" zoomScaleNormal="240" workbookViewId="0">
      <selection activeCell="I285" sqref="I285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8">
        <v>45887</v>
      </c>
    </row>
    <row r="3" spans="1:8" x14ac:dyDescent="0.2">
      <c r="A3" s="88" t="s">
        <v>581</v>
      </c>
      <c r="B3" s="87"/>
      <c r="C3" s="87"/>
      <c r="D3" s="87"/>
      <c r="E3" s="87"/>
      <c r="F3" s="87"/>
      <c r="G3" s="87"/>
      <c r="H3" s="87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1459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1460</v>
      </c>
    </row>
    <row r="24" spans="1:8" x14ac:dyDescent="0.2">
      <c r="A24" s="1" t="s">
        <v>1461</v>
      </c>
    </row>
    <row r="25" spans="1:8" x14ac:dyDescent="0.2">
      <c r="A25" s="1" t="s">
        <v>1462</v>
      </c>
    </row>
    <row r="27" spans="1:8" x14ac:dyDescent="0.2">
      <c r="A27" s="1" t="s">
        <v>1463</v>
      </c>
    </row>
    <row r="28" spans="1:8" x14ac:dyDescent="0.2">
      <c r="A28" s="1" t="s">
        <v>1464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1465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14">
        <f>D63</f>
        <v>2.4113689084445111</v>
      </c>
      <c r="E33" s="12">
        <v>10</v>
      </c>
      <c r="F33" s="12">
        <v>12</v>
      </c>
      <c r="G33" s="152">
        <f>E45</f>
        <v>0.94887929345830457</v>
      </c>
      <c r="H33" s="1" t="s">
        <v>42</v>
      </c>
    </row>
    <row r="34" spans="1:9" x14ac:dyDescent="0.2">
      <c r="D34" s="212">
        <f>-E36</f>
        <v>-151669.27459626895</v>
      </c>
      <c r="E34" s="211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13">
        <f>FV(D33/100,D32,D35,D34)</f>
        <v>191718.33427128696</v>
      </c>
      <c r="E36" s="212">
        <f>FV(E33/100,E32,E35,E34)</f>
        <v>151669.27459626895</v>
      </c>
      <c r="F36" s="211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798</v>
      </c>
    </row>
    <row r="38" spans="1:9" x14ac:dyDescent="0.2">
      <c r="A38" s="1" t="s">
        <v>1466</v>
      </c>
    </row>
    <row r="39" spans="1:9" x14ac:dyDescent="0.2">
      <c r="A39" s="1" t="s">
        <v>1467</v>
      </c>
    </row>
    <row r="40" spans="1:9" x14ac:dyDescent="0.2">
      <c r="A40" s="1" t="s">
        <v>1468</v>
      </c>
    </row>
    <row r="41" spans="1:9" x14ac:dyDescent="0.2">
      <c r="A41" s="1" t="s">
        <v>1469</v>
      </c>
    </row>
    <row r="42" spans="1:9" x14ac:dyDescent="0.2">
      <c r="A42" s="1" t="s">
        <v>1470</v>
      </c>
    </row>
    <row r="43" spans="1:9" x14ac:dyDescent="0.2">
      <c r="A43" s="1" t="s">
        <v>1471</v>
      </c>
      <c r="E43" s="105" t="s">
        <v>1473</v>
      </c>
      <c r="G43" s="1" t="s">
        <v>1472</v>
      </c>
    </row>
    <row r="44" spans="1:9" x14ac:dyDescent="0.2">
      <c r="E44" s="105" t="s">
        <v>1475</v>
      </c>
      <c r="G44" s="1" t="s">
        <v>1474</v>
      </c>
    </row>
    <row r="45" spans="1:9" x14ac:dyDescent="0.2">
      <c r="E45" s="210">
        <f>(1.12^(1/12)-1)*100</f>
        <v>0.94887929345830457</v>
      </c>
    </row>
    <row r="47" spans="1:9" x14ac:dyDescent="0.2">
      <c r="A47" s="1" t="s">
        <v>1476</v>
      </c>
    </row>
    <row r="48" spans="1:9" x14ac:dyDescent="0.2">
      <c r="A48" s="1" t="s">
        <v>1477</v>
      </c>
    </row>
    <row r="49" spans="1:6" x14ac:dyDescent="0.2">
      <c r="A49" s="1" t="s">
        <v>1478</v>
      </c>
    </row>
    <row r="50" spans="1:6" x14ac:dyDescent="0.2">
      <c r="A50" s="1" t="s">
        <v>1479</v>
      </c>
    </row>
    <row r="52" spans="1:6" x14ac:dyDescent="0.2">
      <c r="A52" s="1" t="s">
        <v>1481</v>
      </c>
    </row>
    <row r="53" spans="1:6" x14ac:dyDescent="0.2">
      <c r="A53" s="1" t="s">
        <v>1480</v>
      </c>
    </row>
    <row r="54" spans="1:6" x14ac:dyDescent="0.2">
      <c r="A54" s="1" t="s">
        <v>1482</v>
      </c>
    </row>
    <row r="55" spans="1:6" x14ac:dyDescent="0.2">
      <c r="A55" s="1" t="s">
        <v>1483</v>
      </c>
    </row>
    <row r="58" spans="1:6" x14ac:dyDescent="0.2">
      <c r="A58" s="1" t="s">
        <v>1484</v>
      </c>
    </row>
    <row r="59" spans="1:6" x14ac:dyDescent="0.2">
      <c r="A59" s="1" t="s">
        <v>1485</v>
      </c>
    </row>
    <row r="60" spans="1:6" x14ac:dyDescent="0.2">
      <c r="A60" s="1" t="s">
        <v>1486</v>
      </c>
    </row>
    <row r="61" spans="1:6" x14ac:dyDescent="0.2">
      <c r="A61" s="1" t="s">
        <v>1487</v>
      </c>
    </row>
    <row r="62" spans="1:6" x14ac:dyDescent="0.2">
      <c r="A62" s="1" t="s">
        <v>1488</v>
      </c>
    </row>
    <row r="63" spans="1:6" x14ac:dyDescent="0.2">
      <c r="D63" s="193">
        <f>(1.1^0.25-1)*100</f>
        <v>2.4113689084445111</v>
      </c>
      <c r="F63" s="1" t="s">
        <v>1489</v>
      </c>
    </row>
    <row r="65" spans="1:8" x14ac:dyDescent="0.2">
      <c r="A65" s="89" t="s">
        <v>589</v>
      </c>
      <c r="B65" s="89"/>
      <c r="C65" s="89"/>
      <c r="D65" s="89"/>
      <c r="E65" s="89"/>
      <c r="F65" s="89"/>
      <c r="G65" s="89"/>
      <c r="H65" s="89" t="s">
        <v>1318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0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1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89" t="s">
        <v>598</v>
      </c>
      <c r="B97" s="89"/>
      <c r="C97" s="89"/>
      <c r="D97" s="89"/>
      <c r="E97" s="89"/>
      <c r="F97" s="89"/>
      <c r="G97" s="89"/>
      <c r="H97" s="89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1490</v>
      </c>
    </row>
    <row r="105" spans="1:8" x14ac:dyDescent="0.2">
      <c r="A105" s="1" t="s">
        <v>1491</v>
      </c>
    </row>
    <row r="106" spans="1:8" x14ac:dyDescent="0.2">
      <c r="A106" s="162" t="s">
        <v>1492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2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1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89" t="s">
        <v>617</v>
      </c>
      <c r="B134" s="89"/>
      <c r="C134" s="89"/>
      <c r="D134" s="89"/>
      <c r="E134" s="89"/>
      <c r="F134" s="89"/>
      <c r="G134" s="89"/>
      <c r="H134" s="89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1504</v>
      </c>
      <c r="D157" s="12" t="s">
        <v>318</v>
      </c>
      <c r="E157" s="215" t="s">
        <v>1500</v>
      </c>
      <c r="F157" s="215" t="s">
        <v>634</v>
      </c>
      <c r="G157" s="115" t="s">
        <v>1493</v>
      </c>
    </row>
    <row r="158" spans="1:10" x14ac:dyDescent="0.2">
      <c r="C158" s="12" t="s">
        <v>595</v>
      </c>
      <c r="D158" s="12" t="s">
        <v>1497</v>
      </c>
      <c r="E158" s="215" t="s">
        <v>1501</v>
      </c>
      <c r="F158" s="215" t="s">
        <v>1497</v>
      </c>
      <c r="G158" s="115" t="s">
        <v>1494</v>
      </c>
    </row>
    <row r="159" spans="1:10" x14ac:dyDescent="0.2">
      <c r="C159" s="12" t="s">
        <v>852</v>
      </c>
      <c r="D159" s="12" t="s">
        <v>595</v>
      </c>
      <c r="E159" s="215" t="s">
        <v>1502</v>
      </c>
      <c r="F159" s="215" t="s">
        <v>1498</v>
      </c>
      <c r="G159" s="115" t="s">
        <v>1495</v>
      </c>
    </row>
    <row r="160" spans="1:10" x14ac:dyDescent="0.2">
      <c r="C160" s="12"/>
      <c r="D160" s="12" t="s">
        <v>1505</v>
      </c>
      <c r="E160" s="115" t="s">
        <v>1503</v>
      </c>
      <c r="F160" s="115" t="s">
        <v>1499</v>
      </c>
      <c r="G160" s="115" t="s">
        <v>1496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17">
        <f t="shared" ref="C165:E165" si="0">PV(C163/100,C164,C166,C167)</f>
        <v>-2027343.5010258981</v>
      </c>
      <c r="D165" s="216">
        <f t="shared" si="0"/>
        <v>-2900659.7948851213</v>
      </c>
      <c r="E165" s="216">
        <f t="shared" si="0"/>
        <v>-2819528.9773331205</v>
      </c>
      <c r="F165" s="216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1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89" t="s">
        <v>643</v>
      </c>
      <c r="B176" s="89"/>
      <c r="C176" s="89"/>
      <c r="D176" s="89"/>
      <c r="E176" s="89"/>
      <c r="F176" s="89"/>
      <c r="G176" s="89"/>
      <c r="H176" s="89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3">
        <f t="shared" ref="C195" si="3">PV(C193/100,C194,C196,C197)</f>
        <v>-1398655.68540707</v>
      </c>
      <c r="D195" s="92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1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89" t="s">
        <v>652</v>
      </c>
      <c r="B200" s="89"/>
      <c r="C200" s="89"/>
      <c r="D200" s="89"/>
      <c r="E200" s="89"/>
      <c r="F200" s="89"/>
      <c r="G200" s="89"/>
      <c r="H200" s="89"/>
    </row>
    <row r="201" spans="1:8" x14ac:dyDescent="0.2">
      <c r="A201" s="1" t="s">
        <v>653</v>
      </c>
    </row>
    <row r="202" spans="1:8" x14ac:dyDescent="0.2">
      <c r="A202" s="1" t="s">
        <v>1506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4">
        <f t="shared" ref="C233" si="5">PV(C231/100,C232,C234,C235)</f>
        <v>-358137.62890877103</v>
      </c>
      <c r="D233" s="92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1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1507</v>
      </c>
    </row>
    <row r="239" spans="1:8" x14ac:dyDescent="0.2">
      <c r="A239" s="1" t="s">
        <v>1508</v>
      </c>
    </row>
    <row r="240" spans="1:8" x14ac:dyDescent="0.2">
      <c r="A240" s="1" t="s">
        <v>1509</v>
      </c>
    </row>
    <row r="241" spans="1:8" x14ac:dyDescent="0.2">
      <c r="A241" s="1" t="s">
        <v>1510</v>
      </c>
    </row>
    <row r="242" spans="1:8" x14ac:dyDescent="0.2">
      <c r="A242" s="1" t="s">
        <v>1511</v>
      </c>
    </row>
    <row r="243" spans="1:8" x14ac:dyDescent="0.2">
      <c r="A243" s="1" t="s">
        <v>1512</v>
      </c>
    </row>
    <row r="244" spans="1:8" x14ac:dyDescent="0.2">
      <c r="A244" s="1" t="s">
        <v>1513</v>
      </c>
      <c r="G244" s="1" t="str">
        <f ca="1">_xlfn.FORMULATEXT(E231)</f>
        <v>=((1+12.6825%)^(1/12)-1)*100</v>
      </c>
      <c r="H244" s="218">
        <f>E231</f>
        <v>0.99999977493334669</v>
      </c>
    </row>
    <row r="245" spans="1:8" x14ac:dyDescent="0.2">
      <c r="A245" s="1" t="s">
        <v>1514</v>
      </c>
      <c r="E245" s="133">
        <f>E233</f>
        <v>-270967.55585912394</v>
      </c>
    </row>
    <row r="247" spans="1:8" x14ac:dyDescent="0.2">
      <c r="A247" s="1" t="s">
        <v>1515</v>
      </c>
    </row>
    <row r="248" spans="1:8" x14ac:dyDescent="0.2">
      <c r="A248" s="1" t="s">
        <v>1516</v>
      </c>
    </row>
    <row r="249" spans="1:8" x14ac:dyDescent="0.2">
      <c r="A249" s="1" t="s">
        <v>1530</v>
      </c>
    </row>
    <row r="250" spans="1:8" x14ac:dyDescent="0.2">
      <c r="A250" s="1" t="s">
        <v>1517</v>
      </c>
    </row>
    <row r="251" spans="1:8" x14ac:dyDescent="0.2">
      <c r="A251" s="1" t="s">
        <v>1518</v>
      </c>
      <c r="G251" s="1" t="s">
        <v>1519</v>
      </c>
      <c r="H251" s="193">
        <f>D231</f>
        <v>3.0301</v>
      </c>
    </row>
    <row r="252" spans="1:8" x14ac:dyDescent="0.2">
      <c r="A252" s="1" t="s">
        <v>1520</v>
      </c>
    </row>
    <row r="253" spans="1:8" x14ac:dyDescent="0.2">
      <c r="A253" s="1" t="s">
        <v>1521</v>
      </c>
    </row>
    <row r="255" spans="1:8" x14ac:dyDescent="0.2">
      <c r="A255" s="1" t="s">
        <v>1522</v>
      </c>
    </row>
    <row r="256" spans="1:8" x14ac:dyDescent="0.2">
      <c r="A256" s="1" t="s">
        <v>1523</v>
      </c>
    </row>
    <row r="257" spans="1:8" x14ac:dyDescent="0.2">
      <c r="A257" s="1" t="s">
        <v>1524</v>
      </c>
    </row>
    <row r="258" spans="1:8" x14ac:dyDescent="0.2">
      <c r="A258" s="1" t="s">
        <v>1525</v>
      </c>
    </row>
    <row r="260" spans="1:8" x14ac:dyDescent="0.2">
      <c r="G260" s="1" t="s">
        <v>1526</v>
      </c>
      <c r="H260" s="193">
        <v>5</v>
      </c>
    </row>
    <row r="261" spans="1:8" x14ac:dyDescent="0.2">
      <c r="A261" s="1" t="s">
        <v>1527</v>
      </c>
    </row>
    <row r="262" spans="1:8" x14ac:dyDescent="0.2">
      <c r="A262" s="1" t="s">
        <v>1528</v>
      </c>
    </row>
    <row r="263" spans="1:8" x14ac:dyDescent="0.2">
      <c r="E263" s="133">
        <f>C233</f>
        <v>-358137.62890877103</v>
      </c>
    </row>
    <row r="265" spans="1:8" x14ac:dyDescent="0.2">
      <c r="A265" s="1" t="s">
        <v>1529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K407"/>
  <sheetViews>
    <sheetView rightToLeft="1" topLeftCell="A385" zoomScale="143" zoomScaleNormal="250" workbookViewId="0">
      <selection activeCell="A265" sqref="A265:I298"/>
    </sheetView>
  </sheetViews>
  <sheetFormatPr baseColWidth="10" defaultRowHeight="16" x14ac:dyDescent="0.2"/>
  <cols>
    <col min="1" max="6" width="10.83203125" style="1"/>
    <col min="7" max="7" width="11.1640625" style="1" bestFit="1" customWidth="1"/>
    <col min="8" max="16384" width="10.83203125" style="1"/>
  </cols>
  <sheetData>
    <row r="1" spans="1:9" x14ac:dyDescent="0.2">
      <c r="A1" s="1" t="s">
        <v>672</v>
      </c>
      <c r="H1" s="138">
        <v>45887</v>
      </c>
      <c r="I1" s="29"/>
    </row>
    <row r="2" spans="1:9" x14ac:dyDescent="0.2">
      <c r="H2" s="29" t="s">
        <v>1531</v>
      </c>
      <c r="I2" s="29"/>
    </row>
    <row r="3" spans="1:9" x14ac:dyDescent="0.2">
      <c r="A3" s="29" t="s">
        <v>1533</v>
      </c>
      <c r="B3" s="29"/>
      <c r="C3" s="29"/>
      <c r="D3" s="29"/>
      <c r="E3" s="29"/>
      <c r="F3" s="29"/>
      <c r="G3" s="29"/>
      <c r="H3" s="29" t="s">
        <v>1532</v>
      </c>
      <c r="I3" s="29"/>
    </row>
    <row r="4" spans="1:9" x14ac:dyDescent="0.2">
      <c r="A4" s="1" t="s">
        <v>673</v>
      </c>
    </row>
    <row r="5" spans="1:9" x14ac:dyDescent="0.2">
      <c r="A5" s="1" t="s">
        <v>1534</v>
      </c>
    </row>
    <row r="7" spans="1:9" x14ac:dyDescent="0.2">
      <c r="A7" s="95" t="s">
        <v>1535</v>
      </c>
      <c r="B7" s="95"/>
      <c r="C7" s="95"/>
      <c r="D7" s="95"/>
      <c r="E7" s="95"/>
      <c r="F7" s="95"/>
      <c r="G7" s="95"/>
      <c r="H7" s="95" t="s">
        <v>1582</v>
      </c>
    </row>
    <row r="8" spans="1:9" x14ac:dyDescent="0.2">
      <c r="A8" s="1" t="s">
        <v>674</v>
      </c>
    </row>
    <row r="9" spans="1:9" x14ac:dyDescent="0.2">
      <c r="A9" s="1" t="s">
        <v>675</v>
      </c>
    </row>
    <row r="10" spans="1:9" x14ac:dyDescent="0.2">
      <c r="A10" s="1" t="s">
        <v>676</v>
      </c>
    </row>
    <row r="12" spans="1:9" x14ac:dyDescent="0.2">
      <c r="A12" s="1" t="s">
        <v>677</v>
      </c>
    </row>
    <row r="13" spans="1:9" x14ac:dyDescent="0.2">
      <c r="A13" s="1" t="s">
        <v>678</v>
      </c>
    </row>
    <row r="15" spans="1:9" x14ac:dyDescent="0.2">
      <c r="A15" s="1" t="s">
        <v>27</v>
      </c>
    </row>
    <row r="17" spans="1:8" x14ac:dyDescent="0.2">
      <c r="A17" s="78" t="s">
        <v>677</v>
      </c>
      <c r="F17" s="75" t="s">
        <v>687</v>
      </c>
      <c r="G17" s="75"/>
    </row>
    <row r="18" spans="1:8" x14ac:dyDescent="0.2">
      <c r="A18" s="1" t="s">
        <v>679</v>
      </c>
    </row>
    <row r="19" spans="1:8" x14ac:dyDescent="0.2">
      <c r="A19" s="1" t="s">
        <v>680</v>
      </c>
    </row>
    <row r="20" spans="1:8" x14ac:dyDescent="0.2">
      <c r="A20" s="2" t="s">
        <v>681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682</v>
      </c>
    </row>
    <row r="26" spans="1:8" x14ac:dyDescent="0.2">
      <c r="H26" s="12" t="s">
        <v>683</v>
      </c>
    </row>
    <row r="30" spans="1:8" x14ac:dyDescent="0.2">
      <c r="A30" s="1" t="s">
        <v>1536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7" t="s">
        <v>1537</v>
      </c>
      <c r="E32" s="12">
        <v>36</v>
      </c>
      <c r="F32" s="1" t="s">
        <v>45</v>
      </c>
    </row>
    <row r="33" spans="1:8" x14ac:dyDescent="0.2">
      <c r="A33" s="1" t="s">
        <v>1538</v>
      </c>
      <c r="E33" s="12">
        <v>1</v>
      </c>
      <c r="F33" s="1" t="s">
        <v>42</v>
      </c>
    </row>
    <row r="34" spans="1:8" x14ac:dyDescent="0.2">
      <c r="A34" s="1" t="s">
        <v>685</v>
      </c>
      <c r="E34" s="12">
        <v>300000</v>
      </c>
      <c r="F34" s="1" t="s">
        <v>39</v>
      </c>
    </row>
    <row r="35" spans="1:8" x14ac:dyDescent="0.2">
      <c r="A35" s="1" t="s">
        <v>686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684</v>
      </c>
      <c r="E36" s="12">
        <v>0</v>
      </c>
      <c r="F36" s="1" t="s">
        <v>50</v>
      </c>
    </row>
    <row r="38" spans="1:8" x14ac:dyDescent="0.2">
      <c r="A38" s="78" t="s">
        <v>678</v>
      </c>
      <c r="G38" s="1" t="s">
        <v>692</v>
      </c>
    </row>
    <row r="39" spans="1:8" x14ac:dyDescent="0.2">
      <c r="A39" s="1" t="s">
        <v>688</v>
      </c>
    </row>
    <row r="41" spans="1:8" x14ac:dyDescent="0.2">
      <c r="A41" s="1" t="s">
        <v>1539</v>
      </c>
      <c r="F41" s="96">
        <f>9964*36</f>
        <v>358704</v>
      </c>
      <c r="H41" s="1" t="s">
        <v>689</v>
      </c>
    </row>
    <row r="42" spans="1:8" x14ac:dyDescent="0.2">
      <c r="A42" s="1" t="s">
        <v>1540</v>
      </c>
      <c r="F42" s="96">
        <f>E34</f>
        <v>300000</v>
      </c>
    </row>
    <row r="43" spans="1:8" x14ac:dyDescent="0.2">
      <c r="A43" s="1" t="s">
        <v>690</v>
      </c>
      <c r="F43" s="97">
        <f>F41-F42</f>
        <v>58704</v>
      </c>
      <c r="H43" s="1" t="s">
        <v>691</v>
      </c>
    </row>
    <row r="44" spans="1:8" ht="17" thickBot="1" x14ac:dyDescent="0.25"/>
    <row r="45" spans="1:8" x14ac:dyDescent="0.2">
      <c r="A45" s="30" t="s">
        <v>693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694</v>
      </c>
      <c r="H46" s="25"/>
    </row>
    <row r="47" spans="1:8" ht="17" thickBot="1" x14ac:dyDescent="0.25">
      <c r="A47" s="26" t="s">
        <v>695</v>
      </c>
      <c r="B47" s="27"/>
      <c r="C47" s="27"/>
      <c r="D47" s="27"/>
      <c r="E47" s="27"/>
      <c r="F47" s="27"/>
      <c r="G47" s="27"/>
      <c r="H47" s="28"/>
    </row>
    <row r="49" spans="1:9" x14ac:dyDescent="0.2">
      <c r="A49" s="95" t="s">
        <v>696</v>
      </c>
      <c r="B49" s="95"/>
      <c r="C49" s="95"/>
      <c r="D49" s="95"/>
      <c r="E49" s="95"/>
      <c r="F49" s="95"/>
      <c r="G49" s="95"/>
      <c r="H49" s="95" t="s">
        <v>1582</v>
      </c>
    </row>
    <row r="50" spans="1:9" x14ac:dyDescent="0.2">
      <c r="A50" s="1" t="s">
        <v>697</v>
      </c>
    </row>
    <row r="51" spans="1:9" x14ac:dyDescent="0.2">
      <c r="A51" s="1" t="s">
        <v>698</v>
      </c>
    </row>
    <row r="52" spans="1:9" x14ac:dyDescent="0.2">
      <c r="A52" s="1" t="s">
        <v>699</v>
      </c>
    </row>
    <row r="53" spans="1:9" x14ac:dyDescent="0.2">
      <c r="A53" s="1" t="s">
        <v>700</v>
      </c>
    </row>
    <row r="55" spans="1:9" x14ac:dyDescent="0.2">
      <c r="A55" s="1" t="s">
        <v>701</v>
      </c>
      <c r="E55" s="1" t="s">
        <v>706</v>
      </c>
      <c r="G55" s="1" t="s">
        <v>704</v>
      </c>
    </row>
    <row r="57" spans="1:9" x14ac:dyDescent="0.2">
      <c r="E57" s="12" t="s">
        <v>179</v>
      </c>
      <c r="F57" s="1" t="s">
        <v>178</v>
      </c>
    </row>
    <row r="58" spans="1:9" x14ac:dyDescent="0.2">
      <c r="A58" s="1" t="s">
        <v>702</v>
      </c>
      <c r="E58" s="12">
        <f>4*12</f>
        <v>48</v>
      </c>
      <c r="F58" s="1" t="s">
        <v>45</v>
      </c>
    </row>
    <row r="59" spans="1:9" x14ac:dyDescent="0.2">
      <c r="A59" s="1" t="s">
        <v>703</v>
      </c>
      <c r="E59" s="12">
        <v>1</v>
      </c>
      <c r="F59" s="1" t="s">
        <v>42</v>
      </c>
    </row>
    <row r="60" spans="1:9" x14ac:dyDescent="0.2">
      <c r="A60" s="1" t="s">
        <v>685</v>
      </c>
      <c r="E60" s="12">
        <v>1000000</v>
      </c>
      <c r="F60" s="1" t="s">
        <v>39</v>
      </c>
    </row>
    <row r="61" spans="1:9" x14ac:dyDescent="0.2">
      <c r="A61" s="1" t="s">
        <v>686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9" x14ac:dyDescent="0.2">
      <c r="A62" s="1" t="s">
        <v>705</v>
      </c>
      <c r="E62" s="12">
        <v>-300000</v>
      </c>
      <c r="F62" s="1" t="s">
        <v>50</v>
      </c>
    </row>
    <row r="64" spans="1:9" x14ac:dyDescent="0.2">
      <c r="A64" s="95" t="s">
        <v>707</v>
      </c>
      <c r="B64" s="95"/>
      <c r="C64" s="95"/>
      <c r="D64" s="95"/>
      <c r="E64" s="95"/>
      <c r="F64" s="95"/>
      <c r="G64" s="95"/>
      <c r="H64" s="95" t="s">
        <v>1583</v>
      </c>
      <c r="I64" s="14" t="s">
        <v>1542</v>
      </c>
    </row>
    <row r="65" spans="1:9" x14ac:dyDescent="0.2">
      <c r="A65" s="1" t="s">
        <v>708</v>
      </c>
    </row>
    <row r="66" spans="1:9" x14ac:dyDescent="0.2">
      <c r="A66" s="1" t="s">
        <v>709</v>
      </c>
    </row>
    <row r="67" spans="1:9" x14ac:dyDescent="0.2">
      <c r="A67" s="1" t="s">
        <v>1543</v>
      </c>
    </row>
    <row r="68" spans="1:9" x14ac:dyDescent="0.2">
      <c r="A68" s="1" t="s">
        <v>710</v>
      </c>
    </row>
    <row r="69" spans="1:9" x14ac:dyDescent="0.2">
      <c r="I69" s="1" t="s">
        <v>1142</v>
      </c>
    </row>
    <row r="70" spans="1:9" x14ac:dyDescent="0.2">
      <c r="A70" s="1" t="s">
        <v>711</v>
      </c>
      <c r="I70" s="1" t="s">
        <v>1545</v>
      </c>
    </row>
    <row r="71" spans="1:9" x14ac:dyDescent="0.2">
      <c r="A71" s="1" t="s">
        <v>1544</v>
      </c>
    </row>
    <row r="72" spans="1:9" x14ac:dyDescent="0.2">
      <c r="A72" s="1" t="s">
        <v>713</v>
      </c>
    </row>
    <row r="74" spans="1:9" x14ac:dyDescent="0.2">
      <c r="A74" s="1" t="s">
        <v>27</v>
      </c>
    </row>
    <row r="76" spans="1:9" x14ac:dyDescent="0.2">
      <c r="A76" s="78" t="s">
        <v>712</v>
      </c>
      <c r="G76" s="1" t="s">
        <v>731</v>
      </c>
    </row>
    <row r="77" spans="1:9" x14ac:dyDescent="0.2">
      <c r="E77" s="12" t="s">
        <v>179</v>
      </c>
      <c r="F77" s="1" t="s">
        <v>178</v>
      </c>
    </row>
    <row r="78" spans="1:9" x14ac:dyDescent="0.2">
      <c r="E78" s="12">
        <f>3*12</f>
        <v>36</v>
      </c>
      <c r="F78" s="1" t="s">
        <v>45</v>
      </c>
      <c r="G78" s="1" t="s">
        <v>1546</v>
      </c>
    </row>
    <row r="79" spans="1:9" x14ac:dyDescent="0.2">
      <c r="A79" s="221">
        <f>((1+12%)^(1/12)-1)*100</f>
        <v>0.94887929345830457</v>
      </c>
      <c r="E79" s="220">
        <v>0.94889999999999997</v>
      </c>
      <c r="F79" s="1" t="s">
        <v>42</v>
      </c>
      <c r="G79" s="1" t="s">
        <v>1547</v>
      </c>
    </row>
    <row r="80" spans="1:9" x14ac:dyDescent="0.2">
      <c r="E80" s="12">
        <v>30000</v>
      </c>
      <c r="F80" s="1" t="s">
        <v>39</v>
      </c>
      <c r="G80" s="1" t="s">
        <v>1548</v>
      </c>
    </row>
    <row r="81" spans="3:8" x14ac:dyDescent="0.2">
      <c r="E81" s="80">
        <f>PMT(E79/100,E78,E80,E82)</f>
        <v>-987.66585807718332</v>
      </c>
      <c r="F81" s="1" t="s">
        <v>47</v>
      </c>
      <c r="G81" s="40" t="s">
        <v>51</v>
      </c>
      <c r="H81" s="1" t="s">
        <v>1550</v>
      </c>
    </row>
    <row r="82" spans="3:8" x14ac:dyDescent="0.2">
      <c r="E82" s="12">
        <v>0</v>
      </c>
      <c r="F82" s="1" t="s">
        <v>50</v>
      </c>
      <c r="G82" s="1" t="s">
        <v>1549</v>
      </c>
    </row>
    <row r="85" spans="3:8" x14ac:dyDescent="0.2">
      <c r="D85" s="1" t="s">
        <v>714</v>
      </c>
    </row>
    <row r="86" spans="3:8" x14ac:dyDescent="0.2">
      <c r="D86" s="1" t="s">
        <v>715</v>
      </c>
    </row>
    <row r="87" spans="3:8" x14ac:dyDescent="0.2">
      <c r="D87" s="1" t="s">
        <v>716</v>
      </c>
    </row>
    <row r="88" spans="3:8" x14ac:dyDescent="0.2">
      <c r="D88" s="1" t="s">
        <v>717</v>
      </c>
    </row>
    <row r="89" spans="3:8" x14ac:dyDescent="0.2">
      <c r="D89" s="1" t="s">
        <v>718</v>
      </c>
    </row>
    <row r="90" spans="3:8" x14ac:dyDescent="0.2">
      <c r="D90" s="1" t="s">
        <v>719</v>
      </c>
    </row>
    <row r="91" spans="3:8" x14ac:dyDescent="0.2">
      <c r="D91" s="1" t="s">
        <v>720</v>
      </c>
    </row>
    <row r="95" spans="3:8" x14ac:dyDescent="0.2">
      <c r="F95" s="1" t="s">
        <v>721</v>
      </c>
    </row>
    <row r="96" spans="3:8" x14ac:dyDescent="0.2">
      <c r="C96" s="1" t="s">
        <v>724</v>
      </c>
      <c r="F96" s="1" t="s">
        <v>722</v>
      </c>
    </row>
    <row r="97" spans="1:7" x14ac:dyDescent="0.2">
      <c r="C97" s="1" t="s">
        <v>725</v>
      </c>
    </row>
    <row r="98" spans="1:7" x14ac:dyDescent="0.2">
      <c r="C98" s="1" t="s">
        <v>726</v>
      </c>
      <c r="E98" s="1" t="s">
        <v>723</v>
      </c>
    </row>
    <row r="99" spans="1:7" x14ac:dyDescent="0.2">
      <c r="C99" s="1" t="s">
        <v>727</v>
      </c>
    </row>
    <row r="101" spans="1:7" x14ac:dyDescent="0.2">
      <c r="A101" s="1" t="s">
        <v>728</v>
      </c>
    </row>
    <row r="103" spans="1:7" x14ac:dyDescent="0.2">
      <c r="D103" s="98">
        <f>(1+12%)^(1/12)-1</f>
        <v>9.4887929345830457E-3</v>
      </c>
    </row>
    <row r="105" spans="1:7" x14ac:dyDescent="0.2">
      <c r="A105" s="1" t="s">
        <v>512</v>
      </c>
      <c r="F105" s="1" t="s">
        <v>729</v>
      </c>
    </row>
    <row r="106" spans="1:7" x14ac:dyDescent="0.2">
      <c r="F106" s="1" t="s">
        <v>730</v>
      </c>
    </row>
    <row r="108" spans="1:7" x14ac:dyDescent="0.2">
      <c r="A108" s="78" t="s">
        <v>1551</v>
      </c>
      <c r="G108" s="1" t="s">
        <v>737</v>
      </c>
    </row>
    <row r="109" spans="1:7" x14ac:dyDescent="0.2">
      <c r="E109" s="12" t="s">
        <v>179</v>
      </c>
      <c r="F109" s="1" t="s">
        <v>178</v>
      </c>
    </row>
    <row r="110" spans="1:7" x14ac:dyDescent="0.2">
      <c r="A110" s="1" t="s">
        <v>1552</v>
      </c>
      <c r="E110" s="12">
        <f>3*12</f>
        <v>36</v>
      </c>
      <c r="F110" s="1" t="s">
        <v>45</v>
      </c>
      <c r="G110" s="1" t="s">
        <v>1556</v>
      </c>
    </row>
    <row r="111" spans="1:7" x14ac:dyDescent="0.2">
      <c r="B111" s="95"/>
      <c r="C111" s="95" t="s">
        <v>1553</v>
      </c>
      <c r="E111" s="222">
        <v>1</v>
      </c>
      <c r="F111" s="1" t="s">
        <v>42</v>
      </c>
      <c r="G111" s="1" t="s">
        <v>1559</v>
      </c>
    </row>
    <row r="112" spans="1:7" x14ac:dyDescent="0.2">
      <c r="A112" s="1" t="s">
        <v>1554</v>
      </c>
      <c r="E112" s="70">
        <v>30000</v>
      </c>
      <c r="F112" s="1" t="s">
        <v>39</v>
      </c>
      <c r="G112" s="1" t="s">
        <v>1557</v>
      </c>
    </row>
    <row r="113" spans="1:8" x14ac:dyDescent="0.2">
      <c r="A113" s="1" t="s">
        <v>1555</v>
      </c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  <c r="G114" s="1" t="s">
        <v>1558</v>
      </c>
    </row>
    <row r="117" spans="1:8" x14ac:dyDescent="0.2">
      <c r="D117" s="1" t="s">
        <v>732</v>
      </c>
    </row>
    <row r="118" spans="1:8" x14ac:dyDescent="0.2">
      <c r="D118" s="1" t="s">
        <v>736</v>
      </c>
    </row>
    <row r="119" spans="1:8" x14ac:dyDescent="0.2">
      <c r="D119" s="1" t="s">
        <v>733</v>
      </c>
    </row>
    <row r="120" spans="1:8" x14ac:dyDescent="0.2">
      <c r="D120" s="1" t="s">
        <v>734</v>
      </c>
    </row>
    <row r="121" spans="1:8" x14ac:dyDescent="0.2">
      <c r="F121" s="1" t="s">
        <v>735</v>
      </c>
    </row>
    <row r="123" spans="1:8" x14ac:dyDescent="0.2">
      <c r="A123" s="95" t="s">
        <v>738</v>
      </c>
      <c r="B123" s="95"/>
      <c r="C123" s="95"/>
      <c r="D123" s="95"/>
      <c r="E123" s="95"/>
      <c r="F123" s="95"/>
      <c r="G123" s="95"/>
      <c r="H123" s="95"/>
    </row>
    <row r="125" spans="1:8" x14ac:dyDescent="0.2">
      <c r="D125" s="1" t="s">
        <v>739</v>
      </c>
    </row>
    <row r="126" spans="1:8" x14ac:dyDescent="0.2">
      <c r="D126" s="1" t="s">
        <v>1564</v>
      </c>
    </row>
    <row r="127" spans="1:8" x14ac:dyDescent="0.2">
      <c r="D127" s="1" t="s">
        <v>740</v>
      </c>
    </row>
    <row r="132" spans="1:8" x14ac:dyDescent="0.2">
      <c r="D132" s="1" t="s">
        <v>1560</v>
      </c>
    </row>
    <row r="134" spans="1:8" x14ac:dyDescent="0.2">
      <c r="D134" s="1" t="s">
        <v>741</v>
      </c>
      <c r="G134" s="1" t="s">
        <v>177</v>
      </c>
    </row>
    <row r="135" spans="1:8" x14ac:dyDescent="0.2">
      <c r="F135" s="12" t="s">
        <v>179</v>
      </c>
      <c r="G135" s="1" t="s">
        <v>178</v>
      </c>
    </row>
    <row r="136" spans="1:8" x14ac:dyDescent="0.2">
      <c r="D136" s="1" t="s">
        <v>1561</v>
      </c>
      <c r="F136" s="12">
        <v>36</v>
      </c>
      <c r="G136" s="1" t="s">
        <v>45</v>
      </c>
    </row>
    <row r="137" spans="1:8" ht="17" thickBot="1" x14ac:dyDescent="0.25">
      <c r="F137" s="99">
        <f>RATE(F136,F139,F138,F140)</f>
        <v>1.5430128008203127E-4</v>
      </c>
      <c r="G137" s="1" t="s">
        <v>42</v>
      </c>
      <c r="H137" s="40" t="s">
        <v>51</v>
      </c>
    </row>
    <row r="138" spans="1:8" ht="17" thickBot="1" x14ac:dyDescent="0.25">
      <c r="D138" s="101" t="s">
        <v>751</v>
      </c>
      <c r="E138" s="6"/>
      <c r="F138" s="102">
        <v>7000</v>
      </c>
      <c r="G138" s="7" t="s">
        <v>39</v>
      </c>
    </row>
    <row r="139" spans="1:8" x14ac:dyDescent="0.2">
      <c r="D139" s="1" t="s">
        <v>1562</v>
      </c>
      <c r="F139" s="12">
        <v>-195</v>
      </c>
      <c r="G139" s="1" t="s">
        <v>47</v>
      </c>
    </row>
    <row r="140" spans="1:8" x14ac:dyDescent="0.2">
      <c r="D140" s="1" t="s">
        <v>1563</v>
      </c>
      <c r="F140" s="12">
        <v>0</v>
      </c>
      <c r="G140" s="1" t="s">
        <v>50</v>
      </c>
    </row>
    <row r="141" spans="1:8" x14ac:dyDescent="0.2">
      <c r="F141" s="12"/>
    </row>
    <row r="142" spans="1:8" x14ac:dyDescent="0.2">
      <c r="A142" s="1" t="s">
        <v>1565</v>
      </c>
      <c r="F142" s="12"/>
    </row>
    <row r="143" spans="1:8" x14ac:dyDescent="0.2">
      <c r="D143" s="1">
        <f>((1+F137)^12-1)*100</f>
        <v>0.18531875559002486</v>
      </c>
      <c r="F143" s="12"/>
      <c r="G143" s="1" t="s">
        <v>1566</v>
      </c>
    </row>
    <row r="144" spans="1:8" x14ac:dyDescent="0.2">
      <c r="F144" s="12"/>
    </row>
    <row r="145" spans="1:8" x14ac:dyDescent="0.2">
      <c r="A145" s="1" t="s">
        <v>1567</v>
      </c>
      <c r="F145" s="12"/>
    </row>
    <row r="146" spans="1:8" x14ac:dyDescent="0.2">
      <c r="A146" s="1" t="s">
        <v>1568</v>
      </c>
      <c r="F146" s="12"/>
    </row>
    <row r="147" spans="1:8" x14ac:dyDescent="0.2">
      <c r="A147" s="1" t="s">
        <v>1569</v>
      </c>
      <c r="F147" s="12"/>
    </row>
    <row r="148" spans="1:8" x14ac:dyDescent="0.2">
      <c r="A148" s="1" t="s">
        <v>1570</v>
      </c>
    </row>
    <row r="149" spans="1:8" x14ac:dyDescent="0.2">
      <c r="A149" s="1" t="s">
        <v>1571</v>
      </c>
    </row>
    <row r="150" spans="1:8" x14ac:dyDescent="0.2">
      <c r="A150" s="1" t="s">
        <v>1572</v>
      </c>
    </row>
    <row r="152" spans="1:8" x14ac:dyDescent="0.2">
      <c r="D152" s="1" t="s">
        <v>742</v>
      </c>
      <c r="G152" s="1" t="s">
        <v>177</v>
      </c>
    </row>
    <row r="153" spans="1:8" x14ac:dyDescent="0.2">
      <c r="F153" s="12" t="s">
        <v>179</v>
      </c>
      <c r="G153" s="1" t="s">
        <v>178</v>
      </c>
    </row>
    <row r="154" spans="1:8" x14ac:dyDescent="0.2">
      <c r="D154" s="1" t="s">
        <v>1573</v>
      </c>
      <c r="F154" s="12">
        <v>36</v>
      </c>
      <c r="G154" s="1" t="s">
        <v>45</v>
      </c>
    </row>
    <row r="155" spans="1:8" ht="17" thickBot="1" x14ac:dyDescent="0.25">
      <c r="D155" s="1" t="s">
        <v>1577</v>
      </c>
      <c r="F155" s="99">
        <f>RATE(F154,F157,F156,F158)</f>
        <v>1.2765291363633311E-2</v>
      </c>
      <c r="G155" s="1" t="s">
        <v>42</v>
      </c>
      <c r="H155" s="40" t="s">
        <v>1576</v>
      </c>
    </row>
    <row r="156" spans="1:8" ht="17" thickBot="1" x14ac:dyDescent="0.25">
      <c r="D156" s="223" t="s">
        <v>1575</v>
      </c>
      <c r="E156" s="224"/>
      <c r="F156" s="225">
        <v>5600</v>
      </c>
      <c r="G156" s="226" t="s">
        <v>39</v>
      </c>
    </row>
    <row r="157" spans="1:8" x14ac:dyDescent="0.2">
      <c r="D157" s="1" t="s">
        <v>1574</v>
      </c>
      <c r="F157" s="12">
        <v>-195</v>
      </c>
      <c r="G157" s="1" t="s">
        <v>47</v>
      </c>
    </row>
    <row r="158" spans="1:8" x14ac:dyDescent="0.2">
      <c r="F158" s="12">
        <v>0</v>
      </c>
      <c r="G158" s="1" t="s">
        <v>50</v>
      </c>
    </row>
    <row r="160" spans="1:8" x14ac:dyDescent="0.2">
      <c r="A160" s="1" t="s">
        <v>743</v>
      </c>
    </row>
    <row r="161" spans="1:8" x14ac:dyDescent="0.2">
      <c r="A161" s="1" t="s">
        <v>744</v>
      </c>
    </row>
    <row r="162" spans="1:8" x14ac:dyDescent="0.2">
      <c r="D162" s="100">
        <f>(1+F155)^12-1</f>
        <v>0.1644094190907428</v>
      </c>
      <c r="F162" s="1" t="s">
        <v>745</v>
      </c>
    </row>
    <row r="164" spans="1:8" x14ac:dyDescent="0.2">
      <c r="A164" s="2" t="s">
        <v>746</v>
      </c>
    </row>
    <row r="165" spans="1:8" x14ac:dyDescent="0.2">
      <c r="A165" s="1" t="s">
        <v>747</v>
      </c>
    </row>
    <row r="166" spans="1:8" x14ac:dyDescent="0.2">
      <c r="A166" s="1" t="s">
        <v>748</v>
      </c>
    </row>
    <row r="167" spans="1:8" x14ac:dyDescent="0.2">
      <c r="A167" s="1" t="s">
        <v>749</v>
      </c>
    </row>
    <row r="168" spans="1:8" x14ac:dyDescent="0.2">
      <c r="A168" s="1" t="s">
        <v>750</v>
      </c>
    </row>
    <row r="170" spans="1:8" x14ac:dyDescent="0.2">
      <c r="A170" s="95" t="s">
        <v>1578</v>
      </c>
      <c r="B170" s="95"/>
      <c r="C170" s="95"/>
      <c r="D170" s="95"/>
      <c r="E170" s="95"/>
      <c r="F170" s="95"/>
      <c r="G170" s="95"/>
      <c r="H170" s="95"/>
    </row>
    <row r="171" spans="1:8" x14ac:dyDescent="0.2">
      <c r="A171" s="1" t="s">
        <v>752</v>
      </c>
    </row>
    <row r="172" spans="1:8" x14ac:dyDescent="0.2">
      <c r="A172" s="1" t="s">
        <v>753</v>
      </c>
    </row>
    <row r="173" spans="1:8" x14ac:dyDescent="0.2">
      <c r="A173" s="1" t="s">
        <v>1579</v>
      </c>
    </row>
    <row r="174" spans="1:8" x14ac:dyDescent="0.2">
      <c r="A174" s="1" t="s">
        <v>765</v>
      </c>
    </row>
    <row r="176" spans="1:8" x14ac:dyDescent="0.2">
      <c r="E176" s="12"/>
      <c r="F176" s="1" t="s">
        <v>177</v>
      </c>
    </row>
    <row r="177" spans="1:8" x14ac:dyDescent="0.2">
      <c r="E177" s="12" t="s">
        <v>179</v>
      </c>
      <c r="F177" s="1" t="s">
        <v>178</v>
      </c>
    </row>
    <row r="178" spans="1:8" x14ac:dyDescent="0.2">
      <c r="A178" s="1" t="s">
        <v>754</v>
      </c>
      <c r="E178" s="12">
        <v>60</v>
      </c>
      <c r="F178" s="1" t="s">
        <v>45</v>
      </c>
    </row>
    <row r="179" spans="1:8" x14ac:dyDescent="0.2">
      <c r="A179" s="1" t="s">
        <v>764</v>
      </c>
      <c r="E179" s="103">
        <f>RATE(E178,E181,E180,E182)</f>
        <v>3.521358599279279E-3</v>
      </c>
      <c r="F179" s="1" t="s">
        <v>42</v>
      </c>
      <c r="G179" s="1" t="s">
        <v>51</v>
      </c>
    </row>
    <row r="180" spans="1:8" x14ac:dyDescent="0.2">
      <c r="A180" s="1" t="s">
        <v>755</v>
      </c>
      <c r="E180" s="12">
        <v>540000</v>
      </c>
      <c r="F180" s="1" t="s">
        <v>39</v>
      </c>
    </row>
    <row r="181" spans="1:8" x14ac:dyDescent="0.2">
      <c r="A181" s="1" t="s">
        <v>557</v>
      </c>
      <c r="E181" s="12">
        <v>-10000</v>
      </c>
      <c r="F181" s="1" t="s">
        <v>47</v>
      </c>
    </row>
    <row r="182" spans="1:8" x14ac:dyDescent="0.2">
      <c r="A182" s="1" t="s">
        <v>756</v>
      </c>
      <c r="E182" s="12">
        <v>0</v>
      </c>
      <c r="F182" s="1" t="s">
        <v>50</v>
      </c>
    </row>
    <row r="186" spans="1:8" x14ac:dyDescent="0.2">
      <c r="D186" s="2" t="s">
        <v>757</v>
      </c>
      <c r="E186" s="2"/>
      <c r="F186" s="2"/>
      <c r="G186" s="2"/>
      <c r="H186" s="2"/>
    </row>
    <row r="187" spans="1:8" x14ac:dyDescent="0.2">
      <c r="D187" s="2" t="s">
        <v>758</v>
      </c>
      <c r="E187" s="2"/>
      <c r="F187" s="2"/>
      <c r="G187" s="2"/>
      <c r="H187" s="2"/>
    </row>
    <row r="188" spans="1:8" x14ac:dyDescent="0.2">
      <c r="D188" s="2" t="s">
        <v>759</v>
      </c>
      <c r="E188" s="2"/>
      <c r="F188" s="2"/>
      <c r="G188" s="2"/>
      <c r="H188" s="2"/>
    </row>
    <row r="189" spans="1:8" x14ac:dyDescent="0.2">
      <c r="D189" s="1" t="s">
        <v>760</v>
      </c>
    </row>
    <row r="190" spans="1:8" x14ac:dyDescent="0.2">
      <c r="D190" s="1" t="s">
        <v>761</v>
      </c>
      <c r="G190" s="1" t="s">
        <v>762</v>
      </c>
    </row>
    <row r="191" spans="1:8" x14ac:dyDescent="0.2">
      <c r="D191" s="1" t="s">
        <v>763</v>
      </c>
    </row>
    <row r="193" spans="1:8" ht="17" thickBot="1" x14ac:dyDescent="0.25">
      <c r="D193" s="1" t="s">
        <v>766</v>
      </c>
    </row>
    <row r="194" spans="1:8" ht="17" thickBot="1" x14ac:dyDescent="0.25">
      <c r="A194" s="101" t="s">
        <v>767</v>
      </c>
      <c r="B194" s="6"/>
      <c r="C194" s="6"/>
      <c r="D194" s="104">
        <f>(1+E179)^12-1</f>
        <v>4.3084383754335986E-2</v>
      </c>
      <c r="F194" s="1" t="s">
        <v>1580</v>
      </c>
    </row>
    <row r="197" spans="1:8" x14ac:dyDescent="0.2">
      <c r="F197" s="1" t="s">
        <v>768</v>
      </c>
    </row>
    <row r="199" spans="1:8" x14ac:dyDescent="0.2">
      <c r="E199" s="1" t="s">
        <v>769</v>
      </c>
    </row>
    <row r="201" spans="1:8" x14ac:dyDescent="0.2">
      <c r="A201" s="95" t="s">
        <v>770</v>
      </c>
      <c r="B201" s="95"/>
      <c r="C201" s="95"/>
      <c r="D201" s="95"/>
      <c r="E201" s="95"/>
      <c r="F201" s="95"/>
      <c r="G201" s="227" t="s">
        <v>1318</v>
      </c>
      <c r="H201" s="95"/>
    </row>
    <row r="203" spans="1:8" x14ac:dyDescent="0.2">
      <c r="A203" s="1" t="s">
        <v>771</v>
      </c>
    </row>
    <row r="204" spans="1:8" x14ac:dyDescent="0.2">
      <c r="A204" s="1" t="s">
        <v>772</v>
      </c>
    </row>
    <row r="205" spans="1:8" x14ac:dyDescent="0.2">
      <c r="A205" s="1" t="s">
        <v>773</v>
      </c>
    </row>
    <row r="206" spans="1:8" x14ac:dyDescent="0.2">
      <c r="A206" s="1" t="s">
        <v>774</v>
      </c>
    </row>
    <row r="207" spans="1:8" x14ac:dyDescent="0.2">
      <c r="A207" s="1" t="s">
        <v>775</v>
      </c>
    </row>
    <row r="208" spans="1:8" x14ac:dyDescent="0.2">
      <c r="A208" s="1" t="s">
        <v>776</v>
      </c>
    </row>
    <row r="209" spans="1:7" x14ac:dyDescent="0.2">
      <c r="A209" s="1" t="s">
        <v>777</v>
      </c>
    </row>
    <row r="211" spans="1:7" x14ac:dyDescent="0.2">
      <c r="A211" s="1" t="s">
        <v>778</v>
      </c>
    </row>
    <row r="213" spans="1:7" x14ac:dyDescent="0.2">
      <c r="E213" s="12"/>
      <c r="F213" s="1" t="s">
        <v>177</v>
      </c>
    </row>
    <row r="214" spans="1:7" x14ac:dyDescent="0.2">
      <c r="E214" s="12" t="s">
        <v>179</v>
      </c>
      <c r="F214" s="1" t="s">
        <v>178</v>
      </c>
    </row>
    <row r="215" spans="1:7" x14ac:dyDescent="0.2">
      <c r="E215" s="12">
        <v>10</v>
      </c>
      <c r="F215" s="1" t="s">
        <v>45</v>
      </c>
    </row>
    <row r="216" spans="1:7" x14ac:dyDescent="0.2">
      <c r="A216" s="1" t="s">
        <v>780</v>
      </c>
      <c r="E216" s="103">
        <f>RATE(E215,E218,E217,E219)</f>
        <v>9.4364540078863898E-3</v>
      </c>
      <c r="F216" s="1" t="s">
        <v>42</v>
      </c>
      <c r="G216" s="1" t="s">
        <v>51</v>
      </c>
    </row>
    <row r="217" spans="1:7" x14ac:dyDescent="0.2">
      <c r="D217" s="105" t="s">
        <v>779</v>
      </c>
      <c r="E217" s="12">
        <f>500000*0.95</f>
        <v>475000</v>
      </c>
      <c r="F217" s="1" t="s">
        <v>39</v>
      </c>
    </row>
    <row r="218" spans="1:7" x14ac:dyDescent="0.2">
      <c r="E218" s="12">
        <v>-50000</v>
      </c>
      <c r="F218" s="1" t="s">
        <v>47</v>
      </c>
    </row>
    <row r="219" spans="1:7" x14ac:dyDescent="0.2">
      <c r="E219" s="12">
        <v>0</v>
      </c>
      <c r="F219" s="1" t="s">
        <v>50</v>
      </c>
    </row>
    <row r="221" spans="1:7" x14ac:dyDescent="0.2">
      <c r="A221" s="1" t="s">
        <v>781</v>
      </c>
    </row>
    <row r="223" spans="1:7" x14ac:dyDescent="0.2">
      <c r="C223" s="106">
        <f>(1+E216)^4-1</f>
        <v>3.8283465085318324E-2</v>
      </c>
      <c r="E223" s="1" t="s">
        <v>782</v>
      </c>
    </row>
    <row r="226" spans="1:8" x14ac:dyDescent="0.2">
      <c r="C226" s="1" t="s">
        <v>785</v>
      </c>
      <c r="E226" s="1" t="s">
        <v>783</v>
      </c>
    </row>
    <row r="227" spans="1:8" x14ac:dyDescent="0.2">
      <c r="C227" s="1" t="s">
        <v>786</v>
      </c>
      <c r="E227" s="1" t="s">
        <v>784</v>
      </c>
    </row>
    <row r="228" spans="1:8" x14ac:dyDescent="0.2">
      <c r="C228" s="1" t="s">
        <v>787</v>
      </c>
    </row>
    <row r="230" spans="1:8" x14ac:dyDescent="0.2">
      <c r="A230" s="95" t="s">
        <v>788</v>
      </c>
      <c r="B230" s="95"/>
      <c r="C230" s="95"/>
      <c r="D230" s="95"/>
      <c r="E230" s="95"/>
      <c r="F230" s="95"/>
      <c r="G230" s="227" t="s">
        <v>1318</v>
      </c>
      <c r="H230" s="95"/>
    </row>
    <row r="231" spans="1:8" x14ac:dyDescent="0.2">
      <c r="A231" s="1" t="s">
        <v>789</v>
      </c>
    </row>
    <row r="232" spans="1:8" x14ac:dyDescent="0.2">
      <c r="A232" s="1" t="s">
        <v>790</v>
      </c>
    </row>
    <row r="233" spans="1:8" x14ac:dyDescent="0.2">
      <c r="A233" s="1" t="s">
        <v>791</v>
      </c>
    </row>
    <row r="234" spans="1:8" x14ac:dyDescent="0.2">
      <c r="A234" s="1" t="s">
        <v>792</v>
      </c>
    </row>
    <row r="235" spans="1:8" x14ac:dyDescent="0.2">
      <c r="A235" s="1" t="s">
        <v>793</v>
      </c>
    </row>
    <row r="236" spans="1:8" x14ac:dyDescent="0.2">
      <c r="A236" s="1" t="s">
        <v>794</v>
      </c>
    </row>
    <row r="238" spans="1:8" x14ac:dyDescent="0.2">
      <c r="A238" s="1" t="s">
        <v>795</v>
      </c>
    </row>
    <row r="240" spans="1:8" x14ac:dyDescent="0.2">
      <c r="B240" s="12" t="s">
        <v>291</v>
      </c>
      <c r="C240" s="1" t="s">
        <v>177</v>
      </c>
      <c r="F240" s="12" t="s">
        <v>290</v>
      </c>
      <c r="G240" s="1" t="s">
        <v>177</v>
      </c>
    </row>
    <row r="241" spans="1:8" x14ac:dyDescent="0.2">
      <c r="B241" s="12" t="s">
        <v>179</v>
      </c>
      <c r="C241" s="1" t="s">
        <v>178</v>
      </c>
      <c r="F241" s="12" t="s">
        <v>179</v>
      </c>
      <c r="G241" s="1" t="s">
        <v>178</v>
      </c>
    </row>
    <row r="242" spans="1:8" x14ac:dyDescent="0.2">
      <c r="B242" s="12">
        <v>20</v>
      </c>
      <c r="C242" s="1" t="s">
        <v>45</v>
      </c>
      <c r="F242" s="12">
        <v>10</v>
      </c>
      <c r="G242" s="1" t="s">
        <v>45</v>
      </c>
    </row>
    <row r="243" spans="1:8" x14ac:dyDescent="0.2">
      <c r="B243" s="103">
        <f>RATE(B242,B245,B244,B246)</f>
        <v>1.1971635038702614E-2</v>
      </c>
      <c r="C243" s="1" t="s">
        <v>42</v>
      </c>
      <c r="D243" s="1" t="s">
        <v>51</v>
      </c>
      <c r="F243" s="103">
        <f>RATE(F242,F245,F244,F246)</f>
        <v>1.5454877885589706E-2</v>
      </c>
      <c r="G243" s="1" t="s">
        <v>42</v>
      </c>
      <c r="H243" s="1" t="s">
        <v>51</v>
      </c>
    </row>
    <row r="244" spans="1:8" x14ac:dyDescent="0.2">
      <c r="B244" s="12">
        <v>460000</v>
      </c>
      <c r="C244" s="1" t="s">
        <v>39</v>
      </c>
      <c r="F244" s="12">
        <v>460000</v>
      </c>
      <c r="G244" s="1" t="s">
        <v>39</v>
      </c>
    </row>
    <row r="245" spans="1:8" x14ac:dyDescent="0.2">
      <c r="B245" s="12">
        <v>-26000</v>
      </c>
      <c r="C245" s="1" t="s">
        <v>47</v>
      </c>
      <c r="F245" s="12">
        <v>-50000</v>
      </c>
      <c r="G245" s="1" t="s">
        <v>47</v>
      </c>
    </row>
    <row r="246" spans="1:8" x14ac:dyDescent="0.2">
      <c r="B246" s="12">
        <v>0</v>
      </c>
      <c r="C246" s="1" t="s">
        <v>50</v>
      </c>
      <c r="F246" s="12">
        <v>0</v>
      </c>
      <c r="G246" s="1" t="s">
        <v>50</v>
      </c>
    </row>
    <row r="248" spans="1:8" x14ac:dyDescent="0.2">
      <c r="A248" s="1" t="s">
        <v>796</v>
      </c>
    </row>
    <row r="249" spans="1:8" x14ac:dyDescent="0.2">
      <c r="B249" s="107">
        <f>(1+1.19716%)^12-1</f>
        <v>0.15350609987751351</v>
      </c>
      <c r="F249" s="107">
        <f>(1+1.54549%)^12-1</f>
        <v>0.20206423307819454</v>
      </c>
    </row>
    <row r="251" spans="1:8" ht="18" x14ac:dyDescent="0.2">
      <c r="A251" s="131" t="s">
        <v>885</v>
      </c>
      <c r="B251" s="131"/>
      <c r="C251" s="131"/>
      <c r="D251" s="131"/>
      <c r="E251" s="131"/>
      <c r="F251" s="131"/>
      <c r="G251" s="131"/>
      <c r="H251" s="131"/>
    </row>
    <row r="253" spans="1:8" x14ac:dyDescent="0.2">
      <c r="A253" s="1" t="s">
        <v>1581</v>
      </c>
    </row>
    <row r="254" spans="1:8" x14ac:dyDescent="0.2">
      <c r="A254" s="1" t="s">
        <v>886</v>
      </c>
    </row>
    <row r="255" spans="1:8" x14ac:dyDescent="0.2">
      <c r="A255" s="1" t="s">
        <v>887</v>
      </c>
    </row>
    <row r="256" spans="1:8" ht="17" thickBot="1" x14ac:dyDescent="0.25"/>
    <row r="257" spans="1:10" x14ac:dyDescent="0.2">
      <c r="A257" s="30" t="s">
        <v>888</v>
      </c>
      <c r="B257" s="31" t="s">
        <v>889</v>
      </c>
      <c r="C257" s="31"/>
      <c r="D257" s="31"/>
      <c r="E257" s="31"/>
      <c r="F257" s="31" t="s">
        <v>890</v>
      </c>
      <c r="G257" s="31"/>
      <c r="H257" s="31"/>
      <c r="I257" s="31"/>
      <c r="J257" s="23"/>
    </row>
    <row r="258" spans="1:10" x14ac:dyDescent="0.2">
      <c r="A258" s="24">
        <v>1</v>
      </c>
      <c r="B258" s="1" t="s">
        <v>891</v>
      </c>
      <c r="F258" s="1" t="s">
        <v>892</v>
      </c>
      <c r="J258" s="25"/>
    </row>
    <row r="259" spans="1:10" x14ac:dyDescent="0.2">
      <c r="A259" s="24">
        <v>2</v>
      </c>
      <c r="B259" s="1" t="s">
        <v>893</v>
      </c>
      <c r="F259" s="1" t="s">
        <v>894</v>
      </c>
      <c r="J259" s="25"/>
    </row>
    <row r="260" spans="1:10" ht="17" thickBot="1" x14ac:dyDescent="0.25">
      <c r="A260" s="26">
        <v>3</v>
      </c>
      <c r="B260" s="27" t="s">
        <v>895</v>
      </c>
      <c r="C260" s="27"/>
      <c r="D260" s="27"/>
      <c r="E260" s="27"/>
      <c r="F260" s="27" t="s">
        <v>896</v>
      </c>
      <c r="G260" s="27"/>
      <c r="H260" s="27"/>
      <c r="I260" s="27"/>
      <c r="J260" s="28"/>
    </row>
    <row r="262" spans="1:10" x14ac:dyDescent="0.2">
      <c r="A262" s="1" t="s">
        <v>897</v>
      </c>
    </row>
    <row r="264" spans="1:10" x14ac:dyDescent="0.2">
      <c r="A264" s="132" t="s">
        <v>911</v>
      </c>
      <c r="B264" s="132"/>
      <c r="C264" s="132"/>
      <c r="D264" s="132"/>
      <c r="E264" s="132"/>
      <c r="F264" s="132"/>
      <c r="G264" s="132"/>
      <c r="H264" s="132"/>
    </row>
    <row r="265" spans="1:10" x14ac:dyDescent="0.2">
      <c r="A265" s="1" t="s">
        <v>898</v>
      </c>
    </row>
    <row r="266" spans="1:10" x14ac:dyDescent="0.2">
      <c r="A266" s="1" t="s">
        <v>899</v>
      </c>
    </row>
    <row r="267" spans="1:10" x14ac:dyDescent="0.2">
      <c r="A267" s="1" t="s">
        <v>900</v>
      </c>
    </row>
    <row r="268" spans="1:10" x14ac:dyDescent="0.2">
      <c r="A268" s="1" t="s">
        <v>901</v>
      </c>
    </row>
    <row r="269" spans="1:10" x14ac:dyDescent="0.2">
      <c r="A269" s="1" t="s">
        <v>902</v>
      </c>
    </row>
    <row r="271" spans="1:10" x14ac:dyDescent="0.2">
      <c r="A271" s="1" t="s">
        <v>903</v>
      </c>
    </row>
    <row r="272" spans="1:10" x14ac:dyDescent="0.2">
      <c r="E272"/>
    </row>
    <row r="273" spans="1:10" x14ac:dyDescent="0.2">
      <c r="A273" s="2" t="s">
        <v>27</v>
      </c>
    </row>
    <row r="275" spans="1:10" x14ac:dyDescent="0.2">
      <c r="A275" s="1" t="s">
        <v>904</v>
      </c>
    </row>
    <row r="276" spans="1:10" x14ac:dyDescent="0.2">
      <c r="A276" s="1" t="s">
        <v>905</v>
      </c>
    </row>
    <row r="277" spans="1:10" x14ac:dyDescent="0.2">
      <c r="C277" s="59" t="s">
        <v>907</v>
      </c>
      <c r="D277" s="12"/>
      <c r="E277" s="59" t="s">
        <v>906</v>
      </c>
    </row>
    <row r="278" spans="1:10" x14ac:dyDescent="0.2">
      <c r="C278" s="12">
        <v>60</v>
      </c>
      <c r="D278" s="1" t="s">
        <v>45</v>
      </c>
      <c r="E278" s="12">
        <v>20</v>
      </c>
      <c r="F278" s="1" t="s">
        <v>45</v>
      </c>
    </row>
    <row r="279" spans="1:10" x14ac:dyDescent="0.2">
      <c r="C279" s="229">
        <f>((1+12.6825%)^(1/12)-1)*100</f>
        <v>0.99999977493334669</v>
      </c>
      <c r="D279" s="1" t="s">
        <v>42</v>
      </c>
      <c r="E279" s="229">
        <f>((1+12.6825%)^(1/12)-1)*100</f>
        <v>0.99999977493334669</v>
      </c>
      <c r="F279" s="1" t="s">
        <v>42</v>
      </c>
    </row>
    <row r="280" spans="1:10" x14ac:dyDescent="0.2">
      <c r="C280" s="42">
        <f>PV(C279/100,C278,C281,C282)</f>
        <v>35964.032931543748</v>
      </c>
      <c r="D280" s="1" t="s">
        <v>39</v>
      </c>
      <c r="E280" s="42">
        <f>PV(E279/100,E278,E281,E282)</f>
        <v>36091.106750410392</v>
      </c>
      <c r="F280" s="1" t="s">
        <v>39</v>
      </c>
    </row>
    <row r="281" spans="1:10" x14ac:dyDescent="0.2">
      <c r="C281" s="12">
        <v>-800</v>
      </c>
      <c r="D281" s="1" t="s">
        <v>47</v>
      </c>
      <c r="E281" s="12">
        <v>-2000</v>
      </c>
      <c r="F281" s="1" t="s">
        <v>47</v>
      </c>
    </row>
    <row r="282" spans="1:10" x14ac:dyDescent="0.2">
      <c r="C282" s="12">
        <v>0</v>
      </c>
      <c r="D282" s="1" t="s">
        <v>50</v>
      </c>
      <c r="E282" s="12">
        <v>0</v>
      </c>
      <c r="F282" s="1" t="s">
        <v>50</v>
      </c>
    </row>
    <row r="284" spans="1:10" x14ac:dyDescent="0.2">
      <c r="A284" s="1" t="s">
        <v>908</v>
      </c>
    </row>
    <row r="285" spans="1:10" x14ac:dyDescent="0.2">
      <c r="A285" s="1" t="s">
        <v>909</v>
      </c>
    </row>
    <row r="288" spans="1:10" x14ac:dyDescent="0.2">
      <c r="J288" s="1" t="s">
        <v>910</v>
      </c>
    </row>
    <row r="289" spans="1:10" x14ac:dyDescent="0.2">
      <c r="J289" s="228" t="s">
        <v>1584</v>
      </c>
    </row>
    <row r="299" spans="1:10" x14ac:dyDescent="0.2">
      <c r="A299" s="132" t="s">
        <v>912</v>
      </c>
      <c r="B299" s="132"/>
      <c r="C299" s="132"/>
      <c r="D299" s="132"/>
      <c r="E299" s="132"/>
      <c r="F299" s="132"/>
      <c r="G299" s="132"/>
      <c r="H299" s="132"/>
    </row>
    <row r="301" spans="1:10" x14ac:dyDescent="0.2">
      <c r="A301" s="1" t="s">
        <v>913</v>
      </c>
      <c r="G301"/>
    </row>
    <row r="302" spans="1:10" x14ac:dyDescent="0.2">
      <c r="A302" s="1" t="s">
        <v>914</v>
      </c>
    </row>
    <row r="303" spans="1:10" x14ac:dyDescent="0.2">
      <c r="A303" s="1" t="s">
        <v>915</v>
      </c>
    </row>
    <row r="304" spans="1:10" x14ac:dyDescent="0.2">
      <c r="A304" s="1" t="s">
        <v>916</v>
      </c>
    </row>
    <row r="305" spans="1:7" x14ac:dyDescent="0.2">
      <c r="A305" s="1" t="s">
        <v>917</v>
      </c>
    </row>
    <row r="307" spans="1:7" x14ac:dyDescent="0.2">
      <c r="A307" s="1" t="s">
        <v>918</v>
      </c>
    </row>
    <row r="309" spans="1:7" x14ac:dyDescent="0.2">
      <c r="A309" s="1" t="s">
        <v>27</v>
      </c>
    </row>
    <row r="310" spans="1:7" x14ac:dyDescent="0.2">
      <c r="A310" s="1" t="s">
        <v>919</v>
      </c>
    </row>
    <row r="311" spans="1:7" x14ac:dyDescent="0.2">
      <c r="A311" s="1" t="s">
        <v>920</v>
      </c>
    </row>
    <row r="312" spans="1:7" x14ac:dyDescent="0.2">
      <c r="A312" s="1" t="s">
        <v>921</v>
      </c>
    </row>
    <row r="313" spans="1:7" x14ac:dyDescent="0.2">
      <c r="B313" s="12" t="s">
        <v>926</v>
      </c>
      <c r="C313" s="12"/>
      <c r="D313" s="12" t="s">
        <v>925</v>
      </c>
      <c r="E313" s="12"/>
      <c r="F313" s="12" t="s">
        <v>924</v>
      </c>
    </row>
    <row r="314" spans="1:7" x14ac:dyDescent="0.2">
      <c r="B314" s="59" t="s">
        <v>923</v>
      </c>
      <c r="C314" s="12"/>
      <c r="D314" s="59" t="s">
        <v>922</v>
      </c>
      <c r="E314" s="12"/>
      <c r="F314" s="59" t="s">
        <v>316</v>
      </c>
    </row>
    <row r="315" spans="1:7" x14ac:dyDescent="0.2">
      <c r="B315" s="12">
        <v>12</v>
      </c>
      <c r="C315" s="1" t="s">
        <v>45</v>
      </c>
      <c r="D315" s="12">
        <f>6.5*12</f>
        <v>78</v>
      </c>
      <c r="E315" s="1" t="s">
        <v>45</v>
      </c>
      <c r="F315" s="12">
        <v>36</v>
      </c>
      <c r="G315" s="1" t="s">
        <v>45</v>
      </c>
    </row>
    <row r="316" spans="1:7" x14ac:dyDescent="0.2">
      <c r="B316" s="118">
        <v>0.5</v>
      </c>
      <c r="C316" s="1" t="s">
        <v>42</v>
      </c>
      <c r="D316" s="118">
        <v>0.5</v>
      </c>
      <c r="E316" s="1" t="s">
        <v>42</v>
      </c>
      <c r="F316" s="118">
        <v>0.5</v>
      </c>
      <c r="G316" s="1" t="s">
        <v>42</v>
      </c>
    </row>
    <row r="317" spans="1:7" x14ac:dyDescent="0.2">
      <c r="B317" s="42">
        <f>PV(B316/100,B315,B318,B319)</f>
        <v>-94190.533966591975</v>
      </c>
      <c r="C317" s="1" t="s">
        <v>39</v>
      </c>
      <c r="D317" s="42">
        <f>PV(D316/100,D315,D318,D319)</f>
        <v>-128913.94699278503</v>
      </c>
      <c r="E317" s="1" t="s">
        <v>39</v>
      </c>
      <c r="F317" s="42">
        <f>PV(F316/100,F315,F318,F319)</f>
        <v>-131484.06495705992</v>
      </c>
      <c r="G317" s="1" t="s">
        <v>39</v>
      </c>
    </row>
    <row r="318" spans="1:7" x14ac:dyDescent="0.2">
      <c r="B318" s="12">
        <v>0</v>
      </c>
      <c r="C318" s="1" t="s">
        <v>47</v>
      </c>
      <c r="D318" s="12">
        <v>2000</v>
      </c>
      <c r="E318" s="1" t="s">
        <v>47</v>
      </c>
      <c r="F318" s="12">
        <v>4000</v>
      </c>
      <c r="G318" s="1" t="s">
        <v>47</v>
      </c>
    </row>
    <row r="319" spans="1:7" x14ac:dyDescent="0.2">
      <c r="B319" s="12">
        <v>100000</v>
      </c>
      <c r="C319" s="1" t="s">
        <v>50</v>
      </c>
      <c r="D319" s="12">
        <v>0</v>
      </c>
      <c r="E319" s="1" t="s">
        <v>50</v>
      </c>
      <c r="F319" s="12">
        <v>0</v>
      </c>
      <c r="G319" s="1" t="s">
        <v>50</v>
      </c>
    </row>
    <row r="320" spans="1:7" x14ac:dyDescent="0.2">
      <c r="B320" s="1" t="s">
        <v>1585</v>
      </c>
    </row>
    <row r="321" spans="1:8" x14ac:dyDescent="0.2">
      <c r="F321" s="1" t="s">
        <v>927</v>
      </c>
    </row>
    <row r="322" spans="1:8" x14ac:dyDescent="0.2">
      <c r="A322" s="1" t="s">
        <v>931</v>
      </c>
      <c r="C322" s="133">
        <f>-F317</f>
        <v>131484.06495705992</v>
      </c>
      <c r="F322" s="1" t="s">
        <v>928</v>
      </c>
    </row>
    <row r="323" spans="1:8" x14ac:dyDescent="0.2">
      <c r="A323" s="1" t="s">
        <v>932</v>
      </c>
      <c r="C323" s="133">
        <f>-D317</f>
        <v>128913.94699278503</v>
      </c>
      <c r="F323" s="1" t="s">
        <v>929</v>
      </c>
    </row>
    <row r="324" spans="1:8" x14ac:dyDescent="0.2">
      <c r="A324" s="1" t="s">
        <v>933</v>
      </c>
      <c r="C324" s="133">
        <f>-B317</f>
        <v>94190.533966591975</v>
      </c>
      <c r="F324" s="1" t="s">
        <v>930</v>
      </c>
    </row>
    <row r="335" spans="1:8" x14ac:dyDescent="0.2">
      <c r="A335" s="134" t="s">
        <v>934</v>
      </c>
      <c r="B335" s="134"/>
      <c r="C335" s="134"/>
      <c r="D335" s="134"/>
      <c r="E335" s="134"/>
      <c r="F335" s="134"/>
      <c r="G335" s="134"/>
      <c r="H335" s="134"/>
    </row>
    <row r="336" spans="1:8" x14ac:dyDescent="0.2">
      <c r="A336" s="1" t="s">
        <v>935</v>
      </c>
    </row>
    <row r="337" spans="1:8" x14ac:dyDescent="0.2">
      <c r="A337" s="1" t="s">
        <v>936</v>
      </c>
    </row>
    <row r="338" spans="1:8" x14ac:dyDescent="0.2">
      <c r="A338" s="1" t="s">
        <v>937</v>
      </c>
    </row>
    <row r="339" spans="1:8" x14ac:dyDescent="0.2">
      <c r="A339" s="1" t="s">
        <v>938</v>
      </c>
    </row>
    <row r="340" spans="1:8" x14ac:dyDescent="0.2">
      <c r="A340" s="1" t="s">
        <v>939</v>
      </c>
    </row>
    <row r="342" spans="1:8" x14ac:dyDescent="0.2">
      <c r="A342" s="29" t="s">
        <v>1586</v>
      </c>
      <c r="B342" s="29"/>
      <c r="C342" s="29"/>
      <c r="D342" s="29"/>
      <c r="E342" s="29"/>
      <c r="F342" s="29"/>
      <c r="G342" s="29"/>
      <c r="H342" s="29"/>
    </row>
    <row r="343" spans="1:8" x14ac:dyDescent="0.2">
      <c r="A343" s="1" t="s">
        <v>1587</v>
      </c>
    </row>
    <row r="344" spans="1:8" x14ac:dyDescent="0.2">
      <c r="A344" s="1" t="s">
        <v>1588</v>
      </c>
    </row>
    <row r="345" spans="1:8" x14ac:dyDescent="0.2">
      <c r="A345" s="1" t="s">
        <v>1589</v>
      </c>
    </row>
    <row r="346" spans="1:8" x14ac:dyDescent="0.2">
      <c r="A346" s="1" t="s">
        <v>1590</v>
      </c>
    </row>
    <row r="347" spans="1:8" x14ac:dyDescent="0.2">
      <c r="A347" s="1" t="s">
        <v>1591</v>
      </c>
    </row>
    <row r="348" spans="1:8" x14ac:dyDescent="0.2">
      <c r="A348" s="1" t="s">
        <v>1592</v>
      </c>
    </row>
    <row r="350" spans="1:8" x14ac:dyDescent="0.2">
      <c r="A350" s="1" t="s">
        <v>1593</v>
      </c>
    </row>
    <row r="351" spans="1:8" x14ac:dyDescent="0.2">
      <c r="A351" s="1" t="s">
        <v>1594</v>
      </c>
    </row>
    <row r="352" spans="1:8" x14ac:dyDescent="0.2">
      <c r="A352" s="1" t="s">
        <v>1596</v>
      </c>
    </row>
    <row r="353" spans="1:11" x14ac:dyDescent="0.2">
      <c r="A353" s="1" t="s">
        <v>1600</v>
      </c>
    </row>
    <row r="355" spans="1:11" x14ac:dyDescent="0.2">
      <c r="D355" s="231" t="s">
        <v>291</v>
      </c>
      <c r="E355" s="278" t="s">
        <v>1595</v>
      </c>
      <c r="F355" s="278"/>
      <c r="G355" s="278"/>
      <c r="H355" s="231" t="s">
        <v>290</v>
      </c>
    </row>
    <row r="356" spans="1:11" x14ac:dyDescent="0.2">
      <c r="C356" s="12" t="s">
        <v>179</v>
      </c>
      <c r="D356" s="1" t="s">
        <v>178</v>
      </c>
      <c r="G356" s="12" t="s">
        <v>179</v>
      </c>
      <c r="H356" s="1" t="s">
        <v>178</v>
      </c>
    </row>
    <row r="357" spans="1:11" x14ac:dyDescent="0.2">
      <c r="C357" s="12">
        <f>35*12</f>
        <v>420</v>
      </c>
      <c r="D357" s="1" t="s">
        <v>45</v>
      </c>
      <c r="G357" s="12">
        <f>30*12</f>
        <v>360</v>
      </c>
      <c r="H357" s="1" t="s">
        <v>45</v>
      </c>
    </row>
    <row r="358" spans="1:11" x14ac:dyDescent="0.2">
      <c r="C358" s="1">
        <f>G358</f>
        <v>0.79741404289037643</v>
      </c>
      <c r="D358" s="1" t="s">
        <v>42</v>
      </c>
      <c r="G358" s="12">
        <f>((1+10%)^(1/12)-1)*100</f>
        <v>0.79741404289037643</v>
      </c>
      <c r="H358" s="1" t="s">
        <v>42</v>
      </c>
      <c r="I358" s="1" t="s">
        <v>1597</v>
      </c>
      <c r="K358" s="199" t="s">
        <v>1598</v>
      </c>
    </row>
    <row r="359" spans="1:11" x14ac:dyDescent="0.2">
      <c r="C359" s="232">
        <f>-G361</f>
        <v>-825137.32561130414</v>
      </c>
      <c r="D359" s="1" t="s">
        <v>39</v>
      </c>
      <c r="G359" s="12">
        <v>0</v>
      </c>
      <c r="H359" s="1" t="s">
        <v>39</v>
      </c>
      <c r="I359" s="1" t="s">
        <v>1599</v>
      </c>
    </row>
    <row r="360" spans="1:11" ht="18" x14ac:dyDescent="0.2">
      <c r="B360" s="198" t="s">
        <v>798</v>
      </c>
      <c r="C360" s="233">
        <f>PMT(C358/100,C357,C359,C361)</f>
        <v>6822.5346826376817</v>
      </c>
      <c r="D360" s="1" t="s">
        <v>47</v>
      </c>
      <c r="G360" s="12">
        <v>-400</v>
      </c>
      <c r="H360" s="1" t="s">
        <v>47</v>
      </c>
    </row>
    <row r="361" spans="1:11" x14ac:dyDescent="0.2">
      <c r="C361" s="12">
        <v>0</v>
      </c>
      <c r="D361" s="1" t="s">
        <v>50</v>
      </c>
      <c r="G361" s="232">
        <f>FV(G358/100,G357,G360,G359)</f>
        <v>825137.32561130414</v>
      </c>
      <c r="H361" s="1" t="s">
        <v>50</v>
      </c>
      <c r="I361" s="230" t="s">
        <v>798</v>
      </c>
    </row>
    <row r="362" spans="1:11" ht="17" thickBot="1" x14ac:dyDescent="0.25"/>
    <row r="363" spans="1:11" ht="17" thickBot="1" x14ac:dyDescent="0.25">
      <c r="A363" s="101" t="s">
        <v>1601</v>
      </c>
      <c r="B363" s="6"/>
      <c r="C363" s="6"/>
      <c r="D363" s="6"/>
      <c r="E363" s="6"/>
      <c r="F363" s="6"/>
      <c r="G363" s="6"/>
      <c r="H363" s="6"/>
      <c r="I363" s="7"/>
    </row>
    <row r="365" spans="1:11" x14ac:dyDescent="0.2">
      <c r="A365" s="151" t="s">
        <v>1602</v>
      </c>
      <c r="B365" s="150"/>
      <c r="C365" s="150"/>
      <c r="D365" s="150"/>
      <c r="E365" s="150"/>
      <c r="F365" s="150"/>
      <c r="G365" s="150"/>
      <c r="H365" s="150"/>
      <c r="I365" s="150"/>
    </row>
    <row r="366" spans="1:11" x14ac:dyDescent="0.2">
      <c r="A366" s="1" t="s">
        <v>940</v>
      </c>
    </row>
    <row r="367" spans="1:11" x14ac:dyDescent="0.2">
      <c r="A367" s="1" t="s">
        <v>941</v>
      </c>
    </row>
    <row r="368" spans="1:11" x14ac:dyDescent="0.2">
      <c r="A368" s="1" t="s">
        <v>942</v>
      </c>
    </row>
    <row r="369" spans="1:8" x14ac:dyDescent="0.2">
      <c r="A369" s="1" t="s">
        <v>943</v>
      </c>
    </row>
    <row r="371" spans="1:8" x14ac:dyDescent="0.2">
      <c r="A371" s="1" t="s">
        <v>1603</v>
      </c>
    </row>
    <row r="372" spans="1:8" x14ac:dyDescent="0.2">
      <c r="A372" s="1" t="s">
        <v>1604</v>
      </c>
    </row>
    <row r="373" spans="1:8" x14ac:dyDescent="0.2">
      <c r="A373" s="1" t="s">
        <v>1605</v>
      </c>
    </row>
    <row r="374" spans="1:8" x14ac:dyDescent="0.2">
      <c r="B374" s="1" t="s">
        <v>1606</v>
      </c>
    </row>
    <row r="377" spans="1:8" x14ac:dyDescent="0.2">
      <c r="G377"/>
    </row>
    <row r="378" spans="1:8" x14ac:dyDescent="0.2">
      <c r="G378"/>
    </row>
    <row r="379" spans="1:8" x14ac:dyDescent="0.2">
      <c r="G379"/>
    </row>
    <row r="380" spans="1:8" x14ac:dyDescent="0.2">
      <c r="G380"/>
    </row>
    <row r="381" spans="1:8" x14ac:dyDescent="0.2">
      <c r="G381"/>
    </row>
    <row r="382" spans="1:8" x14ac:dyDescent="0.2">
      <c r="G382"/>
    </row>
    <row r="383" spans="1:8" x14ac:dyDescent="0.2">
      <c r="G383"/>
    </row>
    <row r="384" spans="1:8" x14ac:dyDescent="0.2">
      <c r="B384" s="12">
        <f>120-22</f>
        <v>98</v>
      </c>
      <c r="F384" s="12">
        <v>23</v>
      </c>
      <c r="G384"/>
      <c r="H384" s="12">
        <v>0</v>
      </c>
    </row>
    <row r="385" spans="1:10" x14ac:dyDescent="0.2">
      <c r="B385" s="12"/>
      <c r="G385"/>
      <c r="H385" s="12"/>
    </row>
    <row r="386" spans="1:10" x14ac:dyDescent="0.2">
      <c r="B386" s="12" t="s">
        <v>946</v>
      </c>
      <c r="F386" s="12" t="s">
        <v>945</v>
      </c>
      <c r="G386"/>
      <c r="H386" s="12" t="s">
        <v>944</v>
      </c>
    </row>
    <row r="387" spans="1:10" x14ac:dyDescent="0.2">
      <c r="B387" s="12"/>
      <c r="G387"/>
    </row>
    <row r="388" spans="1:10" x14ac:dyDescent="0.2">
      <c r="A388" s="14" t="s">
        <v>1607</v>
      </c>
      <c r="G388"/>
      <c r="H388" s="14" t="s">
        <v>1610</v>
      </c>
    </row>
    <row r="389" spans="1:10" x14ac:dyDescent="0.2">
      <c r="A389" s="1" t="s">
        <v>1609</v>
      </c>
      <c r="C389" s="12">
        <f>75*12</f>
        <v>900</v>
      </c>
      <c r="D389" s="1" t="s">
        <v>45</v>
      </c>
      <c r="G389" s="135">
        <f>23*12</f>
        <v>276</v>
      </c>
      <c r="H389" s="1" t="s">
        <v>45</v>
      </c>
      <c r="J389" s="1" t="s">
        <v>1611</v>
      </c>
    </row>
    <row r="390" spans="1:10" x14ac:dyDescent="0.2">
      <c r="A390" s="1" t="s">
        <v>1608</v>
      </c>
      <c r="C390" s="12">
        <v>0.8</v>
      </c>
      <c r="D390" s="1" t="s">
        <v>42</v>
      </c>
      <c r="G390" s="135">
        <v>0.8</v>
      </c>
      <c r="H390" s="1" t="s">
        <v>42</v>
      </c>
      <c r="J390" s="1" t="s">
        <v>1612</v>
      </c>
    </row>
    <row r="391" spans="1:10" x14ac:dyDescent="0.2">
      <c r="C391" s="12">
        <v>15000</v>
      </c>
      <c r="D391" s="1" t="s">
        <v>47</v>
      </c>
      <c r="F391" s="33" t="s">
        <v>39</v>
      </c>
      <c r="G391" s="137">
        <f>PMT(G390/100,G389,G392,G393)</f>
        <v>-1869.3697333652638</v>
      </c>
      <c r="H391" s="1" t="s">
        <v>47</v>
      </c>
      <c r="I391" s="234" t="s">
        <v>1451</v>
      </c>
    </row>
    <row r="392" spans="1:10" x14ac:dyDescent="0.2">
      <c r="C392" s="42">
        <f>PV(C390/100,C389,C391,C393)</f>
        <v>-1873559.4697800055</v>
      </c>
      <c r="D392" s="1" t="s">
        <v>39</v>
      </c>
      <c r="E392" s="40" t="s">
        <v>798</v>
      </c>
      <c r="G392" s="135">
        <v>0</v>
      </c>
      <c r="H392" s="1" t="s">
        <v>39</v>
      </c>
    </row>
    <row r="393" spans="1:10" x14ac:dyDescent="0.2">
      <c r="C393" s="12">
        <v>0</v>
      </c>
      <c r="D393" s="1" t="s">
        <v>50</v>
      </c>
      <c r="G393" s="136">
        <f>-C392</f>
        <v>1873559.4697800055</v>
      </c>
      <c r="H393" s="1" t="s">
        <v>50</v>
      </c>
    </row>
    <row r="394" spans="1:10" x14ac:dyDescent="0.2">
      <c r="G394"/>
    </row>
    <row r="395" spans="1:10" x14ac:dyDescent="0.2">
      <c r="G395"/>
    </row>
    <row r="396" spans="1:10" x14ac:dyDescent="0.2">
      <c r="A396" s="1" t="s">
        <v>947</v>
      </c>
      <c r="G396"/>
    </row>
    <row r="397" spans="1:10" x14ac:dyDescent="0.2">
      <c r="A397" s="1" t="s">
        <v>948</v>
      </c>
      <c r="G397"/>
    </row>
    <row r="398" spans="1:10" x14ac:dyDescent="0.2">
      <c r="A398" s="1" t="s">
        <v>949</v>
      </c>
      <c r="G398"/>
    </row>
    <row r="399" spans="1:10" x14ac:dyDescent="0.2">
      <c r="G399"/>
    </row>
    <row r="400" spans="1:10" x14ac:dyDescent="0.2">
      <c r="G400"/>
    </row>
    <row r="401" spans="7:7" x14ac:dyDescent="0.2">
      <c r="G401"/>
    </row>
    <row r="402" spans="7:7" x14ac:dyDescent="0.2">
      <c r="G402"/>
    </row>
    <row r="403" spans="7:7" x14ac:dyDescent="0.2">
      <c r="G403"/>
    </row>
    <row r="404" spans="7:7" x14ac:dyDescent="0.2">
      <c r="G404"/>
    </row>
    <row r="405" spans="7:7" x14ac:dyDescent="0.2">
      <c r="G405"/>
    </row>
    <row r="406" spans="7:7" x14ac:dyDescent="0.2">
      <c r="G406"/>
    </row>
    <row r="407" spans="7:7" x14ac:dyDescent="0.2">
      <c r="G407"/>
    </row>
  </sheetData>
  <mergeCells count="1">
    <mergeCell ref="E355:G35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K384"/>
  <sheetViews>
    <sheetView rightToLeft="1" topLeftCell="A104" zoomScale="134" zoomScaleNormal="200" workbookViewId="0">
      <selection activeCell="F101" sqref="E101:F101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29" t="s">
        <v>1613</v>
      </c>
      <c r="B1" s="29"/>
      <c r="C1" s="29"/>
      <c r="D1" s="29"/>
      <c r="E1" s="29"/>
      <c r="F1" s="29"/>
      <c r="G1" s="29"/>
      <c r="H1" s="138">
        <v>45901</v>
      </c>
    </row>
    <row r="2" spans="1:9" ht="17" thickBot="1" x14ac:dyDescent="0.25"/>
    <row r="3" spans="1:9" x14ac:dyDescent="0.2">
      <c r="A3" s="21" t="s">
        <v>1616</v>
      </c>
      <c r="B3" s="31"/>
      <c r="C3" s="31"/>
      <c r="D3" s="31"/>
      <c r="E3" s="31"/>
      <c r="F3" s="31"/>
      <c r="G3" s="31"/>
      <c r="H3" s="23"/>
    </row>
    <row r="4" spans="1:9" x14ac:dyDescent="0.2">
      <c r="A4" s="24" t="s">
        <v>1614</v>
      </c>
      <c r="H4" s="25"/>
    </row>
    <row r="5" spans="1:9" x14ac:dyDescent="0.2">
      <c r="A5" s="24" t="s">
        <v>1615</v>
      </c>
      <c r="H5" s="25"/>
    </row>
    <row r="6" spans="1:9" ht="17" thickBot="1" x14ac:dyDescent="0.25">
      <c r="A6" s="26" t="s">
        <v>950</v>
      </c>
      <c r="B6" s="27"/>
      <c r="C6" s="27"/>
      <c r="D6" s="27"/>
      <c r="E6" s="27"/>
      <c r="F6" s="27"/>
      <c r="G6" s="27"/>
      <c r="H6" s="28"/>
    </row>
    <row r="7" spans="1:9" ht="17" thickBot="1" x14ac:dyDescent="0.25"/>
    <row r="8" spans="1:9" x14ac:dyDescent="0.2">
      <c r="A8" s="21" t="s">
        <v>1617</v>
      </c>
      <c r="B8" s="31"/>
      <c r="C8" s="31"/>
      <c r="D8" s="31"/>
      <c r="E8" s="31"/>
      <c r="F8" s="23"/>
      <c r="I8" s="1" t="s">
        <v>1623</v>
      </c>
    </row>
    <row r="9" spans="1:9" x14ac:dyDescent="0.2">
      <c r="A9" s="24" t="s">
        <v>1618</v>
      </c>
      <c r="F9" s="25"/>
    </row>
    <row r="10" spans="1:9" x14ac:dyDescent="0.2">
      <c r="A10" s="24" t="s">
        <v>1619</v>
      </c>
      <c r="F10" s="25"/>
      <c r="I10" s="1" t="s">
        <v>1624</v>
      </c>
    </row>
    <row r="11" spans="1:9" x14ac:dyDescent="0.2">
      <c r="A11" s="24" t="s">
        <v>1620</v>
      </c>
      <c r="F11" s="25"/>
    </row>
    <row r="12" spans="1:9" x14ac:dyDescent="0.2">
      <c r="A12" s="24" t="s">
        <v>1621</v>
      </c>
      <c r="F12" s="25"/>
      <c r="I12" s="1" t="s">
        <v>1625</v>
      </c>
    </row>
    <row r="13" spans="1:9" ht="17" thickBot="1" x14ac:dyDescent="0.25">
      <c r="A13" s="26" t="s">
        <v>1622</v>
      </c>
      <c r="B13" s="27"/>
      <c r="C13" s="27"/>
      <c r="D13" s="27"/>
      <c r="E13" s="27"/>
      <c r="F13" s="28"/>
    </row>
    <row r="14" spans="1:9" x14ac:dyDescent="0.2">
      <c r="I14" s="1" t="s">
        <v>1626</v>
      </c>
    </row>
    <row r="15" spans="1:9" ht="17" thickBot="1" x14ac:dyDescent="0.25"/>
    <row r="16" spans="1:9" ht="17" thickBot="1" x14ac:dyDescent="0.25">
      <c r="A16" s="3" t="s">
        <v>1627</v>
      </c>
      <c r="B16" s="6"/>
      <c r="C16" s="6"/>
      <c r="D16" s="6"/>
      <c r="E16" s="6"/>
      <c r="F16" s="6"/>
      <c r="G16" s="6"/>
      <c r="H16" s="7"/>
    </row>
    <row r="17" spans="1:11" x14ac:dyDescent="0.2">
      <c r="A17" s="1" t="s">
        <v>951</v>
      </c>
    </row>
    <row r="19" spans="1:11" x14ac:dyDescent="0.2">
      <c r="A19" s="78" t="s">
        <v>1628</v>
      </c>
    </row>
    <row r="20" spans="1:11" x14ac:dyDescent="0.2">
      <c r="A20" s="78"/>
    </row>
    <row r="21" spans="1:11" x14ac:dyDescent="0.2">
      <c r="B21" s="1" t="s">
        <v>963</v>
      </c>
      <c r="D21" s="12">
        <v>1</v>
      </c>
      <c r="F21" s="12">
        <v>0</v>
      </c>
    </row>
    <row r="22" spans="1:11" x14ac:dyDescent="0.2">
      <c r="D22" s="12" t="s">
        <v>1199</v>
      </c>
      <c r="F22" s="12" t="s">
        <v>1629</v>
      </c>
    </row>
    <row r="23" spans="1:11" x14ac:dyDescent="0.2">
      <c r="D23" s="12"/>
      <c r="F23" s="12"/>
    </row>
    <row r="24" spans="1:11" x14ac:dyDescent="0.2">
      <c r="C24" s="1" t="s">
        <v>1630</v>
      </c>
      <c r="D24" s="219">
        <v>-112</v>
      </c>
      <c r="F24" s="235">
        <v>100</v>
      </c>
      <c r="H24" s="1" t="s">
        <v>1632</v>
      </c>
    </row>
    <row r="25" spans="1:11" x14ac:dyDescent="0.2">
      <c r="F25" s="12" t="s">
        <v>1631</v>
      </c>
      <c r="H25" s="1" t="s">
        <v>1633</v>
      </c>
    </row>
    <row r="27" spans="1:11" x14ac:dyDescent="0.2">
      <c r="G27" s="1" t="s">
        <v>1634</v>
      </c>
    </row>
    <row r="29" spans="1:11" x14ac:dyDescent="0.2">
      <c r="A29" s="1" t="s">
        <v>1635</v>
      </c>
    </row>
    <row r="30" spans="1:11" x14ac:dyDescent="0.2">
      <c r="E30" s="1" t="s">
        <v>960</v>
      </c>
    </row>
    <row r="31" spans="1:11" x14ac:dyDescent="0.2">
      <c r="F31" s="1" t="s">
        <v>1636</v>
      </c>
      <c r="K31" s="236" t="s">
        <v>1640</v>
      </c>
    </row>
    <row r="32" spans="1:11" x14ac:dyDescent="0.2">
      <c r="F32" s="1" t="s">
        <v>1637</v>
      </c>
      <c r="K32" s="236" t="s">
        <v>1641</v>
      </c>
    </row>
    <row r="33" spans="1:11" x14ac:dyDescent="0.2">
      <c r="K33" s="236" t="s">
        <v>1642</v>
      </c>
    </row>
    <row r="34" spans="1:11" x14ac:dyDescent="0.2">
      <c r="K34" s="236" t="s">
        <v>1643</v>
      </c>
    </row>
    <row r="35" spans="1:11" x14ac:dyDescent="0.2">
      <c r="D35" s="12">
        <v>1</v>
      </c>
      <c r="F35" s="12">
        <v>0</v>
      </c>
      <c r="K35" s="236" t="s">
        <v>1644</v>
      </c>
    </row>
    <row r="36" spans="1:11" x14ac:dyDescent="0.2">
      <c r="D36" s="12" t="s">
        <v>1199</v>
      </c>
      <c r="F36" s="12" t="s">
        <v>1629</v>
      </c>
      <c r="K36" s="236" t="s">
        <v>1649</v>
      </c>
    </row>
    <row r="37" spans="1:11" x14ac:dyDescent="0.2">
      <c r="D37" s="12"/>
      <c r="F37" s="12"/>
      <c r="K37" s="236" t="s">
        <v>1645</v>
      </c>
    </row>
    <row r="38" spans="1:11" x14ac:dyDescent="0.2">
      <c r="D38" s="219">
        <v>-112</v>
      </c>
      <c r="F38" s="235">
        <v>100</v>
      </c>
      <c r="K38" s="236" t="s">
        <v>1646</v>
      </c>
    </row>
    <row r="39" spans="1:11" x14ac:dyDescent="0.2">
      <c r="F39" s="12"/>
      <c r="K39" s="236" t="s">
        <v>1647</v>
      </c>
    </row>
    <row r="40" spans="1:11" x14ac:dyDescent="0.2">
      <c r="H40" s="1" t="s">
        <v>1638</v>
      </c>
      <c r="K40" s="236" t="s">
        <v>1648</v>
      </c>
    </row>
    <row r="41" spans="1:11" x14ac:dyDescent="0.2">
      <c r="H41" s="29"/>
      <c r="I41" s="29" t="s">
        <v>1639</v>
      </c>
    </row>
    <row r="43" spans="1:11" x14ac:dyDescent="0.2">
      <c r="A43" s="179" t="s">
        <v>1650</v>
      </c>
      <c r="B43" s="179"/>
      <c r="C43" s="179"/>
      <c r="D43" s="179"/>
      <c r="E43" s="179"/>
      <c r="F43" s="179"/>
      <c r="G43" s="179"/>
      <c r="H43" s="179"/>
    </row>
    <row r="45" spans="1:11" x14ac:dyDescent="0.2">
      <c r="A45" s="1" t="s">
        <v>1651</v>
      </c>
      <c r="I45" s="1" t="s">
        <v>1658</v>
      </c>
    </row>
    <row r="46" spans="1:11" x14ac:dyDescent="0.2">
      <c r="A46" s="1" t="s">
        <v>1652</v>
      </c>
      <c r="I46" s="1" t="s">
        <v>1659</v>
      </c>
    </row>
    <row r="47" spans="1:11" x14ac:dyDescent="0.2">
      <c r="A47" s="1" t="s">
        <v>1653</v>
      </c>
      <c r="I47" s="1" t="s">
        <v>1660</v>
      </c>
    </row>
    <row r="48" spans="1:11" x14ac:dyDescent="0.2">
      <c r="A48" s="1" t="s">
        <v>1654</v>
      </c>
      <c r="I48" s="1" t="s">
        <v>1661</v>
      </c>
    </row>
    <row r="49" spans="1:9" x14ac:dyDescent="0.2">
      <c r="I49" s="1" t="s">
        <v>1662</v>
      </c>
    </row>
    <row r="50" spans="1:9" x14ac:dyDescent="0.2">
      <c r="A50" s="1" t="s">
        <v>711</v>
      </c>
      <c r="I50" s="1" t="s">
        <v>1663</v>
      </c>
    </row>
    <row r="51" spans="1:9" x14ac:dyDescent="0.2">
      <c r="A51" s="1" t="s">
        <v>1655</v>
      </c>
      <c r="I51" s="1" t="s">
        <v>1664</v>
      </c>
    </row>
    <row r="52" spans="1:9" x14ac:dyDescent="0.2">
      <c r="A52" s="1" t="s">
        <v>1656</v>
      </c>
    </row>
    <row r="53" spans="1:9" ht="17" thickBot="1" x14ac:dyDescent="0.25"/>
    <row r="54" spans="1:9" ht="17" thickBot="1" x14ac:dyDescent="0.25">
      <c r="A54" s="101" t="s">
        <v>1657</v>
      </c>
      <c r="B54" s="6"/>
      <c r="C54" s="6"/>
      <c r="D54" s="6"/>
      <c r="E54" s="6"/>
      <c r="F54" s="6"/>
      <c r="G54" s="6"/>
      <c r="H54" s="7"/>
    </row>
    <row r="55" spans="1:9" x14ac:dyDescent="0.2">
      <c r="D55" s="12">
        <v>4</v>
      </c>
      <c r="F55" s="12">
        <v>0</v>
      </c>
    </row>
    <row r="56" spans="1:9" x14ac:dyDescent="0.2">
      <c r="D56" s="12" t="s">
        <v>1199</v>
      </c>
      <c r="F56" s="12" t="s">
        <v>1629</v>
      </c>
    </row>
    <row r="57" spans="1:9" x14ac:dyDescent="0.2">
      <c r="D57" s="12"/>
      <c r="F57" s="12"/>
    </row>
    <row r="58" spans="1:9" x14ac:dyDescent="0.2">
      <c r="D58" s="219"/>
      <c r="F58" s="235"/>
    </row>
    <row r="59" spans="1:9" x14ac:dyDescent="0.2">
      <c r="F59" s="12"/>
    </row>
    <row r="60" spans="1:9" x14ac:dyDescent="0.2">
      <c r="A60" s="1" t="s">
        <v>960</v>
      </c>
    </row>
    <row r="61" spans="1:9" x14ac:dyDescent="0.2">
      <c r="B61" s="1" t="s">
        <v>1636</v>
      </c>
    </row>
    <row r="62" spans="1:9" x14ac:dyDescent="0.2">
      <c r="B62" s="1" t="s">
        <v>1637</v>
      </c>
      <c r="H62" s="1">
        <f>188/143-1</f>
        <v>0.31468531468531458</v>
      </c>
    </row>
    <row r="64" spans="1:9" x14ac:dyDescent="0.2">
      <c r="H64" s="1" t="s">
        <v>1665</v>
      </c>
    </row>
    <row r="65" spans="1:9" x14ac:dyDescent="0.2">
      <c r="I65" s="237">
        <v>0.31468531500000002</v>
      </c>
    </row>
    <row r="67" spans="1:9" x14ac:dyDescent="0.2">
      <c r="H67" s="1" t="s">
        <v>1666</v>
      </c>
    </row>
    <row r="68" spans="1:9" x14ac:dyDescent="0.2">
      <c r="H68" s="1" t="s">
        <v>1667</v>
      </c>
    </row>
    <row r="69" spans="1:9" x14ac:dyDescent="0.2">
      <c r="H69" s="1" t="s">
        <v>1668</v>
      </c>
    </row>
    <row r="70" spans="1:9" x14ac:dyDescent="0.2">
      <c r="H70" s="1" t="s">
        <v>1669</v>
      </c>
    </row>
    <row r="71" spans="1:9" x14ac:dyDescent="0.2">
      <c r="H71" s="2" t="s">
        <v>1670</v>
      </c>
    </row>
    <row r="72" spans="1:9" ht="17" thickBot="1" x14ac:dyDescent="0.25"/>
    <row r="73" spans="1:9" ht="17" thickBot="1" x14ac:dyDescent="0.25">
      <c r="A73" s="101" t="s">
        <v>1671</v>
      </c>
      <c r="B73" s="6"/>
      <c r="C73" s="6"/>
      <c r="D73" s="6"/>
      <c r="E73" s="6"/>
      <c r="F73" s="6"/>
      <c r="G73" s="6"/>
      <c r="H73" s="7"/>
    </row>
    <row r="75" spans="1:9" x14ac:dyDescent="0.2">
      <c r="A75" s="1" t="s">
        <v>1672</v>
      </c>
    </row>
    <row r="76" spans="1:9" x14ac:dyDescent="0.2">
      <c r="A76" s="1" t="s">
        <v>1673</v>
      </c>
    </row>
    <row r="78" spans="1:9" x14ac:dyDescent="0.2">
      <c r="B78" s="238">
        <f>1.314685315^0.25-1</f>
        <v>7.0792826240431594E-2</v>
      </c>
    </row>
    <row r="81" spans="1:11" x14ac:dyDescent="0.2">
      <c r="B81" s="1" t="s">
        <v>1677</v>
      </c>
      <c r="E81" s="1" t="s">
        <v>1675</v>
      </c>
      <c r="G81" s="1" t="s">
        <v>1674</v>
      </c>
    </row>
    <row r="82" spans="1:11" x14ac:dyDescent="0.2">
      <c r="B82" s="1" t="s">
        <v>1678</v>
      </c>
      <c r="E82" s="1" t="s">
        <v>1676</v>
      </c>
    </row>
    <row r="84" spans="1:11" x14ac:dyDescent="0.2">
      <c r="A84" s="239" t="s">
        <v>1679</v>
      </c>
      <c r="B84" s="239"/>
      <c r="C84" s="239"/>
      <c r="D84" s="239"/>
      <c r="E84" s="239"/>
      <c r="F84" s="239"/>
      <c r="G84" s="239"/>
      <c r="H84" s="239"/>
    </row>
    <row r="86" spans="1:11" x14ac:dyDescent="0.2">
      <c r="A86" s="1" t="s">
        <v>1680</v>
      </c>
      <c r="H86" s="1" t="s">
        <v>1688</v>
      </c>
    </row>
    <row r="87" spans="1:11" x14ac:dyDescent="0.2">
      <c r="A87" s="1" t="s">
        <v>1681</v>
      </c>
      <c r="H87" s="1" t="s">
        <v>1689</v>
      </c>
    </row>
    <row r="88" spans="1:11" x14ac:dyDescent="0.2">
      <c r="A88" s="1" t="s">
        <v>1682</v>
      </c>
      <c r="H88" s="1" t="s">
        <v>1690</v>
      </c>
    </row>
    <row r="89" spans="1:11" x14ac:dyDescent="0.2">
      <c r="B89" s="1" t="s">
        <v>1683</v>
      </c>
      <c r="F89" s="127" t="s">
        <v>1694</v>
      </c>
      <c r="H89" s="1" t="s">
        <v>1691</v>
      </c>
    </row>
    <row r="90" spans="1:11" x14ac:dyDescent="0.2">
      <c r="B90" s="1" t="s">
        <v>1684</v>
      </c>
      <c r="F90" s="127" t="s">
        <v>1695</v>
      </c>
    </row>
    <row r="91" spans="1:11" x14ac:dyDescent="0.2">
      <c r="B91" s="1" t="s">
        <v>1685</v>
      </c>
      <c r="H91" s="1" t="s">
        <v>1692</v>
      </c>
    </row>
    <row r="92" spans="1:11" x14ac:dyDescent="0.2">
      <c r="A92" s="1" t="s">
        <v>1686</v>
      </c>
      <c r="H92" s="1" t="s">
        <v>1693</v>
      </c>
    </row>
    <row r="93" spans="1:11" x14ac:dyDescent="0.2">
      <c r="A93" s="2" t="s">
        <v>1687</v>
      </c>
    </row>
    <row r="94" spans="1:11" ht="17" thickBot="1" x14ac:dyDescent="0.25"/>
    <row r="95" spans="1:11" ht="17" thickBot="1" x14ac:dyDescent="0.25">
      <c r="A95" s="242" t="s">
        <v>1068</v>
      </c>
      <c r="B95" s="241">
        <f>470/368-1</f>
        <v>0.27717391304347827</v>
      </c>
      <c r="H95" s="77" t="s">
        <v>1712</v>
      </c>
      <c r="I95" s="82"/>
      <c r="J95" s="82"/>
      <c r="K95" s="82"/>
    </row>
    <row r="97" spans="1:11" x14ac:dyDescent="0.2">
      <c r="A97" s="1" t="s">
        <v>1696</v>
      </c>
    </row>
    <row r="98" spans="1:11" x14ac:dyDescent="0.2">
      <c r="A98" s="1" t="s">
        <v>1697</v>
      </c>
    </row>
    <row r="99" spans="1:11" x14ac:dyDescent="0.2">
      <c r="A99" s="1" t="s">
        <v>1698</v>
      </c>
      <c r="C99" s="1" t="s">
        <v>1699</v>
      </c>
      <c r="D99" s="86">
        <v>400000</v>
      </c>
    </row>
    <row r="100" spans="1:11" x14ac:dyDescent="0.2">
      <c r="C100" s="1" t="s">
        <v>1700</v>
      </c>
      <c r="D100" s="86">
        <v>30000</v>
      </c>
    </row>
    <row r="101" spans="1:11" x14ac:dyDescent="0.2">
      <c r="C101" s="1" t="s">
        <v>1701</v>
      </c>
      <c r="D101" s="86">
        <v>40000</v>
      </c>
      <c r="F101" s="1" t="s">
        <v>1702</v>
      </c>
    </row>
    <row r="102" spans="1:11" x14ac:dyDescent="0.2">
      <c r="C102" s="12" t="s">
        <v>1703</v>
      </c>
      <c r="D102" s="240">
        <f>SUM(D99:D101)</f>
        <v>470000</v>
      </c>
    </row>
    <row r="103" spans="1:11" x14ac:dyDescent="0.2">
      <c r="D103" s="86"/>
    </row>
    <row r="104" spans="1:11" x14ac:dyDescent="0.2">
      <c r="A104" s="1" t="s">
        <v>1704</v>
      </c>
      <c r="D104" s="86"/>
    </row>
    <row r="105" spans="1:11" x14ac:dyDescent="0.2">
      <c r="A105" s="1" t="s">
        <v>1705</v>
      </c>
      <c r="D105" s="86"/>
    </row>
    <row r="107" spans="1:11" x14ac:dyDescent="0.2">
      <c r="A107" s="1" t="s">
        <v>1706</v>
      </c>
      <c r="C107" s="1" t="s">
        <v>1699</v>
      </c>
      <c r="D107" s="86">
        <f>D99</f>
        <v>400000</v>
      </c>
      <c r="F107" s="1" t="s">
        <v>1709</v>
      </c>
    </row>
    <row r="108" spans="1:11" x14ac:dyDescent="0.2">
      <c r="C108" s="1" t="s">
        <v>1707</v>
      </c>
      <c r="D108" s="86">
        <v>-32000</v>
      </c>
      <c r="F108" s="1" t="s">
        <v>1710</v>
      </c>
    </row>
    <row r="109" spans="1:11" x14ac:dyDescent="0.2">
      <c r="C109" s="12" t="s">
        <v>1708</v>
      </c>
      <c r="D109" s="240">
        <f>D107+D108</f>
        <v>368000</v>
      </c>
      <c r="F109" s="1" t="s">
        <v>1711</v>
      </c>
    </row>
    <row r="112" spans="1:11" x14ac:dyDescent="0.2">
      <c r="A112" s="1" t="s">
        <v>1069</v>
      </c>
      <c r="B112" s="238">
        <f>(1+B95)^(1/6)-1</f>
        <v>4.1617672925423621E-2</v>
      </c>
      <c r="H112" s="75" t="s">
        <v>1714</v>
      </c>
      <c r="I112" s="75"/>
      <c r="J112" s="75"/>
      <c r="K112" s="75"/>
    </row>
    <row r="114" spans="1:8" x14ac:dyDescent="0.2">
      <c r="A114" s="1" t="s">
        <v>1713</v>
      </c>
    </row>
    <row r="120" spans="1:8" x14ac:dyDescent="0.2">
      <c r="G120" s="1" t="s">
        <v>955</v>
      </c>
    </row>
    <row r="121" spans="1:8" x14ac:dyDescent="0.2">
      <c r="G121" s="1" t="s">
        <v>952</v>
      </c>
    </row>
    <row r="122" spans="1:8" x14ac:dyDescent="0.2">
      <c r="G122" s="1" t="s">
        <v>953</v>
      </c>
    </row>
    <row r="123" spans="1:8" x14ac:dyDescent="0.2">
      <c r="G123" s="1" t="s">
        <v>954</v>
      </c>
    </row>
    <row r="126" spans="1:8" ht="17" thickBot="1" x14ac:dyDescent="0.25"/>
    <row r="127" spans="1:8" ht="17" thickBot="1" x14ac:dyDescent="0.25">
      <c r="A127" s="3" t="s">
        <v>1715</v>
      </c>
      <c r="B127" s="6"/>
      <c r="C127" s="6"/>
      <c r="D127" s="6"/>
      <c r="E127" s="6"/>
      <c r="F127" s="6"/>
      <c r="G127" s="6"/>
      <c r="H127" s="7"/>
    </row>
    <row r="128" spans="1:8" x14ac:dyDescent="0.2">
      <c r="A128" s="1" t="s">
        <v>1716</v>
      </c>
    </row>
    <row r="129" spans="1:8" x14ac:dyDescent="0.2">
      <c r="A129" s="1" t="s">
        <v>1717</v>
      </c>
    </row>
    <row r="130" spans="1:8" x14ac:dyDescent="0.2">
      <c r="A130" s="1" t="s">
        <v>1718</v>
      </c>
    </row>
    <row r="131" spans="1:8" x14ac:dyDescent="0.2">
      <c r="A131" s="1" t="s">
        <v>1720</v>
      </c>
    </row>
    <row r="132" spans="1:8" x14ac:dyDescent="0.2">
      <c r="A132" s="1" t="s">
        <v>1719</v>
      </c>
    </row>
    <row r="133" spans="1:8" ht="17" thickBot="1" x14ac:dyDescent="0.25"/>
    <row r="134" spans="1:8" ht="17" thickBot="1" x14ac:dyDescent="0.25">
      <c r="A134" s="3" t="s">
        <v>1005</v>
      </c>
      <c r="B134" s="4"/>
      <c r="C134" s="4"/>
      <c r="D134" s="4"/>
      <c r="E134" s="4"/>
      <c r="F134" s="4"/>
      <c r="G134" s="4"/>
      <c r="H134" s="5"/>
    </row>
    <row r="135" spans="1:8" x14ac:dyDescent="0.2">
      <c r="A135" s="1" t="s">
        <v>956</v>
      </c>
    </row>
    <row r="136" spans="1:8" x14ac:dyDescent="0.2">
      <c r="A136" s="1" t="s">
        <v>1721</v>
      </c>
    </row>
    <row r="137" spans="1:8" ht="17" thickBot="1" x14ac:dyDescent="0.25">
      <c r="A137" s="1" t="s">
        <v>711</v>
      </c>
    </row>
    <row r="138" spans="1:8" x14ac:dyDescent="0.2">
      <c r="A138" s="1" t="s">
        <v>957</v>
      </c>
      <c r="E138" s="279" t="s">
        <v>958</v>
      </c>
      <c r="F138" s="280"/>
      <c r="G138" s="280"/>
      <c r="H138" s="281"/>
    </row>
    <row r="139" spans="1:8" ht="17" thickBot="1" x14ac:dyDescent="0.25">
      <c r="A139" s="1" t="s">
        <v>1722</v>
      </c>
      <c r="E139" s="282"/>
      <c r="F139" s="283"/>
      <c r="G139" s="283"/>
      <c r="H139" s="284"/>
    </row>
    <row r="140" spans="1:8" x14ac:dyDescent="0.2">
      <c r="E140" s="12"/>
      <c r="F140" s="12"/>
      <c r="G140" s="12"/>
      <c r="H140" s="12"/>
    </row>
    <row r="141" spans="1:8" x14ac:dyDescent="0.2">
      <c r="A141" s="29" t="s">
        <v>1733</v>
      </c>
      <c r="B141" s="29"/>
      <c r="E141" s="12"/>
      <c r="F141" s="12"/>
      <c r="G141" s="12"/>
      <c r="H141" s="12"/>
    </row>
    <row r="142" spans="1:8" x14ac:dyDescent="0.2">
      <c r="A142" s="1" t="s">
        <v>1736</v>
      </c>
      <c r="E142" s="12"/>
      <c r="F142" s="12"/>
      <c r="G142" s="12"/>
      <c r="H142" s="12"/>
    </row>
    <row r="143" spans="1:8" x14ac:dyDescent="0.2">
      <c r="A143" s="1" t="s">
        <v>1737</v>
      </c>
      <c r="E143" s="12"/>
      <c r="F143" s="12"/>
      <c r="G143" s="12"/>
      <c r="H143" s="12"/>
    </row>
    <row r="144" spans="1:8" x14ac:dyDescent="0.2">
      <c r="A144" s="1" t="s">
        <v>1723</v>
      </c>
      <c r="E144" s="12"/>
      <c r="F144" s="12"/>
      <c r="G144" s="12"/>
      <c r="H144" s="12" t="s">
        <v>1724</v>
      </c>
    </row>
    <row r="145" spans="1:8" x14ac:dyDescent="0.2">
      <c r="A145" s="1" t="s">
        <v>1725</v>
      </c>
      <c r="E145" s="12"/>
      <c r="F145" s="12"/>
      <c r="G145" s="12"/>
      <c r="H145" s="12"/>
    </row>
    <row r="146" spans="1:8" x14ac:dyDescent="0.2">
      <c r="A146" s="1" t="s">
        <v>1726</v>
      </c>
      <c r="E146" s="12"/>
      <c r="F146" s="12"/>
      <c r="G146" s="12"/>
      <c r="H146" s="12"/>
    </row>
    <row r="147" spans="1:8" x14ac:dyDescent="0.2">
      <c r="A147" s="1" t="s">
        <v>1727</v>
      </c>
      <c r="E147" s="12"/>
      <c r="F147" s="12"/>
      <c r="G147" s="12"/>
      <c r="H147" s="12"/>
    </row>
    <row r="148" spans="1:8" x14ac:dyDescent="0.2">
      <c r="E148" s="12"/>
      <c r="F148" s="12"/>
      <c r="G148" s="12"/>
      <c r="H148" s="12"/>
    </row>
    <row r="149" spans="1:8" x14ac:dyDescent="0.2">
      <c r="A149" s="1" t="s">
        <v>1728</v>
      </c>
      <c r="E149" s="12"/>
      <c r="F149" s="12" t="s">
        <v>1729</v>
      </c>
      <c r="G149" s="12"/>
      <c r="H149" s="12"/>
    </row>
    <row r="150" spans="1:8" x14ac:dyDescent="0.2">
      <c r="A150" s="1" t="s">
        <v>1730</v>
      </c>
      <c r="E150" s="12"/>
      <c r="F150" s="12"/>
      <c r="H150" s="12"/>
    </row>
    <row r="151" spans="1:8" x14ac:dyDescent="0.2">
      <c r="A151" s="1" t="s">
        <v>1732</v>
      </c>
      <c r="E151" s="90">
        <f>100*1.025^4</f>
        <v>110.38128906249997</v>
      </c>
      <c r="F151" s="12"/>
      <c r="G151" s="12" t="s">
        <v>1731</v>
      </c>
      <c r="H151" s="12"/>
    </row>
    <row r="152" spans="1:8" x14ac:dyDescent="0.2">
      <c r="A152" s="1" t="s">
        <v>1734</v>
      </c>
      <c r="E152" s="12"/>
      <c r="F152" s="12"/>
      <c r="G152" s="12"/>
      <c r="H152" s="12"/>
    </row>
    <row r="153" spans="1:8" x14ac:dyDescent="0.2">
      <c r="A153" s="1" t="s">
        <v>1735</v>
      </c>
      <c r="E153" s="12"/>
      <c r="F153" s="12"/>
      <c r="G153" s="12"/>
      <c r="H153" s="12"/>
    </row>
    <row r="154" spans="1:8" x14ac:dyDescent="0.2">
      <c r="E154" s="12"/>
      <c r="F154" s="12"/>
      <c r="G154" s="12"/>
      <c r="H154" s="12"/>
    </row>
    <row r="155" spans="1:8" x14ac:dyDescent="0.2">
      <c r="A155" s="1" t="s">
        <v>1739</v>
      </c>
      <c r="E155" s="12"/>
      <c r="F155" s="12"/>
      <c r="G155" s="12"/>
      <c r="H155" s="12"/>
    </row>
    <row r="156" spans="1:8" x14ac:dyDescent="0.2">
      <c r="A156" s="1" t="s">
        <v>1738</v>
      </c>
      <c r="E156" s="12"/>
      <c r="F156" s="12"/>
      <c r="G156" s="12"/>
      <c r="H156" s="12"/>
    </row>
    <row r="157" spans="1:8" x14ac:dyDescent="0.2">
      <c r="E157" s="12"/>
      <c r="F157" s="12"/>
      <c r="G157" s="12"/>
      <c r="H157" s="12"/>
    </row>
    <row r="158" spans="1:8" x14ac:dyDescent="0.2">
      <c r="E158" s="12"/>
      <c r="F158" s="12"/>
      <c r="G158" s="12"/>
      <c r="H158" s="12"/>
    </row>
    <row r="159" spans="1:8" x14ac:dyDescent="0.2">
      <c r="A159" s="1" t="s">
        <v>960</v>
      </c>
      <c r="E159" s="12"/>
      <c r="F159" s="12"/>
      <c r="G159" s="12"/>
      <c r="H159" s="12"/>
    </row>
    <row r="160" spans="1:8" x14ac:dyDescent="0.2">
      <c r="B160" s="1" t="s">
        <v>1740</v>
      </c>
      <c r="E160" s="12"/>
      <c r="F160" s="12"/>
      <c r="G160" s="12"/>
      <c r="H160" s="12"/>
    </row>
    <row r="161" spans="1:8" x14ac:dyDescent="0.2">
      <c r="B161" s="1" t="s">
        <v>1741</v>
      </c>
      <c r="E161" s="12"/>
      <c r="F161" s="12"/>
      <c r="G161" s="12"/>
      <c r="H161" s="12"/>
    </row>
    <row r="162" spans="1:8" x14ac:dyDescent="0.2">
      <c r="B162" s="1" t="s">
        <v>1742</v>
      </c>
      <c r="E162" s="12"/>
      <c r="F162" s="12"/>
      <c r="G162" s="12"/>
      <c r="H162" s="12"/>
    </row>
    <row r="163" spans="1:8" x14ac:dyDescent="0.2">
      <c r="C163" s="1" t="s">
        <v>1743</v>
      </c>
      <c r="E163" s="12"/>
      <c r="F163" s="12"/>
      <c r="G163" s="12"/>
      <c r="H163" s="12"/>
    </row>
    <row r="164" spans="1:8" x14ac:dyDescent="0.2">
      <c r="C164" s="1" t="s">
        <v>1744</v>
      </c>
      <c r="E164" s="12"/>
      <c r="F164" s="12"/>
      <c r="G164" s="12"/>
      <c r="H164" s="12"/>
    </row>
    <row r="165" spans="1:8" x14ac:dyDescent="0.2">
      <c r="C165" s="1" t="s">
        <v>1748</v>
      </c>
      <c r="E165" s="12"/>
      <c r="F165" s="12"/>
      <c r="G165" s="12"/>
      <c r="H165" s="12"/>
    </row>
    <row r="166" spans="1:8" x14ac:dyDescent="0.2">
      <c r="B166" s="1" t="s">
        <v>1746</v>
      </c>
      <c r="E166" s="12"/>
      <c r="F166" s="12"/>
      <c r="G166" s="12"/>
      <c r="H166" s="12"/>
    </row>
    <row r="167" spans="1:8" x14ac:dyDescent="0.2">
      <c r="C167" s="1" t="s">
        <v>1745</v>
      </c>
      <c r="E167" s="12"/>
      <c r="F167" s="12"/>
      <c r="G167" s="12"/>
      <c r="H167" s="12"/>
    </row>
    <row r="168" spans="1:8" x14ac:dyDescent="0.2">
      <c r="C168" s="1" t="s">
        <v>1747</v>
      </c>
      <c r="E168" s="12"/>
      <c r="F168" s="12"/>
      <c r="G168" s="12"/>
      <c r="H168" s="12"/>
    </row>
    <row r="169" spans="1:8" x14ac:dyDescent="0.2">
      <c r="C169" s="1" t="s">
        <v>1749</v>
      </c>
      <c r="E169" s="12"/>
      <c r="F169" s="12"/>
      <c r="G169" s="12"/>
      <c r="H169" s="12"/>
    </row>
    <row r="170" spans="1:8" x14ac:dyDescent="0.2">
      <c r="E170" s="12"/>
      <c r="F170" s="12"/>
      <c r="G170" s="12"/>
      <c r="H170" s="12"/>
    </row>
    <row r="171" spans="1:8" x14ac:dyDescent="0.2">
      <c r="E171" s="285">
        <f>100*1.025^4</f>
        <v>110.38128906249997</v>
      </c>
      <c r="F171" s="12"/>
      <c r="G171" s="12"/>
      <c r="H171" s="12"/>
    </row>
    <row r="172" spans="1:8" x14ac:dyDescent="0.2">
      <c r="E172" s="285"/>
      <c r="F172" s="12"/>
      <c r="G172" s="12"/>
      <c r="H172" s="12"/>
    </row>
    <row r="173" spans="1:8" ht="17" thickBot="1" x14ac:dyDescent="0.25">
      <c r="E173" s="12"/>
      <c r="F173" s="12"/>
      <c r="G173" s="12"/>
      <c r="H173" s="12"/>
    </row>
    <row r="174" spans="1:8" ht="17" thickBot="1" x14ac:dyDescent="0.25">
      <c r="A174" s="3" t="s">
        <v>1750</v>
      </c>
      <c r="B174" s="6"/>
      <c r="C174" s="6"/>
      <c r="D174" s="6"/>
      <c r="E174" s="102"/>
      <c r="F174" s="102"/>
      <c r="G174" s="102"/>
      <c r="H174" s="243"/>
    </row>
    <row r="175" spans="1:8" x14ac:dyDescent="0.2">
      <c r="E175" s="12"/>
      <c r="F175" s="12"/>
      <c r="G175" s="12"/>
      <c r="H175" s="12"/>
    </row>
    <row r="176" spans="1:8" x14ac:dyDescent="0.2">
      <c r="A176" s="1" t="s">
        <v>1751</v>
      </c>
      <c r="E176" s="12"/>
      <c r="F176" s="12"/>
      <c r="G176" s="12"/>
      <c r="H176" s="12"/>
    </row>
    <row r="177" spans="1:8" x14ac:dyDescent="0.2">
      <c r="A177" s="1" t="s">
        <v>1752</v>
      </c>
      <c r="E177" s="12"/>
      <c r="F177" s="12"/>
      <c r="G177" s="12"/>
      <c r="H177" s="12"/>
    </row>
    <row r="178" spans="1:8" x14ac:dyDescent="0.2">
      <c r="E178" s="12"/>
      <c r="F178" s="12"/>
      <c r="G178" s="12"/>
      <c r="H178" s="12"/>
    </row>
    <row r="179" spans="1:8" x14ac:dyDescent="0.2">
      <c r="A179" s="1" t="s">
        <v>1753</v>
      </c>
      <c r="E179" s="12"/>
      <c r="F179" s="12"/>
      <c r="G179" s="12"/>
      <c r="H179" s="12"/>
    </row>
    <row r="180" spans="1:8" x14ac:dyDescent="0.2">
      <c r="A180" s="1" t="s">
        <v>1754</v>
      </c>
      <c r="E180" s="12"/>
      <c r="F180" s="12"/>
      <c r="G180" s="12"/>
      <c r="H180" s="12"/>
    </row>
    <row r="181" spans="1:8" x14ac:dyDescent="0.2">
      <c r="E181" s="12"/>
      <c r="F181" s="12"/>
      <c r="G181" s="12"/>
      <c r="H181" s="12"/>
    </row>
    <row r="182" spans="1:8" x14ac:dyDescent="0.2">
      <c r="C182" s="286">
        <f>10.3812891%</f>
        <v>0.103812891</v>
      </c>
      <c r="E182" s="12"/>
      <c r="F182" s="12"/>
      <c r="G182" s="12"/>
      <c r="H182" s="12"/>
    </row>
    <row r="183" spans="1:8" x14ac:dyDescent="0.2">
      <c r="C183" s="286"/>
      <c r="E183" s="12"/>
      <c r="F183" s="12"/>
      <c r="G183" s="12"/>
      <c r="H183" s="12"/>
    </row>
    <row r="184" spans="1:8" x14ac:dyDescent="0.2">
      <c r="A184" s="14"/>
      <c r="B184" s="14"/>
      <c r="C184" s="14"/>
      <c r="D184" s="14"/>
      <c r="E184" s="55"/>
      <c r="F184" s="55"/>
      <c r="G184" s="55"/>
      <c r="H184" s="55"/>
    </row>
    <row r="185" spans="1:8" x14ac:dyDescent="0.2">
      <c r="A185" s="14" t="s">
        <v>1755</v>
      </c>
      <c r="B185" s="14"/>
      <c r="C185" s="14"/>
      <c r="D185" s="14"/>
      <c r="E185" s="55"/>
      <c r="F185" s="55"/>
      <c r="G185" s="55"/>
      <c r="H185" s="55"/>
    </row>
    <row r="186" spans="1:8" x14ac:dyDescent="0.2">
      <c r="A186" s="14" t="s">
        <v>1756</v>
      </c>
      <c r="B186" s="14"/>
      <c r="C186" s="14"/>
      <c r="D186" s="14"/>
      <c r="E186" s="55"/>
      <c r="F186" s="55"/>
      <c r="G186" s="55"/>
      <c r="H186" s="55"/>
    </row>
    <row r="187" spans="1:8" x14ac:dyDescent="0.2">
      <c r="E187" s="12"/>
      <c r="F187" s="12"/>
      <c r="G187" s="12"/>
      <c r="H187" s="12"/>
    </row>
    <row r="188" spans="1:8" x14ac:dyDescent="0.2">
      <c r="A188" s="1" t="s">
        <v>1757</v>
      </c>
      <c r="E188" s="12"/>
      <c r="F188" s="12"/>
      <c r="G188" s="12"/>
      <c r="H188" s="12"/>
    </row>
    <row r="189" spans="1:8" x14ac:dyDescent="0.2">
      <c r="A189" s="1" t="s">
        <v>1758</v>
      </c>
      <c r="E189" s="12"/>
      <c r="F189" s="12"/>
      <c r="G189" s="12"/>
      <c r="H189" s="12"/>
    </row>
    <row r="190" spans="1:8" x14ac:dyDescent="0.2">
      <c r="A190" s="12"/>
      <c r="E190" s="12"/>
      <c r="F190" s="12"/>
      <c r="G190" s="12"/>
      <c r="H190" s="12"/>
    </row>
    <row r="191" spans="1:8" x14ac:dyDescent="0.2">
      <c r="A191" s="12"/>
      <c r="B191" s="12" t="s">
        <v>1759</v>
      </c>
      <c r="C191" s="1" t="s">
        <v>1760</v>
      </c>
      <c r="E191" s="12"/>
      <c r="F191" s="12"/>
      <c r="G191" s="12"/>
      <c r="H191" s="12"/>
    </row>
    <row r="192" spans="1:8" x14ac:dyDescent="0.2">
      <c r="A192" s="244">
        <v>0.1</v>
      </c>
      <c r="B192" s="12" t="s">
        <v>1761</v>
      </c>
      <c r="C192" s="1" t="s">
        <v>1762</v>
      </c>
      <c r="E192" s="12"/>
      <c r="F192" s="12"/>
      <c r="G192" s="12"/>
      <c r="H192" s="12"/>
    </row>
    <row r="193" spans="1:9" x14ac:dyDescent="0.2">
      <c r="A193" s="12">
        <v>4</v>
      </c>
      <c r="B193" s="12" t="s">
        <v>45</v>
      </c>
      <c r="C193" s="1" t="s">
        <v>1763</v>
      </c>
      <c r="E193" s="12"/>
      <c r="F193" s="12"/>
      <c r="G193" s="12"/>
      <c r="H193" s="12"/>
    </row>
    <row r="194" spans="1:9" x14ac:dyDescent="0.2">
      <c r="A194" s="12">
        <v>4</v>
      </c>
      <c r="B194" s="12" t="s">
        <v>1764</v>
      </c>
      <c r="C194" s="1" t="s">
        <v>1765</v>
      </c>
      <c r="E194" s="12"/>
      <c r="F194" s="12"/>
      <c r="G194" s="12"/>
      <c r="H194" s="12"/>
    </row>
    <row r="195" spans="1:9" x14ac:dyDescent="0.2">
      <c r="E195" s="12"/>
      <c r="F195" s="12"/>
      <c r="G195" s="12"/>
      <c r="H195" s="12"/>
    </row>
    <row r="196" spans="1:9" x14ac:dyDescent="0.2">
      <c r="D196" s="245">
        <f>C182</f>
        <v>0.103812891</v>
      </c>
      <c r="E196" s="12"/>
      <c r="F196" s="12"/>
      <c r="G196" s="12"/>
      <c r="H196" s="12"/>
    </row>
    <row r="197" spans="1:9" x14ac:dyDescent="0.2">
      <c r="E197" s="12"/>
      <c r="F197" s="12"/>
      <c r="G197" s="12"/>
      <c r="H197" s="12"/>
    </row>
    <row r="198" spans="1:9" x14ac:dyDescent="0.2">
      <c r="A198" s="239" t="s">
        <v>1766</v>
      </c>
      <c r="B198" s="239"/>
      <c r="C198" s="239"/>
      <c r="D198" s="239"/>
      <c r="E198" s="246"/>
      <c r="F198" s="246"/>
      <c r="G198" s="246"/>
      <c r="H198" s="246"/>
      <c r="I198" s="239"/>
    </row>
    <row r="199" spans="1:9" x14ac:dyDescent="0.2">
      <c r="E199" s="12"/>
      <c r="F199" s="12"/>
      <c r="G199" s="12"/>
      <c r="H199" s="12"/>
    </row>
    <row r="200" spans="1:9" x14ac:dyDescent="0.2">
      <c r="A200" s="1" t="s">
        <v>1767</v>
      </c>
      <c r="E200" s="12"/>
      <c r="F200" s="12"/>
      <c r="G200" s="12"/>
      <c r="H200" s="12"/>
    </row>
    <row r="201" spans="1:9" x14ac:dyDescent="0.2">
      <c r="A201" s="1" t="s">
        <v>1768</v>
      </c>
      <c r="E201" s="12"/>
      <c r="F201" s="12"/>
      <c r="G201" s="12"/>
      <c r="H201" s="12"/>
    </row>
    <row r="202" spans="1:9" x14ac:dyDescent="0.2">
      <c r="A202" s="1" t="s">
        <v>1769</v>
      </c>
      <c r="E202" s="12"/>
      <c r="F202" s="12"/>
      <c r="G202" s="12"/>
      <c r="H202" s="12"/>
    </row>
    <row r="203" spans="1:9" x14ac:dyDescent="0.2">
      <c r="A203" s="1" t="s">
        <v>711</v>
      </c>
      <c r="E203" s="12"/>
      <c r="F203" s="12"/>
      <c r="G203" s="12"/>
      <c r="H203" s="12"/>
    </row>
    <row r="204" spans="1:9" x14ac:dyDescent="0.2">
      <c r="A204" s="1" t="s">
        <v>1770</v>
      </c>
      <c r="E204" s="12"/>
      <c r="F204" s="12"/>
      <c r="G204" s="12"/>
      <c r="H204" s="12"/>
    </row>
    <row r="205" spans="1:9" x14ac:dyDescent="0.2">
      <c r="A205" s="1" t="s">
        <v>1771</v>
      </c>
      <c r="E205" s="12"/>
      <c r="F205" s="12"/>
      <c r="G205" s="12"/>
      <c r="H205" s="12"/>
    </row>
    <row r="206" spans="1:9" x14ac:dyDescent="0.2">
      <c r="E206" s="12"/>
      <c r="F206" s="12"/>
      <c r="G206" s="12"/>
      <c r="H206" s="12"/>
    </row>
    <row r="207" spans="1:9" x14ac:dyDescent="0.2">
      <c r="A207" s="1" t="s">
        <v>27</v>
      </c>
      <c r="E207" s="12"/>
      <c r="F207" s="12"/>
      <c r="G207" s="12"/>
      <c r="H207" s="12"/>
    </row>
    <row r="208" spans="1:9" x14ac:dyDescent="0.2">
      <c r="E208" s="12"/>
      <c r="F208" s="12"/>
      <c r="G208" s="12"/>
      <c r="H208" s="12"/>
    </row>
    <row r="209" spans="1:9" x14ac:dyDescent="0.2">
      <c r="A209" s="1" t="s">
        <v>1772</v>
      </c>
      <c r="E209" s="12"/>
      <c r="F209" s="12"/>
      <c r="G209" s="12"/>
      <c r="H209" s="12"/>
    </row>
    <row r="210" spans="1:9" x14ac:dyDescent="0.2">
      <c r="A210" s="1" t="s">
        <v>1773</v>
      </c>
      <c r="E210" s="12"/>
      <c r="F210" s="12"/>
      <c r="G210" s="12"/>
      <c r="H210" s="12"/>
    </row>
    <row r="211" spans="1:9" x14ac:dyDescent="0.2">
      <c r="E211" s="12"/>
      <c r="F211" s="12"/>
      <c r="G211" s="12"/>
      <c r="H211" s="12"/>
    </row>
    <row r="212" spans="1:9" x14ac:dyDescent="0.2">
      <c r="A212" s="1" t="s">
        <v>1774</v>
      </c>
      <c r="E212" s="12"/>
      <c r="F212" s="12"/>
      <c r="G212" s="12"/>
      <c r="H212" s="12"/>
    </row>
    <row r="213" spans="1:9" x14ac:dyDescent="0.2">
      <c r="A213" s="12" t="s">
        <v>1759</v>
      </c>
      <c r="B213" s="1" t="s">
        <v>1760</v>
      </c>
      <c r="E213" s="12"/>
      <c r="F213" s="12"/>
      <c r="G213" s="12"/>
      <c r="H213" s="12"/>
    </row>
    <row r="214" spans="1:9" x14ac:dyDescent="0.2">
      <c r="A214" s="12" t="s">
        <v>1761</v>
      </c>
      <c r="B214" s="1" t="s">
        <v>1762</v>
      </c>
      <c r="E214" s="12"/>
      <c r="F214" s="12"/>
      <c r="G214" s="12"/>
      <c r="H214" s="12"/>
    </row>
    <row r="215" spans="1:9" x14ac:dyDescent="0.2">
      <c r="A215" s="12" t="s">
        <v>45</v>
      </c>
      <c r="B215" s="1" t="s">
        <v>1763</v>
      </c>
      <c r="E215" s="12"/>
      <c r="F215" s="12"/>
      <c r="G215" s="12"/>
      <c r="H215" s="12"/>
    </row>
    <row r="216" spans="1:9" x14ac:dyDescent="0.2">
      <c r="A216" s="12" t="s">
        <v>1764</v>
      </c>
      <c r="B216" s="1" t="s">
        <v>1765</v>
      </c>
      <c r="E216" s="12"/>
      <c r="F216" s="12"/>
      <c r="G216" s="12"/>
      <c r="H216" s="12"/>
    </row>
    <row r="217" spans="1:9" ht="17" thickBot="1" x14ac:dyDescent="0.25">
      <c r="E217" s="12"/>
      <c r="F217" s="12"/>
      <c r="G217" s="12"/>
      <c r="H217" s="12"/>
    </row>
    <row r="218" spans="1:9" ht="17" thickBot="1" x14ac:dyDescent="0.25">
      <c r="A218" s="101" t="s">
        <v>1770</v>
      </c>
      <c r="B218" s="6"/>
      <c r="C218" s="6"/>
      <c r="D218" s="6"/>
      <c r="E218" s="102"/>
      <c r="F218" s="102"/>
      <c r="G218" s="102"/>
      <c r="H218" s="102"/>
      <c r="I218" s="7"/>
    </row>
    <row r="219" spans="1:9" x14ac:dyDescent="0.2">
      <c r="E219" s="12"/>
      <c r="F219" s="12"/>
      <c r="G219" s="12"/>
      <c r="H219" s="12"/>
    </row>
    <row r="220" spans="1:9" x14ac:dyDescent="0.2">
      <c r="E220" s="12"/>
      <c r="F220" s="12"/>
      <c r="G220" s="12"/>
      <c r="H220" s="12"/>
    </row>
    <row r="221" spans="1:9" x14ac:dyDescent="0.2">
      <c r="E221" s="12"/>
      <c r="F221" s="12"/>
      <c r="G221" s="12"/>
      <c r="H221" s="12"/>
    </row>
    <row r="222" spans="1:9" x14ac:dyDescent="0.2">
      <c r="A222" s="12" t="s">
        <v>1759</v>
      </c>
      <c r="B222" s="1" t="s">
        <v>1760</v>
      </c>
      <c r="E222" s="12"/>
      <c r="F222" s="12"/>
      <c r="G222" s="12"/>
      <c r="H222" s="12"/>
    </row>
    <row r="223" spans="1:9" x14ac:dyDescent="0.2">
      <c r="A223" s="12" t="s">
        <v>1761</v>
      </c>
      <c r="B223" s="1" t="s">
        <v>1762</v>
      </c>
      <c r="G223" s="244">
        <v>0.12</v>
      </c>
      <c r="H223" s="12" t="s">
        <v>1775</v>
      </c>
    </row>
    <row r="224" spans="1:9" x14ac:dyDescent="0.2">
      <c r="A224" s="12" t="s">
        <v>45</v>
      </c>
      <c r="B224" s="1" t="s">
        <v>1763</v>
      </c>
      <c r="E224" s="12"/>
      <c r="F224" s="12"/>
      <c r="G224" s="33" t="s">
        <v>1776</v>
      </c>
      <c r="H224" s="12"/>
    </row>
    <row r="225" spans="1:9" x14ac:dyDescent="0.2">
      <c r="A225" s="12" t="s">
        <v>1764</v>
      </c>
      <c r="B225" s="1" t="s">
        <v>1765</v>
      </c>
      <c r="E225" s="12"/>
      <c r="F225" s="12"/>
      <c r="G225" s="33" t="s">
        <v>1777</v>
      </c>
      <c r="H225" s="12"/>
    </row>
    <row r="226" spans="1:9" ht="17" thickBot="1" x14ac:dyDescent="0.25">
      <c r="E226" s="12"/>
      <c r="F226" s="12"/>
      <c r="G226" s="12"/>
      <c r="H226" s="12"/>
    </row>
    <row r="227" spans="1:9" ht="17" thickBot="1" x14ac:dyDescent="0.25">
      <c r="A227" s="101" t="s">
        <v>1780</v>
      </c>
      <c r="B227" s="6"/>
      <c r="C227" s="6"/>
      <c r="D227" s="6"/>
      <c r="E227" s="102"/>
      <c r="F227" s="102"/>
      <c r="G227" s="102"/>
      <c r="H227" s="102"/>
      <c r="I227" s="7"/>
    </row>
    <row r="228" spans="1:9" x14ac:dyDescent="0.2">
      <c r="E228" s="12"/>
      <c r="F228" s="12"/>
      <c r="G228" s="12"/>
      <c r="H228" s="12"/>
    </row>
    <row r="229" spans="1:9" x14ac:dyDescent="0.2">
      <c r="E229" s="12"/>
      <c r="F229" s="12"/>
      <c r="G229" s="12"/>
      <c r="H229" s="12"/>
    </row>
    <row r="230" spans="1:9" x14ac:dyDescent="0.2">
      <c r="D230" s="247">
        <f>(1+8%/6)^12-1</f>
        <v>0.17227079825887714</v>
      </c>
      <c r="E230" s="12"/>
      <c r="F230" s="12"/>
      <c r="G230" s="12"/>
      <c r="H230" s="12"/>
    </row>
    <row r="231" spans="1:9" x14ac:dyDescent="0.2">
      <c r="E231" s="12"/>
      <c r="F231" s="12"/>
      <c r="G231" s="12"/>
      <c r="H231" s="12"/>
    </row>
    <row r="232" spans="1:9" x14ac:dyDescent="0.2">
      <c r="A232" s="12" t="s">
        <v>1759</v>
      </c>
      <c r="B232" s="1" t="s">
        <v>1760</v>
      </c>
      <c r="E232" s="12"/>
      <c r="F232" s="12"/>
      <c r="G232" s="12"/>
      <c r="H232" s="12"/>
    </row>
    <row r="233" spans="1:9" x14ac:dyDescent="0.2">
      <c r="A233" s="12" t="s">
        <v>1761</v>
      </c>
      <c r="B233" s="1" t="s">
        <v>1762</v>
      </c>
      <c r="F233" s="244">
        <v>0.08</v>
      </c>
      <c r="G233" s="244"/>
      <c r="H233" s="12" t="s">
        <v>1778</v>
      </c>
    </row>
    <row r="234" spans="1:9" x14ac:dyDescent="0.2">
      <c r="A234" s="12" t="s">
        <v>45</v>
      </c>
      <c r="B234" s="1" t="s">
        <v>1763</v>
      </c>
      <c r="E234" s="12"/>
      <c r="F234" s="12"/>
      <c r="G234" s="33" t="s">
        <v>1779</v>
      </c>
      <c r="H234" s="12"/>
    </row>
    <row r="235" spans="1:9" x14ac:dyDescent="0.2">
      <c r="A235" s="12" t="s">
        <v>1764</v>
      </c>
      <c r="B235" s="1" t="s">
        <v>1765</v>
      </c>
      <c r="E235" s="12"/>
      <c r="F235" s="12"/>
      <c r="G235" s="33" t="s">
        <v>1781</v>
      </c>
      <c r="H235" s="12"/>
    </row>
    <row r="236" spans="1:9" x14ac:dyDescent="0.2">
      <c r="E236" s="12"/>
      <c r="F236" s="12"/>
      <c r="G236" s="12"/>
      <c r="H236" s="12"/>
    </row>
    <row r="237" spans="1:9" x14ac:dyDescent="0.2">
      <c r="E237" s="12"/>
      <c r="F237" s="12"/>
      <c r="G237" s="12"/>
      <c r="H237" s="12"/>
    </row>
    <row r="238" spans="1:9" x14ac:dyDescent="0.2">
      <c r="E238" s="12"/>
      <c r="F238" s="12"/>
      <c r="G238" s="12"/>
      <c r="H238" s="12"/>
    </row>
    <row r="239" spans="1:9" x14ac:dyDescent="0.2">
      <c r="E239" s="12"/>
      <c r="F239" s="12"/>
      <c r="G239" s="12"/>
      <c r="H239" s="12"/>
    </row>
    <row r="240" spans="1:9" x14ac:dyDescent="0.2">
      <c r="E240" s="12"/>
      <c r="F240" s="12"/>
      <c r="G240" s="12"/>
      <c r="H240" s="12"/>
    </row>
    <row r="241" spans="1:8" x14ac:dyDescent="0.2">
      <c r="E241" s="12"/>
      <c r="F241" s="12"/>
      <c r="G241" s="12"/>
      <c r="H241" s="12"/>
    </row>
    <row r="242" spans="1:8" x14ac:dyDescent="0.2">
      <c r="E242" s="12"/>
      <c r="F242" s="12"/>
      <c r="G242" s="12"/>
      <c r="H242" s="12"/>
    </row>
    <row r="244" spans="1:8" x14ac:dyDescent="0.2">
      <c r="A244" s="1" t="s">
        <v>960</v>
      </c>
    </row>
    <row r="245" spans="1:8" x14ac:dyDescent="0.2">
      <c r="B245" s="1" t="s">
        <v>961</v>
      </c>
    </row>
    <row r="246" spans="1:8" x14ac:dyDescent="0.2">
      <c r="B246" s="1" t="s">
        <v>962</v>
      </c>
      <c r="D246" s="12" t="s">
        <v>408</v>
      </c>
      <c r="E246" s="12"/>
      <c r="F246" s="12"/>
      <c r="G246" s="12"/>
      <c r="H246" s="12" t="s">
        <v>959</v>
      </c>
    </row>
    <row r="247" spans="1:8" x14ac:dyDescent="0.2">
      <c r="B247" s="12"/>
      <c r="C247" s="12"/>
      <c r="D247" s="12">
        <v>1</v>
      </c>
      <c r="E247" s="12">
        <v>0.75</v>
      </c>
      <c r="F247" s="12">
        <v>0.5</v>
      </c>
      <c r="G247" s="12">
        <v>0.25</v>
      </c>
      <c r="H247" s="12">
        <v>0</v>
      </c>
    </row>
    <row r="248" spans="1:8" x14ac:dyDescent="0.2">
      <c r="B248" s="12"/>
      <c r="C248" s="12" t="s">
        <v>963</v>
      </c>
      <c r="D248" s="12"/>
      <c r="E248" s="12"/>
      <c r="F248" s="12"/>
      <c r="G248" s="12"/>
      <c r="H248" s="12"/>
    </row>
    <row r="249" spans="1:8" x14ac:dyDescent="0.2">
      <c r="B249" s="12"/>
      <c r="C249" s="12"/>
      <c r="D249" s="12"/>
      <c r="E249" s="12"/>
      <c r="F249" s="12"/>
      <c r="G249" s="12"/>
      <c r="H249" s="12">
        <v>100</v>
      </c>
    </row>
    <row r="250" spans="1:8" x14ac:dyDescent="0.2">
      <c r="B250" s="12"/>
      <c r="C250" s="12"/>
      <c r="D250" s="12"/>
      <c r="E250" s="12"/>
      <c r="F250" s="12"/>
      <c r="G250" s="12"/>
      <c r="H250" s="12"/>
    </row>
    <row r="253" spans="1:8" x14ac:dyDescent="0.2">
      <c r="A253" s="1" t="s">
        <v>964</v>
      </c>
    </row>
    <row r="254" spans="1:8" x14ac:dyDescent="0.2">
      <c r="A254" s="1" t="s">
        <v>965</v>
      </c>
    </row>
    <row r="255" spans="1:8" x14ac:dyDescent="0.2">
      <c r="A255" s="1" t="s">
        <v>968</v>
      </c>
    </row>
    <row r="257" spans="1:8" x14ac:dyDescent="0.2">
      <c r="A257" s="1" t="s">
        <v>966</v>
      </c>
    </row>
    <row r="258" spans="1:8" x14ac:dyDescent="0.2">
      <c r="A258" s="1" t="s">
        <v>967</v>
      </c>
      <c r="H258" s="1" t="s">
        <v>969</v>
      </c>
    </row>
    <row r="260" spans="1:8" x14ac:dyDescent="0.2">
      <c r="A260" s="1" t="s">
        <v>970</v>
      </c>
    </row>
    <row r="261" spans="1:8" x14ac:dyDescent="0.2">
      <c r="A261" s="1" t="s">
        <v>971</v>
      </c>
    </row>
    <row r="263" spans="1:8" x14ac:dyDescent="0.2">
      <c r="A263" s="1" t="s">
        <v>972</v>
      </c>
      <c r="F263" s="1">
        <v>110.3812891</v>
      </c>
      <c r="H263" s="1" t="s">
        <v>973</v>
      </c>
    </row>
    <row r="265" spans="1:8" x14ac:dyDescent="0.2">
      <c r="A265" s="1" t="s">
        <v>974</v>
      </c>
      <c r="E265" s="1" t="s">
        <v>975</v>
      </c>
      <c r="F265" s="1">
        <f>F263</f>
        <v>110.3812891</v>
      </c>
    </row>
    <row r="266" spans="1:8" x14ac:dyDescent="0.2">
      <c r="E266" s="1" t="s">
        <v>976</v>
      </c>
      <c r="F266" s="1">
        <v>100</v>
      </c>
    </row>
    <row r="267" spans="1:8" x14ac:dyDescent="0.2">
      <c r="E267" s="1" t="s">
        <v>977</v>
      </c>
      <c r="F267" s="1">
        <f>F265-F266</f>
        <v>10.381289100000004</v>
      </c>
      <c r="H267" s="1" t="s">
        <v>978</v>
      </c>
    </row>
    <row r="269" spans="1:8" x14ac:dyDescent="0.2">
      <c r="A269" s="1" t="s">
        <v>979</v>
      </c>
      <c r="F269" s="141">
        <f>F267/F266</f>
        <v>0.10381289100000003</v>
      </c>
      <c r="H269" s="1" t="s">
        <v>980</v>
      </c>
    </row>
    <row r="271" spans="1:8" x14ac:dyDescent="0.2">
      <c r="A271" s="1" t="s">
        <v>981</v>
      </c>
    </row>
    <row r="274" spans="1:8" x14ac:dyDescent="0.2">
      <c r="A274" s="2" t="s">
        <v>982</v>
      </c>
    </row>
    <row r="276" spans="1:8" x14ac:dyDescent="0.2">
      <c r="D276" s="1" t="s">
        <v>985</v>
      </c>
      <c r="F276" s="1" t="s">
        <v>984</v>
      </c>
    </row>
    <row r="277" spans="1:8" x14ac:dyDescent="0.2">
      <c r="D277" s="1" t="s">
        <v>986</v>
      </c>
      <c r="H277" s="1" t="s">
        <v>983</v>
      </c>
    </row>
    <row r="279" spans="1:8" x14ac:dyDescent="0.2">
      <c r="B279" s="1" t="s">
        <v>987</v>
      </c>
    </row>
    <row r="280" spans="1:8" x14ac:dyDescent="0.2">
      <c r="B280" s="1" t="s">
        <v>988</v>
      </c>
    </row>
    <row r="282" spans="1:8" x14ac:dyDescent="0.2">
      <c r="E282" s="274" t="s">
        <v>989</v>
      </c>
      <c r="F282" s="274"/>
    </row>
    <row r="284" spans="1:8" x14ac:dyDescent="0.2">
      <c r="B284" s="1" t="s">
        <v>990</v>
      </c>
    </row>
    <row r="285" spans="1:8" x14ac:dyDescent="0.2">
      <c r="B285" s="1" t="s">
        <v>991</v>
      </c>
    </row>
    <row r="288" spans="1:8" x14ac:dyDescent="0.2">
      <c r="B288" s="1" t="s">
        <v>992</v>
      </c>
    </row>
    <row r="291" spans="1:3" x14ac:dyDescent="0.2">
      <c r="B291" s="1" t="s">
        <v>993</v>
      </c>
    </row>
    <row r="294" spans="1:3" x14ac:dyDescent="0.2">
      <c r="B294" s="1" t="s">
        <v>960</v>
      </c>
    </row>
    <row r="295" spans="1:3" x14ac:dyDescent="0.2">
      <c r="A295" s="1" t="s">
        <v>998</v>
      </c>
      <c r="C295" s="1" t="s">
        <v>994</v>
      </c>
    </row>
    <row r="296" spans="1:3" x14ac:dyDescent="0.2">
      <c r="A296" s="1" t="s">
        <v>999</v>
      </c>
      <c r="C296" s="1" t="s">
        <v>995</v>
      </c>
    </row>
    <row r="297" spans="1:3" x14ac:dyDescent="0.2">
      <c r="C297" s="1" t="s">
        <v>996</v>
      </c>
    </row>
    <row r="298" spans="1:3" x14ac:dyDescent="0.2">
      <c r="C298" s="1" t="s">
        <v>997</v>
      </c>
    </row>
    <row r="305" spans="1:10" x14ac:dyDescent="0.2">
      <c r="F305" s="1" t="s">
        <v>1000</v>
      </c>
    </row>
    <row r="306" spans="1:10" x14ac:dyDescent="0.2">
      <c r="F306" s="1" t="s">
        <v>1001</v>
      </c>
    </row>
    <row r="307" spans="1:10" x14ac:dyDescent="0.2">
      <c r="F307" s="1" t="s">
        <v>1002</v>
      </c>
    </row>
    <row r="310" spans="1:10" x14ac:dyDescent="0.2">
      <c r="E310" s="1" t="s">
        <v>1000</v>
      </c>
    </row>
    <row r="311" spans="1:10" x14ac:dyDescent="0.2">
      <c r="E311" s="1" t="s">
        <v>1003</v>
      </c>
    </row>
    <row r="312" spans="1:10" x14ac:dyDescent="0.2">
      <c r="E312" s="1" t="s">
        <v>1004</v>
      </c>
    </row>
    <row r="313" spans="1:10" ht="17" thickBot="1" x14ac:dyDescent="0.25"/>
    <row r="314" spans="1:10" ht="17" thickBot="1" x14ac:dyDescent="0.25">
      <c r="A314" s="3" t="s">
        <v>1006</v>
      </c>
      <c r="B314" s="4"/>
      <c r="C314" s="4"/>
      <c r="D314" s="4"/>
      <c r="E314" s="4"/>
      <c r="F314" s="4"/>
      <c r="G314" s="4"/>
      <c r="H314" s="5"/>
    </row>
    <row r="315" spans="1:10" x14ac:dyDescent="0.2">
      <c r="A315" s="1" t="s">
        <v>1007</v>
      </c>
    </row>
    <row r="316" spans="1:10" x14ac:dyDescent="0.2">
      <c r="A316" s="1" t="s">
        <v>1008</v>
      </c>
      <c r="J316" s="1" t="s">
        <v>1009</v>
      </c>
    </row>
    <row r="317" spans="1:10" x14ac:dyDescent="0.2">
      <c r="A317" s="1" t="s">
        <v>1010</v>
      </c>
      <c r="H317" s="98">
        <f>(1+1%)^24-1</f>
        <v>0.26973464853191498</v>
      </c>
      <c r="J317" s="1" t="s">
        <v>1011</v>
      </c>
    </row>
    <row r="318" spans="1:10" x14ac:dyDescent="0.2">
      <c r="A318" s="1" t="s">
        <v>1012</v>
      </c>
      <c r="H318" s="98">
        <f>(1+10%/2)^3-1</f>
        <v>0.15762500000000013</v>
      </c>
      <c r="J318" s="1" t="s">
        <v>1017</v>
      </c>
    </row>
    <row r="319" spans="1:10" x14ac:dyDescent="0.2">
      <c r="A319" s="1" t="s">
        <v>1013</v>
      </c>
      <c r="H319" s="98">
        <f>(1+3%)^4-1</f>
        <v>0.12550880999999992</v>
      </c>
      <c r="J319" s="1" t="s">
        <v>1016</v>
      </c>
    </row>
    <row r="320" spans="1:10" x14ac:dyDescent="0.2">
      <c r="A320" s="1" t="s">
        <v>1014</v>
      </c>
      <c r="H320" s="98">
        <f>(1+1%)^36-1</f>
        <v>0.43076878359158099</v>
      </c>
      <c r="J320" s="1" t="s">
        <v>1015</v>
      </c>
    </row>
    <row r="324" spans="1:9" x14ac:dyDescent="0.2">
      <c r="B324" s="1" t="s">
        <v>960</v>
      </c>
    </row>
    <row r="325" spans="1:9" x14ac:dyDescent="0.2">
      <c r="A325" s="1" t="s">
        <v>998</v>
      </c>
      <c r="C325" s="1" t="s">
        <v>994</v>
      </c>
    </row>
    <row r="326" spans="1:9" x14ac:dyDescent="0.2">
      <c r="A326" s="1" t="s">
        <v>999</v>
      </c>
      <c r="C326" s="1" t="s">
        <v>995</v>
      </c>
    </row>
    <row r="327" spans="1:9" x14ac:dyDescent="0.2">
      <c r="C327" s="1" t="s">
        <v>996</v>
      </c>
    </row>
    <row r="328" spans="1:9" x14ac:dyDescent="0.2">
      <c r="C328" s="1" t="s">
        <v>997</v>
      </c>
    </row>
    <row r="329" spans="1:9" ht="17" thickBot="1" x14ac:dyDescent="0.25"/>
    <row r="330" spans="1:9" ht="17" thickBot="1" x14ac:dyDescent="0.25">
      <c r="A330" s="3" t="s">
        <v>1018</v>
      </c>
      <c r="B330" s="4"/>
      <c r="C330" s="4"/>
      <c r="D330" s="4"/>
      <c r="E330" s="4"/>
      <c r="F330" s="4"/>
      <c r="G330" s="4"/>
      <c r="H330" s="5"/>
    </row>
    <row r="331" spans="1:9" x14ac:dyDescent="0.2">
      <c r="A331" s="1" t="s">
        <v>1019</v>
      </c>
    </row>
    <row r="332" spans="1:9" x14ac:dyDescent="0.2">
      <c r="A332" s="1" t="s">
        <v>1024</v>
      </c>
      <c r="G332" s="140">
        <f>(1 + 10%/4)^4 - 1</f>
        <v>0.10381289062499977</v>
      </c>
      <c r="I332" s="1" t="s">
        <v>1027</v>
      </c>
    </row>
    <row r="333" spans="1:9" x14ac:dyDescent="0.2">
      <c r="A333" s="1" t="s">
        <v>1025</v>
      </c>
      <c r="G333" s="140">
        <f>(1 + 12%/12)^8 - 1</f>
        <v>8.2856705628080229E-2</v>
      </c>
      <c r="I333" s="1" t="s">
        <v>1028</v>
      </c>
    </row>
    <row r="334" spans="1:9" x14ac:dyDescent="0.2">
      <c r="A334" s="1" t="s">
        <v>1026</v>
      </c>
      <c r="G334" s="140">
        <f>(1 + 8%/4)^8 - 1</f>
        <v>0.17165938100226552</v>
      </c>
      <c r="I334" s="1" t="s">
        <v>1029</v>
      </c>
    </row>
    <row r="335" spans="1:9" x14ac:dyDescent="0.2">
      <c r="A335" s="1" t="s">
        <v>1030</v>
      </c>
      <c r="G335" s="140">
        <f>(1 + 6%/3)^24 - 1</f>
        <v>0.60843724947522504</v>
      </c>
      <c r="I335" s="1" t="s">
        <v>1031</v>
      </c>
    </row>
    <row r="337" spans="1:9" x14ac:dyDescent="0.2">
      <c r="A337" s="1" t="s">
        <v>1020</v>
      </c>
    </row>
    <row r="338" spans="1:9" x14ac:dyDescent="0.2">
      <c r="A338" s="1" t="s">
        <v>1021</v>
      </c>
    </row>
    <row r="339" spans="1:9" ht="17" thickBot="1" x14ac:dyDescent="0.25"/>
    <row r="340" spans="1:9" s="2" customFormat="1" ht="17" thickBot="1" x14ac:dyDescent="0.25">
      <c r="A340" s="3" t="s">
        <v>1022</v>
      </c>
      <c r="B340" s="4"/>
      <c r="C340" s="4"/>
      <c r="D340" s="4"/>
      <c r="E340" s="4"/>
      <c r="F340" s="4"/>
      <c r="G340" s="4"/>
      <c r="H340" s="5"/>
    </row>
    <row r="341" spans="1:9" x14ac:dyDescent="0.2">
      <c r="A341" s="1" t="s">
        <v>1023</v>
      </c>
    </row>
    <row r="342" spans="1:9" x14ac:dyDescent="0.2">
      <c r="A342" s="1" t="s">
        <v>1036</v>
      </c>
      <c r="G342" s="106">
        <f>(1+10%/4)^4-1</f>
        <v>0.10381289062499977</v>
      </c>
      <c r="I342" s="1" t="s">
        <v>1027</v>
      </c>
    </row>
    <row r="343" spans="1:9" x14ac:dyDescent="0.2">
      <c r="A343" s="1" t="s">
        <v>1037</v>
      </c>
      <c r="G343" s="139">
        <f>(1 + 11%/1)^1 - 1</f>
        <v>0.1100000000000001</v>
      </c>
      <c r="I343" s="1" t="s">
        <v>1038</v>
      </c>
    </row>
    <row r="344" spans="1:9" x14ac:dyDescent="0.2">
      <c r="A344" s="1" t="s">
        <v>1039</v>
      </c>
      <c r="G344" s="139">
        <f>(1 + 6%/6)^12 - 1</f>
        <v>0.12682503013196977</v>
      </c>
      <c r="I344" s="1" t="s">
        <v>1040</v>
      </c>
    </row>
    <row r="345" spans="1:9" x14ac:dyDescent="0.2">
      <c r="A345" s="1" t="s">
        <v>1041</v>
      </c>
      <c r="G345" s="139">
        <f>(1 + 3%/0.5)^2 - 1</f>
        <v>0.12360000000000015</v>
      </c>
      <c r="I345" s="1" t="s">
        <v>1042</v>
      </c>
    </row>
    <row r="347" spans="1:9" x14ac:dyDescent="0.2">
      <c r="A347" s="1" t="s">
        <v>1035</v>
      </c>
    </row>
    <row r="349" spans="1:9" x14ac:dyDescent="0.2">
      <c r="E349" s="1" t="s">
        <v>998</v>
      </c>
      <c r="G349" s="1" t="s">
        <v>994</v>
      </c>
    </row>
    <row r="350" spans="1:9" x14ac:dyDescent="0.2">
      <c r="E350" s="1" t="s">
        <v>999</v>
      </c>
      <c r="G350" s="1" t="s">
        <v>995</v>
      </c>
    </row>
    <row r="351" spans="1:9" x14ac:dyDescent="0.2">
      <c r="G351" s="1" t="s">
        <v>996</v>
      </c>
    </row>
    <row r="352" spans="1:9" x14ac:dyDescent="0.2">
      <c r="G352" s="1" t="s">
        <v>997</v>
      </c>
    </row>
    <row r="354" spans="1:8" x14ac:dyDescent="0.2">
      <c r="A354" s="1" t="s">
        <v>1032</v>
      </c>
    </row>
    <row r="355" spans="1:8" x14ac:dyDescent="0.2">
      <c r="A355" s="1" t="s">
        <v>1033</v>
      </c>
    </row>
    <row r="356" spans="1:8" x14ac:dyDescent="0.2">
      <c r="A356" s="1" t="s">
        <v>1034</v>
      </c>
    </row>
    <row r="357" spans="1:8" ht="17" thickBot="1" x14ac:dyDescent="0.25"/>
    <row r="358" spans="1:8" x14ac:dyDescent="0.2">
      <c r="A358" s="30" t="s">
        <v>1044</v>
      </c>
      <c r="B358" s="31"/>
      <c r="C358" s="31"/>
      <c r="D358" s="31"/>
      <c r="E358" s="31"/>
      <c r="F358" s="31"/>
      <c r="G358" s="31"/>
      <c r="H358" s="23"/>
    </row>
    <row r="359" spans="1:8" ht="17" thickBot="1" x14ac:dyDescent="0.25">
      <c r="A359" s="26" t="s">
        <v>1043</v>
      </c>
      <c r="B359" s="27"/>
      <c r="C359" s="27"/>
      <c r="D359" s="27"/>
      <c r="E359" s="27"/>
      <c r="F359" s="27"/>
      <c r="G359" s="27"/>
      <c r="H359" s="28"/>
    </row>
    <row r="360" spans="1:8" ht="17" thickBot="1" x14ac:dyDescent="0.25"/>
    <row r="361" spans="1:8" s="2" customFormat="1" ht="17" thickBot="1" x14ac:dyDescent="0.25">
      <c r="A361" s="3" t="s">
        <v>1045</v>
      </c>
      <c r="B361" s="4"/>
      <c r="C361" s="4"/>
      <c r="D361" s="4"/>
      <c r="E361" s="4"/>
      <c r="F361" s="4"/>
      <c r="G361" s="4"/>
      <c r="H361" s="5"/>
    </row>
    <row r="362" spans="1:8" x14ac:dyDescent="0.2">
      <c r="A362" s="1" t="s">
        <v>1046</v>
      </c>
    </row>
    <row r="363" spans="1:8" x14ac:dyDescent="0.2">
      <c r="A363" s="1" t="s">
        <v>1047</v>
      </c>
    </row>
    <row r="364" spans="1:8" x14ac:dyDescent="0.2">
      <c r="A364" s="1" t="s">
        <v>1048</v>
      </c>
      <c r="F364" s="140">
        <f>(1 + 8%/2)^2 - 1</f>
        <v>8.1600000000000117E-2</v>
      </c>
      <c r="G364" s="139"/>
      <c r="H364" s="1" t="s">
        <v>1053</v>
      </c>
    </row>
    <row r="365" spans="1:8" x14ac:dyDescent="0.2">
      <c r="A365" s="1" t="s">
        <v>1050</v>
      </c>
      <c r="F365" s="140">
        <f>(1 + 21%/36)^12 - 1</f>
        <v>7.2290080856235894E-2</v>
      </c>
      <c r="G365" s="139"/>
      <c r="H365" s="1" t="s">
        <v>1054</v>
      </c>
    </row>
    <row r="366" spans="1:8" x14ac:dyDescent="0.2">
      <c r="A366" s="1" t="s">
        <v>1051</v>
      </c>
      <c r="F366" s="140">
        <f>(1 + 4%/3)^6 - 1</f>
        <v>8.2714550682162491E-2</v>
      </c>
      <c r="G366" s="139"/>
      <c r="H366" s="1" t="s">
        <v>1055</v>
      </c>
    </row>
    <row r="367" spans="1:8" x14ac:dyDescent="0.2">
      <c r="A367" s="1" t="s">
        <v>1052</v>
      </c>
      <c r="F367" s="140">
        <f>(1 + 15%/8)^4 - 1</f>
        <v>7.713586578369136E-2</v>
      </c>
      <c r="H367" s="1" t="s">
        <v>1056</v>
      </c>
    </row>
    <row r="369" spans="1:1" x14ac:dyDescent="0.2">
      <c r="A369" s="1" t="s">
        <v>1049</v>
      </c>
    </row>
    <row r="371" spans="1:1" x14ac:dyDescent="0.2">
      <c r="A371" s="1" t="s">
        <v>1057</v>
      </c>
    </row>
    <row r="372" spans="1:1" x14ac:dyDescent="0.2">
      <c r="A372" s="1" t="s">
        <v>1058</v>
      </c>
    </row>
    <row r="373" spans="1:1" x14ac:dyDescent="0.2">
      <c r="A373" s="1" t="s">
        <v>1059</v>
      </c>
    </row>
    <row r="375" spans="1:1" x14ac:dyDescent="0.2">
      <c r="A375" s="2" t="s">
        <v>1060</v>
      </c>
    </row>
    <row r="378" spans="1:1" x14ac:dyDescent="0.2">
      <c r="A378" s="2" t="s">
        <v>155</v>
      </c>
    </row>
    <row r="379" spans="1:1" x14ac:dyDescent="0.2">
      <c r="A379" s="1" t="s">
        <v>1061</v>
      </c>
    </row>
    <row r="380" spans="1:1" x14ac:dyDescent="0.2">
      <c r="A380" s="1" t="s">
        <v>1062</v>
      </c>
    </row>
    <row r="381" spans="1:1" x14ac:dyDescent="0.2">
      <c r="A381" s="1" t="s">
        <v>1063</v>
      </c>
    </row>
    <row r="382" spans="1:1" x14ac:dyDescent="0.2">
      <c r="A382" s="1" t="s">
        <v>1064</v>
      </c>
    </row>
    <row r="383" spans="1:1" x14ac:dyDescent="0.2">
      <c r="A383" s="1" t="s">
        <v>1065</v>
      </c>
    </row>
    <row r="384" spans="1:1" x14ac:dyDescent="0.2">
      <c r="A384" s="1" t="s">
        <v>1066</v>
      </c>
    </row>
  </sheetData>
  <mergeCells count="4">
    <mergeCell ref="E138:H139"/>
    <mergeCell ref="E282:F282"/>
    <mergeCell ref="E171:E172"/>
    <mergeCell ref="C182:C183"/>
  </mergeCells>
  <phoneticPr fontId="3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I420"/>
  <sheetViews>
    <sheetView rightToLeft="1" topLeftCell="A404" zoomScale="150" zoomScaleNormal="240" workbookViewId="0">
      <selection activeCell="E187" sqref="E187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1782</v>
      </c>
      <c r="B1" s="29"/>
      <c r="C1" s="29"/>
      <c r="D1" s="29"/>
      <c r="E1" s="29"/>
      <c r="F1" s="29"/>
      <c r="G1" s="29"/>
      <c r="H1" s="138">
        <v>45908</v>
      </c>
    </row>
    <row r="3" spans="1:8" x14ac:dyDescent="0.2">
      <c r="A3" s="11" t="s">
        <v>1783</v>
      </c>
      <c r="B3" s="164"/>
      <c r="C3" s="164"/>
      <c r="D3" s="164"/>
      <c r="E3" s="164"/>
      <c r="F3" s="164"/>
      <c r="G3" s="164"/>
      <c r="H3" s="164"/>
    </row>
    <row r="5" spans="1:8" x14ac:dyDescent="0.2">
      <c r="A5" s="1" t="s">
        <v>1784</v>
      </c>
    </row>
    <row r="7" spans="1:8" x14ac:dyDescent="0.2">
      <c r="A7" s="148" t="s">
        <v>1785</v>
      </c>
      <c r="B7" s="58"/>
      <c r="C7" s="58"/>
      <c r="D7" s="58"/>
      <c r="E7" s="58"/>
      <c r="F7" s="58"/>
      <c r="G7" s="58"/>
      <c r="H7" s="58"/>
    </row>
    <row r="8" spans="1:8" x14ac:dyDescent="0.2">
      <c r="A8" s="12" t="s">
        <v>1759</v>
      </c>
      <c r="B8" s="1" t="s">
        <v>1786</v>
      </c>
    </row>
    <row r="9" spans="1:8" x14ac:dyDescent="0.2">
      <c r="A9" s="12" t="s">
        <v>1761</v>
      </c>
      <c r="B9" s="1" t="s">
        <v>1787</v>
      </c>
    </row>
    <row r="10" spans="1:8" x14ac:dyDescent="0.2">
      <c r="A10" s="12" t="s">
        <v>45</v>
      </c>
      <c r="B10" s="1" t="s">
        <v>1788</v>
      </c>
    </row>
    <row r="11" spans="1:8" x14ac:dyDescent="0.2">
      <c r="A11" s="12" t="s">
        <v>1764</v>
      </c>
      <c r="B11" s="1" t="s">
        <v>1789</v>
      </c>
    </row>
    <row r="13" spans="1:8" x14ac:dyDescent="0.2">
      <c r="A13" s="148" t="s">
        <v>1790</v>
      </c>
      <c r="B13" s="58"/>
      <c r="C13" s="58"/>
      <c r="D13" s="58"/>
      <c r="E13" s="58"/>
      <c r="F13" s="58"/>
      <c r="G13" s="58"/>
      <c r="H13" s="58"/>
    </row>
    <row r="16" spans="1:8" x14ac:dyDescent="0.2">
      <c r="A16" s="12" t="s">
        <v>1759</v>
      </c>
      <c r="B16" s="1" t="s">
        <v>1791</v>
      </c>
    </row>
    <row r="17" spans="1:8" x14ac:dyDescent="0.2">
      <c r="A17" s="12" t="s">
        <v>1792</v>
      </c>
      <c r="B17" s="1" t="s">
        <v>1793</v>
      </c>
    </row>
    <row r="19" spans="1:8" x14ac:dyDescent="0.2">
      <c r="A19" s="148" t="s">
        <v>1794</v>
      </c>
      <c r="B19" s="58"/>
      <c r="C19" s="58"/>
      <c r="D19" s="58"/>
      <c r="E19" s="58"/>
      <c r="F19" s="58"/>
      <c r="G19" s="58"/>
      <c r="H19" s="58"/>
    </row>
    <row r="23" spans="1:8" x14ac:dyDescent="0.2">
      <c r="A23" s="12" t="s">
        <v>1759</v>
      </c>
      <c r="B23" s="1" t="s">
        <v>1791</v>
      </c>
    </row>
    <row r="24" spans="1:8" x14ac:dyDescent="0.2">
      <c r="A24" s="12" t="s">
        <v>1703</v>
      </c>
      <c r="B24" s="1" t="s">
        <v>1795</v>
      </c>
    </row>
    <row r="25" spans="1:8" x14ac:dyDescent="0.2">
      <c r="A25" s="12" t="s">
        <v>1708</v>
      </c>
      <c r="B25" s="1" t="s">
        <v>1796</v>
      </c>
    </row>
    <row r="27" spans="1:8" x14ac:dyDescent="0.2">
      <c r="A27" s="148" t="s">
        <v>1797</v>
      </c>
      <c r="B27" s="58"/>
      <c r="C27" s="58"/>
      <c r="D27" s="58"/>
      <c r="E27" s="58"/>
      <c r="F27" s="58"/>
      <c r="G27" s="58"/>
      <c r="H27" s="58"/>
    </row>
    <row r="30" spans="1:8" x14ac:dyDescent="0.2">
      <c r="A30" s="12" t="s">
        <v>1759</v>
      </c>
      <c r="B30" s="1" t="s">
        <v>1799</v>
      </c>
    </row>
    <row r="31" spans="1:8" x14ac:dyDescent="0.2">
      <c r="A31" s="12" t="s">
        <v>1373</v>
      </c>
      <c r="B31" s="1" t="s">
        <v>1800</v>
      </c>
    </row>
    <row r="32" spans="1:8" x14ac:dyDescent="0.2">
      <c r="A32" s="12" t="s">
        <v>1764</v>
      </c>
      <c r="B32" s="1" t="s">
        <v>1798</v>
      </c>
    </row>
    <row r="33" spans="1:8" x14ac:dyDescent="0.2">
      <c r="A33" s="12"/>
    </row>
    <row r="34" spans="1:8" x14ac:dyDescent="0.2">
      <c r="A34" s="148" t="s">
        <v>1893</v>
      </c>
      <c r="B34" s="58"/>
      <c r="C34" s="58"/>
      <c r="D34" s="58"/>
      <c r="E34" s="58"/>
      <c r="F34" s="58"/>
      <c r="G34" s="58"/>
      <c r="H34" s="58"/>
    </row>
    <row r="35" spans="1:8" x14ac:dyDescent="0.2">
      <c r="A35" s="12"/>
    </row>
    <row r="36" spans="1:8" x14ac:dyDescent="0.2">
      <c r="A36" s="12"/>
    </row>
    <row r="37" spans="1:8" x14ac:dyDescent="0.2">
      <c r="A37" s="12"/>
    </row>
    <row r="38" spans="1:8" x14ac:dyDescent="0.2">
      <c r="A38" s="12" t="s">
        <v>1631</v>
      </c>
      <c r="B38" s="1" t="s">
        <v>1894</v>
      </c>
    </row>
    <row r="39" spans="1:8" x14ac:dyDescent="0.2">
      <c r="A39" s="12" t="s">
        <v>1761</v>
      </c>
      <c r="B39" s="1" t="s">
        <v>1895</v>
      </c>
    </row>
    <row r="40" spans="1:8" x14ac:dyDescent="0.2">
      <c r="A40" s="12" t="s">
        <v>45</v>
      </c>
      <c r="B40" s="1" t="s">
        <v>1896</v>
      </c>
    </row>
    <row r="41" spans="1:8" x14ac:dyDescent="0.2">
      <c r="A41" s="12" t="s">
        <v>1764</v>
      </c>
      <c r="B41" s="1" t="s">
        <v>1897</v>
      </c>
    </row>
    <row r="43" spans="1:8" x14ac:dyDescent="0.2">
      <c r="A43" s="248" t="s">
        <v>1801</v>
      </c>
      <c r="B43" s="248"/>
      <c r="C43" s="248"/>
      <c r="D43" s="248"/>
      <c r="E43" s="248"/>
      <c r="F43" s="248"/>
      <c r="G43" s="248"/>
      <c r="H43" s="248"/>
    </row>
    <row r="44" spans="1:8" x14ac:dyDescent="0.2">
      <c r="A44" s="1" t="s">
        <v>1802</v>
      </c>
    </row>
    <row r="45" spans="1:8" x14ac:dyDescent="0.2">
      <c r="A45" s="1" t="s">
        <v>1803</v>
      </c>
    </row>
    <row r="46" spans="1:8" x14ac:dyDescent="0.2">
      <c r="A46" s="1" t="s">
        <v>1806</v>
      </c>
    </row>
    <row r="47" spans="1:8" x14ac:dyDescent="0.2">
      <c r="A47" s="1" t="s">
        <v>1804</v>
      </c>
    </row>
    <row r="48" spans="1:8" x14ac:dyDescent="0.2">
      <c r="A48" s="1" t="s">
        <v>1805</v>
      </c>
    </row>
    <row r="49" spans="1:8" x14ac:dyDescent="0.2">
      <c r="A49" s="1" t="s">
        <v>1807</v>
      </c>
    </row>
    <row r="50" spans="1:8" x14ac:dyDescent="0.2">
      <c r="A50" s="1" t="s">
        <v>1808</v>
      </c>
    </row>
    <row r="52" spans="1:8" x14ac:dyDescent="0.2">
      <c r="A52" s="1" t="s">
        <v>1809</v>
      </c>
    </row>
    <row r="54" spans="1:8" x14ac:dyDescent="0.2">
      <c r="A54" s="1" t="s">
        <v>27</v>
      </c>
    </row>
    <row r="55" spans="1:8" ht="17" thickBot="1" x14ac:dyDescent="0.25"/>
    <row r="56" spans="1:8" ht="17" thickBot="1" x14ac:dyDescent="0.25">
      <c r="A56" s="8" t="s">
        <v>1846</v>
      </c>
      <c r="B56" s="249"/>
      <c r="C56" s="249"/>
      <c r="D56" s="249"/>
      <c r="E56" s="249"/>
      <c r="F56" s="249"/>
      <c r="G56" s="249"/>
      <c r="H56" s="250"/>
    </row>
    <row r="57" spans="1:8" x14ac:dyDescent="0.2">
      <c r="A57" s="1" t="s">
        <v>1810</v>
      </c>
    </row>
    <row r="58" spans="1:8" x14ac:dyDescent="0.2">
      <c r="A58" s="1" t="s">
        <v>1811</v>
      </c>
    </row>
    <row r="59" spans="1:8" x14ac:dyDescent="0.2">
      <c r="A59" s="1" t="s">
        <v>1812</v>
      </c>
    </row>
    <row r="60" spans="1:8" x14ac:dyDescent="0.2">
      <c r="A60" s="1" t="s">
        <v>1813</v>
      </c>
    </row>
    <row r="61" spans="1:8" x14ac:dyDescent="0.2">
      <c r="A61" s="1" t="s">
        <v>1814</v>
      </c>
    </row>
    <row r="62" spans="1:8" x14ac:dyDescent="0.2">
      <c r="A62" s="1" t="s">
        <v>1815</v>
      </c>
    </row>
    <row r="63" spans="1:8" x14ac:dyDescent="0.2">
      <c r="A63" s="1" t="s">
        <v>1818</v>
      </c>
    </row>
    <row r="64" spans="1:8" x14ac:dyDescent="0.2">
      <c r="A64" s="2" t="s">
        <v>1824</v>
      </c>
    </row>
    <row r="66" spans="1:8" x14ac:dyDescent="0.2">
      <c r="A66" s="199" t="s">
        <v>1761</v>
      </c>
      <c r="B66" s="199" t="s">
        <v>1816</v>
      </c>
    </row>
    <row r="67" spans="1:8" x14ac:dyDescent="0.2">
      <c r="A67" s="199" t="s">
        <v>45</v>
      </c>
      <c r="B67" s="199" t="s">
        <v>1817</v>
      </c>
    </row>
    <row r="68" spans="1:8" x14ac:dyDescent="0.2">
      <c r="A68" s="199" t="s">
        <v>1764</v>
      </c>
      <c r="B68" s="199" t="s">
        <v>1823</v>
      </c>
      <c r="E68" s="252">
        <f>(1.01^12-1)</f>
        <v>0.12682503013196977</v>
      </c>
    </row>
    <row r="70" spans="1:8" x14ac:dyDescent="0.2">
      <c r="B70" s="253" t="s">
        <v>1819</v>
      </c>
      <c r="C70" s="253"/>
      <c r="D70" s="253"/>
      <c r="E70" s="253"/>
      <c r="F70" s="253"/>
      <c r="G70" s="253"/>
    </row>
    <row r="71" spans="1:8" x14ac:dyDescent="0.2">
      <c r="B71" s="253" t="s">
        <v>1820</v>
      </c>
      <c r="C71" s="253"/>
      <c r="D71" s="253"/>
      <c r="E71" s="253"/>
      <c r="F71" s="253"/>
      <c r="G71" s="253"/>
    </row>
    <row r="72" spans="1:8" x14ac:dyDescent="0.2">
      <c r="B72" s="253" t="s">
        <v>1821</v>
      </c>
      <c r="C72" s="253"/>
      <c r="D72" s="253"/>
      <c r="E72" s="253"/>
      <c r="F72" s="253"/>
      <c r="G72" s="253"/>
    </row>
    <row r="73" spans="1:8" x14ac:dyDescent="0.2">
      <c r="B73" s="253" t="s">
        <v>1822</v>
      </c>
      <c r="C73" s="253"/>
      <c r="D73" s="253"/>
      <c r="E73" s="253"/>
      <c r="F73" s="253"/>
      <c r="G73" s="253"/>
    </row>
    <row r="74" spans="1:8" x14ac:dyDescent="0.2">
      <c r="B74" s="253"/>
      <c r="C74" s="253"/>
      <c r="D74" s="253"/>
      <c r="E74" s="253"/>
      <c r="F74" s="253"/>
      <c r="G74" s="253"/>
    </row>
    <row r="76" spans="1:8" x14ac:dyDescent="0.2">
      <c r="A76" s="75" t="s">
        <v>1828</v>
      </c>
      <c r="B76" s="29"/>
      <c r="C76" s="29"/>
      <c r="D76" s="29"/>
      <c r="E76" s="29"/>
      <c r="F76" s="29"/>
      <c r="G76" s="29"/>
      <c r="H76" s="29"/>
    </row>
    <row r="77" spans="1:8" x14ac:dyDescent="0.2">
      <c r="A77" s="1" t="s">
        <v>1825</v>
      </c>
    </row>
    <row r="78" spans="1:8" x14ac:dyDescent="0.2">
      <c r="A78" s="1" t="s">
        <v>1826</v>
      </c>
    </row>
    <row r="80" spans="1:8" x14ac:dyDescent="0.2">
      <c r="A80" s="12" t="s">
        <v>1759</v>
      </c>
      <c r="B80" s="1" t="s">
        <v>1827</v>
      </c>
    </row>
    <row r="81" spans="1:7" x14ac:dyDescent="0.2">
      <c r="A81" s="12" t="s">
        <v>1792</v>
      </c>
      <c r="B81" s="1" t="s">
        <v>1829</v>
      </c>
    </row>
    <row r="83" spans="1:7" x14ac:dyDescent="0.2">
      <c r="A83" s="1" t="s">
        <v>1833</v>
      </c>
      <c r="E83" s="287">
        <f>1/0.95-1</f>
        <v>5.2631578947368363E-2</v>
      </c>
    </row>
    <row r="84" spans="1:7" x14ac:dyDescent="0.2">
      <c r="E84" s="287"/>
    </row>
    <row r="86" spans="1:7" x14ac:dyDescent="0.2">
      <c r="A86" s="1" t="s">
        <v>1830</v>
      </c>
    </row>
    <row r="87" spans="1:7" x14ac:dyDescent="0.2">
      <c r="A87" s="1" t="s">
        <v>1831</v>
      </c>
    </row>
    <row r="88" spans="1:7" x14ac:dyDescent="0.2">
      <c r="A88" s="1" t="s">
        <v>1832</v>
      </c>
    </row>
    <row r="90" spans="1:7" x14ac:dyDescent="0.2">
      <c r="A90" s="1" t="s">
        <v>1834</v>
      </c>
    </row>
    <row r="91" spans="1:7" x14ac:dyDescent="0.2">
      <c r="A91" s="1" t="s">
        <v>1835</v>
      </c>
    </row>
    <row r="95" spans="1:7" x14ac:dyDescent="0.2">
      <c r="E95" s="199" t="s">
        <v>1839</v>
      </c>
      <c r="F95" s="199" t="s">
        <v>1142</v>
      </c>
      <c r="G95" s="199" t="s">
        <v>1836</v>
      </c>
    </row>
    <row r="96" spans="1:7" x14ac:dyDescent="0.2">
      <c r="E96" s="199" t="s">
        <v>1840</v>
      </c>
      <c r="F96" s="199" t="s">
        <v>1837</v>
      </c>
      <c r="G96" s="199"/>
    </row>
    <row r="97" spans="1:8" x14ac:dyDescent="0.2">
      <c r="E97" s="199" t="s">
        <v>1841</v>
      </c>
      <c r="F97" s="199" t="s">
        <v>1838</v>
      </c>
      <c r="G97" s="199"/>
    </row>
    <row r="98" spans="1:8" x14ac:dyDescent="0.2">
      <c r="E98" s="199" t="s">
        <v>1844</v>
      </c>
    </row>
    <row r="99" spans="1:8" x14ac:dyDescent="0.2">
      <c r="E99" s="199" t="s">
        <v>1845</v>
      </c>
    </row>
    <row r="100" spans="1:8" x14ac:dyDescent="0.2">
      <c r="E100" s="199" t="s">
        <v>1842</v>
      </c>
    </row>
    <row r="103" spans="1:8" x14ac:dyDescent="0.2">
      <c r="A103" s="1" t="s">
        <v>1843</v>
      </c>
      <c r="D103" s="254">
        <f>1.052632^2-1</f>
        <v>0.10803412742399998</v>
      </c>
    </row>
    <row r="105" spans="1:8" x14ac:dyDescent="0.2">
      <c r="A105" s="29" t="s">
        <v>1805</v>
      </c>
      <c r="B105" s="29"/>
      <c r="C105" s="29"/>
      <c r="D105" s="29"/>
      <c r="E105" s="29"/>
      <c r="F105" s="29"/>
      <c r="G105" s="29"/>
      <c r="H105" s="29"/>
    </row>
    <row r="107" spans="1:8" x14ac:dyDescent="0.2">
      <c r="A107" s="1" t="s">
        <v>1849</v>
      </c>
    </row>
    <row r="108" spans="1:8" x14ac:dyDescent="0.2">
      <c r="A108" s="1" t="s">
        <v>1850</v>
      </c>
    </row>
    <row r="110" spans="1:8" x14ac:dyDescent="0.2">
      <c r="A110" s="1" t="s">
        <v>1847</v>
      </c>
    </row>
    <row r="111" spans="1:8" x14ac:dyDescent="0.2">
      <c r="A111" s="1" t="s">
        <v>1848</v>
      </c>
    </row>
    <row r="113" spans="1:7" x14ac:dyDescent="0.2">
      <c r="A113" s="12" t="s">
        <v>1759</v>
      </c>
      <c r="B113" s="1" t="s">
        <v>1791</v>
      </c>
    </row>
    <row r="114" spans="1:7" x14ac:dyDescent="0.2">
      <c r="A114" s="12" t="s">
        <v>1708</v>
      </c>
      <c r="B114" s="1" t="s">
        <v>1852</v>
      </c>
    </row>
    <row r="115" spans="1:7" x14ac:dyDescent="0.2">
      <c r="A115" s="12" t="s">
        <v>1703</v>
      </c>
      <c r="B115" s="1" t="s">
        <v>1851</v>
      </c>
    </row>
    <row r="117" spans="1:7" x14ac:dyDescent="0.2">
      <c r="A117" s="1" t="s">
        <v>1853</v>
      </c>
      <c r="E117" s="288">
        <v>0.13</v>
      </c>
    </row>
    <row r="118" spans="1:7" x14ac:dyDescent="0.2">
      <c r="A118" s="1" t="s">
        <v>1854</v>
      </c>
      <c r="E118" s="288"/>
    </row>
    <row r="119" spans="1:7" x14ac:dyDescent="0.2">
      <c r="A119" s="1" t="s">
        <v>1855</v>
      </c>
      <c r="E119" s="127" t="s">
        <v>1859</v>
      </c>
    </row>
    <row r="120" spans="1:7" x14ac:dyDescent="0.2">
      <c r="A120" s="1" t="s">
        <v>1856</v>
      </c>
    </row>
    <row r="122" spans="1:7" x14ac:dyDescent="0.2">
      <c r="A122" s="1" t="s">
        <v>1857</v>
      </c>
    </row>
    <row r="123" spans="1:7" x14ac:dyDescent="0.2">
      <c r="A123" s="1" t="s">
        <v>1858</v>
      </c>
    </row>
    <row r="128" spans="1:7" x14ac:dyDescent="0.2">
      <c r="E128" s="199" t="s">
        <v>1839</v>
      </c>
      <c r="F128" s="199" t="s">
        <v>1142</v>
      </c>
      <c r="G128" s="199" t="s">
        <v>1836</v>
      </c>
    </row>
    <row r="129" spans="1:8" x14ac:dyDescent="0.2">
      <c r="E129" s="199" t="s">
        <v>1840</v>
      </c>
      <c r="F129" s="199" t="s">
        <v>1837</v>
      </c>
      <c r="G129" s="199"/>
    </row>
    <row r="130" spans="1:8" x14ac:dyDescent="0.2">
      <c r="E130" s="199" t="s">
        <v>1841</v>
      </c>
      <c r="F130" s="199" t="s">
        <v>1838</v>
      </c>
      <c r="G130" s="199"/>
    </row>
    <row r="131" spans="1:8" x14ac:dyDescent="0.2">
      <c r="E131" s="199" t="s">
        <v>1844</v>
      </c>
    </row>
    <row r="132" spans="1:8" x14ac:dyDescent="0.2">
      <c r="E132" s="199" t="s">
        <v>1845</v>
      </c>
    </row>
    <row r="133" spans="1:8" x14ac:dyDescent="0.2">
      <c r="E133" s="199" t="s">
        <v>1842</v>
      </c>
    </row>
    <row r="136" spans="1:8" x14ac:dyDescent="0.2">
      <c r="A136" s="1" t="s">
        <v>1860</v>
      </c>
      <c r="D136" s="255">
        <f>1.13^2-1</f>
        <v>0.2768999999999997</v>
      </c>
    </row>
    <row r="138" spans="1:8" x14ac:dyDescent="0.2">
      <c r="A138" s="29" t="s">
        <v>1807</v>
      </c>
      <c r="B138" s="29"/>
      <c r="C138" s="29"/>
      <c r="D138" s="29"/>
      <c r="E138" s="29"/>
      <c r="F138" s="29"/>
      <c r="G138" s="29"/>
      <c r="H138" s="29"/>
    </row>
    <row r="139" spans="1:8" x14ac:dyDescent="0.2">
      <c r="A139" s="29" t="s">
        <v>1808</v>
      </c>
      <c r="B139" s="29"/>
      <c r="C139" s="29"/>
      <c r="D139" s="29"/>
      <c r="E139" s="29"/>
      <c r="F139" s="29"/>
      <c r="G139" s="29"/>
      <c r="H139" s="29"/>
    </row>
    <row r="141" spans="1:8" x14ac:dyDescent="0.2">
      <c r="A141" s="1" t="s">
        <v>1861</v>
      </c>
    </row>
    <row r="142" spans="1:8" x14ac:dyDescent="0.2">
      <c r="A142" s="1" t="s">
        <v>1868</v>
      </c>
    </row>
    <row r="144" spans="1:8" x14ac:dyDescent="0.2">
      <c r="A144" s="1" t="s">
        <v>1862</v>
      </c>
    </row>
    <row r="145" spans="1:8" x14ac:dyDescent="0.2">
      <c r="A145" s="1" t="s">
        <v>1863</v>
      </c>
    </row>
    <row r="146" spans="1:8" x14ac:dyDescent="0.2">
      <c r="A146" s="1" t="s">
        <v>1864</v>
      </c>
    </row>
    <row r="148" spans="1:8" x14ac:dyDescent="0.2">
      <c r="C148" s="12">
        <v>0.5</v>
      </c>
      <c r="D148" s="12"/>
      <c r="E148" s="12"/>
      <c r="G148" s="12">
        <v>0</v>
      </c>
    </row>
    <row r="149" spans="1:8" x14ac:dyDescent="0.2">
      <c r="A149" s="1" t="s">
        <v>1093</v>
      </c>
    </row>
    <row r="150" spans="1:8" x14ac:dyDescent="0.2">
      <c r="B150" s="1" t="s">
        <v>1703</v>
      </c>
      <c r="C150" s="18">
        <f>100000*1.005^6</f>
        <v>103037.75093937646</v>
      </c>
      <c r="G150" s="18">
        <v>100000</v>
      </c>
      <c r="H150" s="1" t="s">
        <v>1865</v>
      </c>
    </row>
    <row r="151" spans="1:8" x14ac:dyDescent="0.2">
      <c r="G151" s="18">
        <v>-4000</v>
      </c>
      <c r="H151" s="1" t="s">
        <v>1866</v>
      </c>
    </row>
    <row r="152" spans="1:8" x14ac:dyDescent="0.2">
      <c r="G152" s="256">
        <f>G150+G151</f>
        <v>96000</v>
      </c>
      <c r="H152" s="1" t="s">
        <v>1867</v>
      </c>
    </row>
    <row r="155" spans="1:8" x14ac:dyDescent="0.2">
      <c r="D155" s="1" t="s">
        <v>1869</v>
      </c>
    </row>
    <row r="156" spans="1:8" x14ac:dyDescent="0.2">
      <c r="D156" s="1" t="s">
        <v>1870</v>
      </c>
    </row>
    <row r="157" spans="1:8" x14ac:dyDescent="0.2">
      <c r="A157" s="1" t="s">
        <v>1871</v>
      </c>
    </row>
    <row r="158" spans="1:8" x14ac:dyDescent="0.2">
      <c r="A158" s="1" t="s">
        <v>1872</v>
      </c>
      <c r="H158" s="162" t="s">
        <v>1878</v>
      </c>
    </row>
    <row r="159" spans="1:8" x14ac:dyDescent="0.2">
      <c r="H159" s="162" t="s">
        <v>1879</v>
      </c>
    </row>
    <row r="160" spans="1:8" x14ac:dyDescent="0.2">
      <c r="A160" s="1" t="s">
        <v>1873</v>
      </c>
      <c r="H160" s="162" t="s">
        <v>1880</v>
      </c>
    </row>
    <row r="161" spans="1:8" x14ac:dyDescent="0.2">
      <c r="A161" s="1" t="s">
        <v>1874</v>
      </c>
      <c r="H161" s="162" t="s">
        <v>1881</v>
      </c>
    </row>
    <row r="162" spans="1:8" x14ac:dyDescent="0.2">
      <c r="A162" s="1" t="s">
        <v>1875</v>
      </c>
    </row>
    <row r="164" spans="1:8" x14ac:dyDescent="0.2">
      <c r="A164" s="1" t="s">
        <v>1876</v>
      </c>
    </row>
    <row r="165" spans="1:8" x14ac:dyDescent="0.2">
      <c r="A165" s="1" t="s">
        <v>1877</v>
      </c>
    </row>
    <row r="167" spans="1:8" x14ac:dyDescent="0.2">
      <c r="A167" s="1" t="s">
        <v>1882</v>
      </c>
      <c r="D167" s="251">
        <f>103038/96000-1</f>
        <v>7.3312499999999892E-2</v>
      </c>
    </row>
    <row r="169" spans="1:8" x14ac:dyDescent="0.2">
      <c r="A169" s="1" t="s">
        <v>796</v>
      </c>
      <c r="D169" s="289">
        <f>(1+D167)^2-1</f>
        <v>0.15199972265624973</v>
      </c>
    </row>
    <row r="170" spans="1:8" x14ac:dyDescent="0.2">
      <c r="D170" s="289"/>
    </row>
    <row r="172" spans="1:8" ht="17" thickBot="1" x14ac:dyDescent="0.25">
      <c r="A172" s="1" t="s">
        <v>1883</v>
      </c>
    </row>
    <row r="173" spans="1:8" x14ac:dyDescent="0.2">
      <c r="A173" s="21" t="s">
        <v>290</v>
      </c>
      <c r="B173" s="257">
        <v>0.12682499999999999</v>
      </c>
      <c r="C173" s="22"/>
      <c r="D173" s="22"/>
      <c r="E173" s="122"/>
    </row>
    <row r="174" spans="1:8" x14ac:dyDescent="0.2">
      <c r="A174" s="123" t="s">
        <v>291</v>
      </c>
      <c r="B174" s="258">
        <v>0.10803409999999999</v>
      </c>
      <c r="C174" s="2"/>
      <c r="D174" s="2"/>
      <c r="E174" s="124"/>
    </row>
    <row r="175" spans="1:8" x14ac:dyDescent="0.2">
      <c r="A175" s="123" t="s">
        <v>292</v>
      </c>
      <c r="B175" s="258">
        <v>0.27689999999999998</v>
      </c>
      <c r="C175" s="2"/>
      <c r="D175" s="2"/>
      <c r="E175" s="124"/>
      <c r="G175" s="1" t="s">
        <v>1885</v>
      </c>
    </row>
    <row r="176" spans="1:8" x14ac:dyDescent="0.2">
      <c r="A176" s="123" t="s">
        <v>1070</v>
      </c>
      <c r="B176" s="259">
        <f>D169</f>
        <v>0.15199972265624973</v>
      </c>
      <c r="C176" s="2"/>
      <c r="D176" s="2"/>
      <c r="E176" s="124"/>
      <c r="G176" s="1" t="s">
        <v>1886</v>
      </c>
    </row>
    <row r="177" spans="1:8" x14ac:dyDescent="0.2">
      <c r="A177" s="123"/>
      <c r="B177" s="2"/>
      <c r="C177" s="2"/>
      <c r="D177" s="2"/>
      <c r="E177" s="124"/>
    </row>
    <row r="178" spans="1:8" ht="17" thickBot="1" x14ac:dyDescent="0.25">
      <c r="A178" s="125" t="s">
        <v>1884</v>
      </c>
      <c r="B178" s="260"/>
      <c r="C178" s="260"/>
      <c r="D178" s="260"/>
      <c r="E178" s="126"/>
    </row>
    <row r="181" spans="1:8" x14ac:dyDescent="0.2">
      <c r="A181" s="248" t="s">
        <v>1887</v>
      </c>
      <c r="B181" s="248"/>
      <c r="C181" s="248"/>
      <c r="D181" s="248"/>
      <c r="E181" s="248"/>
      <c r="F181" s="248"/>
      <c r="G181" s="248"/>
      <c r="H181" s="248"/>
    </row>
    <row r="182" spans="1:8" x14ac:dyDescent="0.2">
      <c r="A182" s="1" t="s">
        <v>1888</v>
      </c>
    </row>
    <row r="183" spans="1:8" x14ac:dyDescent="0.2">
      <c r="A183" s="1" t="s">
        <v>1889</v>
      </c>
    </row>
    <row r="184" spans="1:8" x14ac:dyDescent="0.2">
      <c r="A184" s="1" t="s">
        <v>1890</v>
      </c>
    </row>
    <row r="185" spans="1:8" x14ac:dyDescent="0.2">
      <c r="A185" s="1" t="s">
        <v>1891</v>
      </c>
    </row>
    <row r="187" spans="1:8" x14ac:dyDescent="0.2">
      <c r="A187" s="1" t="s">
        <v>711</v>
      </c>
    </row>
    <row r="188" spans="1:8" x14ac:dyDescent="0.2">
      <c r="A188" s="1" t="s">
        <v>1892</v>
      </c>
    </row>
    <row r="189" spans="1:8" x14ac:dyDescent="0.2">
      <c r="A189" s="1" t="s">
        <v>1656</v>
      </c>
    </row>
    <row r="191" spans="1:8" x14ac:dyDescent="0.2">
      <c r="A191" s="2" t="s">
        <v>1898</v>
      </c>
    </row>
    <row r="192" spans="1:8" x14ac:dyDescent="0.2">
      <c r="A192" s="2" t="s">
        <v>1899</v>
      </c>
    </row>
    <row r="194" spans="1:7" x14ac:dyDescent="0.2">
      <c r="A194" s="1" t="s">
        <v>1900</v>
      </c>
    </row>
    <row r="195" spans="1:7" x14ac:dyDescent="0.2">
      <c r="A195" s="1" t="s">
        <v>1901</v>
      </c>
      <c r="G195" s="146" t="s">
        <v>1902</v>
      </c>
    </row>
    <row r="196" spans="1:7" x14ac:dyDescent="0.2">
      <c r="G196" s="146" t="s">
        <v>1903</v>
      </c>
    </row>
    <row r="197" spans="1:7" x14ac:dyDescent="0.2">
      <c r="G197" s="146" t="s">
        <v>1904</v>
      </c>
    </row>
    <row r="198" spans="1:7" x14ac:dyDescent="0.2">
      <c r="G198" s="146" t="s">
        <v>1905</v>
      </c>
    </row>
    <row r="199" spans="1:7" x14ac:dyDescent="0.2">
      <c r="A199" s="1" t="s">
        <v>1907</v>
      </c>
      <c r="G199" s="146" t="s">
        <v>1906</v>
      </c>
    </row>
    <row r="200" spans="1:7" x14ac:dyDescent="0.2">
      <c r="A200" s="1" t="s">
        <v>1908</v>
      </c>
    </row>
    <row r="202" spans="1:7" x14ac:dyDescent="0.2">
      <c r="A202" s="2" t="s">
        <v>1909</v>
      </c>
    </row>
    <row r="203" spans="1:7" x14ac:dyDescent="0.2">
      <c r="A203" s="2" t="s">
        <v>1910</v>
      </c>
    </row>
    <row r="205" spans="1:7" x14ac:dyDescent="0.2">
      <c r="B205" s="261">
        <f>500000*0.96</f>
        <v>480000</v>
      </c>
    </row>
    <row r="207" spans="1:7" x14ac:dyDescent="0.2">
      <c r="B207" s="261">
        <f>500000*1.01^24</f>
        <v>634867.32426595746</v>
      </c>
    </row>
    <row r="209" spans="1:2" x14ac:dyDescent="0.2">
      <c r="B209" s="1" t="s">
        <v>1911</v>
      </c>
    </row>
    <row r="210" spans="1:2" x14ac:dyDescent="0.2">
      <c r="B210" s="1" t="s">
        <v>1912</v>
      </c>
    </row>
    <row r="211" spans="1:2" x14ac:dyDescent="0.2">
      <c r="B211" s="1" t="s">
        <v>1913</v>
      </c>
    </row>
    <row r="212" spans="1:2" x14ac:dyDescent="0.2">
      <c r="B212" s="1" t="s">
        <v>1914</v>
      </c>
    </row>
    <row r="213" spans="1:2" x14ac:dyDescent="0.2">
      <c r="B213" s="1" t="s">
        <v>1915</v>
      </c>
    </row>
    <row r="214" spans="1:2" x14ac:dyDescent="0.2">
      <c r="B214" s="1" t="s">
        <v>1916</v>
      </c>
    </row>
    <row r="216" spans="1:2" x14ac:dyDescent="0.2">
      <c r="B216" s="262">
        <f>B207/B205-1</f>
        <v>0.32264025888741132</v>
      </c>
    </row>
    <row r="217" spans="1:2" x14ac:dyDescent="0.2">
      <c r="B217" s="1" t="s">
        <v>1142</v>
      </c>
    </row>
    <row r="218" spans="1:2" x14ac:dyDescent="0.2">
      <c r="B218" s="1" t="s">
        <v>1917</v>
      </c>
    </row>
    <row r="219" spans="1:2" x14ac:dyDescent="0.2">
      <c r="B219" s="1" t="s">
        <v>1918</v>
      </c>
    </row>
    <row r="221" spans="1:2" x14ac:dyDescent="0.2">
      <c r="A221" s="2" t="s">
        <v>1919</v>
      </c>
    </row>
    <row r="225" spans="1:8" x14ac:dyDescent="0.2">
      <c r="B225" s="20">
        <f>(1+B216)^0.5-1</f>
        <v>0.15006098050816918</v>
      </c>
    </row>
    <row r="226" spans="1:8" x14ac:dyDescent="0.2">
      <c r="B226" s="1" t="s">
        <v>1920</v>
      </c>
    </row>
    <row r="228" spans="1:8" x14ac:dyDescent="0.2">
      <c r="A228" s="1" t="s">
        <v>1922</v>
      </c>
    </row>
    <row r="229" spans="1:8" x14ac:dyDescent="0.2">
      <c r="A229" s="1" t="s">
        <v>1921</v>
      </c>
    </row>
    <row r="231" spans="1:8" x14ac:dyDescent="0.2">
      <c r="A231" s="263" t="s">
        <v>1924</v>
      </c>
      <c r="B231" s="263"/>
      <c r="C231" s="263"/>
      <c r="D231" s="263"/>
      <c r="E231" s="263"/>
      <c r="F231" s="263"/>
      <c r="G231" s="263"/>
      <c r="H231" s="263"/>
    </row>
    <row r="233" spans="1:8" x14ac:dyDescent="0.2">
      <c r="A233" s="2" t="s">
        <v>1923</v>
      </c>
    </row>
    <row r="258" spans="1:5" x14ac:dyDescent="0.2">
      <c r="A258" s="2" t="s">
        <v>1925</v>
      </c>
    </row>
    <row r="268" spans="1:5" x14ac:dyDescent="0.2">
      <c r="A268" s="1" t="s">
        <v>27</v>
      </c>
    </row>
    <row r="270" spans="1:5" x14ac:dyDescent="0.2">
      <c r="A270" s="1" t="s">
        <v>1926</v>
      </c>
      <c r="B270" s="1" t="s">
        <v>1142</v>
      </c>
      <c r="E270" s="1" t="s">
        <v>1928</v>
      </c>
    </row>
    <row r="271" spans="1:5" x14ac:dyDescent="0.2">
      <c r="A271" s="1" t="s">
        <v>290</v>
      </c>
      <c r="B271" s="264">
        <f>(1+10%/4)^4-1</f>
        <v>0.10381289062499977</v>
      </c>
      <c r="C271" s="1" t="s">
        <v>1927</v>
      </c>
    </row>
    <row r="272" spans="1:5" x14ac:dyDescent="0.2">
      <c r="A272" s="1" t="s">
        <v>291</v>
      </c>
      <c r="B272" s="265">
        <f>(1+4%)^2-1</f>
        <v>8.1600000000000117E-2</v>
      </c>
    </row>
    <row r="273" spans="1:7" x14ac:dyDescent="0.2">
      <c r="A273" s="1" t="s">
        <v>292</v>
      </c>
      <c r="B273" s="265">
        <f>(1+3%/6)^12-1</f>
        <v>6.1677811864497611E-2</v>
      </c>
    </row>
    <row r="274" spans="1:7" x14ac:dyDescent="0.2">
      <c r="A274" s="1" t="s">
        <v>1070</v>
      </c>
      <c r="B274" s="265">
        <f>(1+10%)^1-1</f>
        <v>0.10000000000000009</v>
      </c>
    </row>
    <row r="276" spans="1:7" x14ac:dyDescent="0.2">
      <c r="A276" s="2" t="s">
        <v>1957</v>
      </c>
    </row>
    <row r="278" spans="1:7" x14ac:dyDescent="0.2">
      <c r="A278" s="1" t="s">
        <v>1958</v>
      </c>
    </row>
    <row r="279" spans="1:7" x14ac:dyDescent="0.2">
      <c r="A279" s="1" t="s">
        <v>1959</v>
      </c>
    </row>
    <row r="280" spans="1:7" x14ac:dyDescent="0.2">
      <c r="A280" s="1" t="s">
        <v>1960</v>
      </c>
    </row>
    <row r="281" spans="1:7" x14ac:dyDescent="0.2">
      <c r="G281" s="1" t="s">
        <v>1965</v>
      </c>
    </row>
    <row r="282" spans="1:7" x14ac:dyDescent="0.2">
      <c r="C282" s="1" t="s">
        <v>960</v>
      </c>
    </row>
    <row r="283" spans="1:7" x14ac:dyDescent="0.2">
      <c r="C283" s="1" t="s">
        <v>1761</v>
      </c>
      <c r="D283" s="1" t="s">
        <v>1961</v>
      </c>
    </row>
    <row r="284" spans="1:7" x14ac:dyDescent="0.2">
      <c r="C284" s="1" t="s">
        <v>45</v>
      </c>
      <c r="D284" s="1" t="s">
        <v>1962</v>
      </c>
    </row>
    <row r="285" spans="1:7" x14ac:dyDescent="0.2">
      <c r="C285" s="1" t="s">
        <v>1764</v>
      </c>
      <c r="D285" s="1" t="s">
        <v>1963</v>
      </c>
    </row>
    <row r="287" spans="1:7" x14ac:dyDescent="0.2">
      <c r="B287" s="1" t="s">
        <v>1964</v>
      </c>
      <c r="D287" s="139">
        <f>1.025^4-1</f>
        <v>0.10381289062499977</v>
      </c>
      <c r="G287" s="1" t="s">
        <v>1966</v>
      </c>
    </row>
    <row r="289" spans="1:7" x14ac:dyDescent="0.2">
      <c r="B289" s="1" t="s">
        <v>1967</v>
      </c>
    </row>
    <row r="290" spans="1:7" x14ac:dyDescent="0.2">
      <c r="B290" s="1" t="s">
        <v>1968</v>
      </c>
    </row>
    <row r="291" spans="1:7" x14ac:dyDescent="0.2">
      <c r="B291" s="1" t="s">
        <v>1969</v>
      </c>
    </row>
    <row r="292" spans="1:7" x14ac:dyDescent="0.2">
      <c r="B292" s="1" t="s">
        <v>1970</v>
      </c>
    </row>
    <row r="294" spans="1:7" x14ac:dyDescent="0.2">
      <c r="A294" s="1" t="s">
        <v>1971</v>
      </c>
    </row>
    <row r="295" spans="1:7" x14ac:dyDescent="0.2">
      <c r="A295" s="1" t="s">
        <v>1972</v>
      </c>
    </row>
    <row r="296" spans="1:7" x14ac:dyDescent="0.2">
      <c r="G296" s="1" t="s">
        <v>1965</v>
      </c>
    </row>
    <row r="297" spans="1:7" x14ac:dyDescent="0.2">
      <c r="B297" s="1" t="s">
        <v>1973</v>
      </c>
    </row>
    <row r="298" spans="1:7" x14ac:dyDescent="0.2">
      <c r="D298" s="139">
        <f>1.04^2-1</f>
        <v>8.1600000000000117E-2</v>
      </c>
      <c r="E298" s="1" t="s">
        <v>138</v>
      </c>
      <c r="G298" s="1" t="s">
        <v>1974</v>
      </c>
    </row>
    <row r="300" spans="1:7" x14ac:dyDescent="0.2">
      <c r="B300" s="1" t="s">
        <v>1131</v>
      </c>
    </row>
    <row r="301" spans="1:7" x14ac:dyDescent="0.2">
      <c r="B301" s="1" t="s">
        <v>1975</v>
      </c>
    </row>
    <row r="302" spans="1:7" x14ac:dyDescent="0.2">
      <c r="B302" s="1" t="s">
        <v>1976</v>
      </c>
    </row>
    <row r="303" spans="1:7" x14ac:dyDescent="0.2">
      <c r="B303" s="1" t="s">
        <v>1977</v>
      </c>
    </row>
    <row r="304" spans="1:7" x14ac:dyDescent="0.2">
      <c r="B304" s="1" t="s">
        <v>1978</v>
      </c>
    </row>
    <row r="306" spans="1:7" x14ac:dyDescent="0.2">
      <c r="B306" s="1" t="s">
        <v>1979</v>
      </c>
    </row>
    <row r="307" spans="1:7" x14ac:dyDescent="0.2">
      <c r="B307" s="1" t="s">
        <v>1980</v>
      </c>
    </row>
    <row r="308" spans="1:7" x14ac:dyDescent="0.2">
      <c r="B308" s="1" t="s">
        <v>1981</v>
      </c>
    </row>
    <row r="310" spans="1:7" x14ac:dyDescent="0.2">
      <c r="A310" s="1" t="s">
        <v>1982</v>
      </c>
    </row>
    <row r="311" spans="1:7" x14ac:dyDescent="0.2">
      <c r="A311" s="1" t="s">
        <v>1972</v>
      </c>
    </row>
    <row r="312" spans="1:7" x14ac:dyDescent="0.2">
      <c r="G312" s="1" t="s">
        <v>1965</v>
      </c>
    </row>
    <row r="314" spans="1:7" x14ac:dyDescent="0.2">
      <c r="B314" s="1" t="s">
        <v>1973</v>
      </c>
    </row>
    <row r="315" spans="1:7" x14ac:dyDescent="0.2">
      <c r="D315" s="139">
        <f>1.005^12-1</f>
        <v>6.1677811864497611E-2</v>
      </c>
      <c r="E315" s="1" t="s">
        <v>138</v>
      </c>
      <c r="G315" s="1" t="s">
        <v>1983</v>
      </c>
    </row>
    <row r="317" spans="1:7" x14ac:dyDescent="0.2">
      <c r="B317" s="1" t="s">
        <v>1131</v>
      </c>
    </row>
    <row r="318" spans="1:7" x14ac:dyDescent="0.2">
      <c r="B318" s="1" t="s">
        <v>1984</v>
      </c>
    </row>
    <row r="319" spans="1:7" x14ac:dyDescent="0.2">
      <c r="B319" s="1" t="s">
        <v>1985</v>
      </c>
    </row>
    <row r="320" spans="1:7" x14ac:dyDescent="0.2">
      <c r="B320" s="1" t="s">
        <v>1986</v>
      </c>
    </row>
    <row r="321" spans="1:9" x14ac:dyDescent="0.2">
      <c r="B321" s="1" t="s">
        <v>1987</v>
      </c>
    </row>
    <row r="323" spans="1:9" x14ac:dyDescent="0.2">
      <c r="B323" s="1" t="s">
        <v>1988</v>
      </c>
    </row>
    <row r="324" spans="1:9" x14ac:dyDescent="0.2">
      <c r="B324" s="1" t="s">
        <v>1989</v>
      </c>
    </row>
    <row r="325" spans="1:9" x14ac:dyDescent="0.2">
      <c r="B325" s="1" t="s">
        <v>1990</v>
      </c>
    </row>
    <row r="327" spans="1:9" x14ac:dyDescent="0.2">
      <c r="A327" s="1" t="s">
        <v>1991</v>
      </c>
    </row>
    <row r="328" spans="1:9" x14ac:dyDescent="0.2">
      <c r="B328" s="1" t="s">
        <v>1972</v>
      </c>
    </row>
    <row r="329" spans="1:9" x14ac:dyDescent="0.2">
      <c r="I329" s="1" t="s">
        <v>1965</v>
      </c>
    </row>
    <row r="330" spans="1:9" x14ac:dyDescent="0.2">
      <c r="C330" s="1" t="s">
        <v>1973</v>
      </c>
    </row>
    <row r="331" spans="1:9" x14ac:dyDescent="0.2">
      <c r="E331" s="139">
        <v>0.1</v>
      </c>
      <c r="F331" s="1" t="s">
        <v>138</v>
      </c>
      <c r="I331" s="1" t="s">
        <v>1992</v>
      </c>
    </row>
    <row r="333" spans="1:9" x14ac:dyDescent="0.2">
      <c r="B333" s="1" t="s">
        <v>1131</v>
      </c>
    </row>
    <row r="334" spans="1:9" x14ac:dyDescent="0.2">
      <c r="B334" s="1" t="s">
        <v>1993</v>
      </c>
    </row>
    <row r="335" spans="1:9" x14ac:dyDescent="0.2">
      <c r="B335" s="1" t="s">
        <v>1994</v>
      </c>
    </row>
    <row r="336" spans="1:9" x14ac:dyDescent="0.2">
      <c r="B336" s="1" t="s">
        <v>1995</v>
      </c>
    </row>
    <row r="337" spans="1:8" x14ac:dyDescent="0.2">
      <c r="B337" s="1" t="s">
        <v>1996</v>
      </c>
    </row>
    <row r="339" spans="1:8" x14ac:dyDescent="0.2">
      <c r="A339" s="2" t="s">
        <v>1929</v>
      </c>
    </row>
    <row r="340" spans="1:8" x14ac:dyDescent="0.2">
      <c r="A340" s="266" t="s">
        <v>1930</v>
      </c>
      <c r="B340" s="266"/>
      <c r="C340" s="266"/>
      <c r="D340" s="266"/>
      <c r="E340" s="266"/>
      <c r="F340" s="266"/>
      <c r="G340" s="266"/>
      <c r="H340" s="266"/>
    </row>
    <row r="341" spans="1:8" x14ac:dyDescent="0.2">
      <c r="A341" s="266" t="s">
        <v>1931</v>
      </c>
      <c r="B341" s="266"/>
      <c r="C341" s="266"/>
      <c r="D341" s="266"/>
      <c r="E341" s="267"/>
      <c r="F341" s="267"/>
      <c r="G341" s="267"/>
      <c r="H341" s="267"/>
    </row>
    <row r="342" spans="1:8" x14ac:dyDescent="0.2">
      <c r="A342" s="266" t="s">
        <v>1932</v>
      </c>
      <c r="B342" s="266"/>
      <c r="C342" s="266"/>
      <c r="D342" s="266"/>
      <c r="E342" s="267"/>
      <c r="F342" s="267"/>
      <c r="G342" s="267"/>
      <c r="H342" s="267"/>
    </row>
    <row r="343" spans="1:8" x14ac:dyDescent="0.2">
      <c r="A343" s="266" t="s">
        <v>1933</v>
      </c>
      <c r="B343" s="266"/>
      <c r="C343" s="266"/>
      <c r="D343" s="266"/>
      <c r="E343" s="267"/>
      <c r="F343" s="267"/>
      <c r="G343" s="267"/>
      <c r="H343" s="267"/>
    </row>
    <row r="344" spans="1:8" x14ac:dyDescent="0.2">
      <c r="A344" s="266" t="s">
        <v>1934</v>
      </c>
      <c r="B344" s="266"/>
      <c r="C344" s="266"/>
      <c r="D344" s="266"/>
      <c r="E344" s="267"/>
      <c r="F344" s="267"/>
      <c r="G344" s="267"/>
      <c r="H344" s="267"/>
    </row>
    <row r="345" spans="1:8" x14ac:dyDescent="0.2">
      <c r="A345" s="267"/>
      <c r="B345" s="267"/>
      <c r="C345" s="267"/>
      <c r="D345" s="267"/>
      <c r="E345" s="267"/>
      <c r="F345" s="267"/>
      <c r="G345" s="267"/>
      <c r="H345" s="267"/>
    </row>
    <row r="346" spans="1:8" x14ac:dyDescent="0.2">
      <c r="A346" s="266" t="s">
        <v>1935</v>
      </c>
      <c r="B346" s="266"/>
      <c r="C346" s="266"/>
      <c r="D346" s="266"/>
      <c r="E346" s="266"/>
      <c r="F346" s="266"/>
      <c r="G346" s="267"/>
      <c r="H346" s="267"/>
    </row>
    <row r="347" spans="1:8" x14ac:dyDescent="0.2">
      <c r="A347" s="267"/>
      <c r="B347" s="267"/>
      <c r="C347" s="267"/>
      <c r="D347" s="267"/>
      <c r="E347" s="267"/>
      <c r="F347" s="267"/>
      <c r="G347" s="267"/>
      <c r="H347" s="267"/>
    </row>
    <row r="348" spans="1:8" x14ac:dyDescent="0.2">
      <c r="A348" s="267" t="s">
        <v>1939</v>
      </c>
      <c r="B348" s="267"/>
      <c r="C348" s="267"/>
      <c r="D348" s="267"/>
      <c r="E348" s="267"/>
      <c r="F348" s="267"/>
      <c r="G348" s="267"/>
      <c r="H348" s="267"/>
    </row>
    <row r="349" spans="1:8" x14ac:dyDescent="0.2">
      <c r="A349" s="267"/>
      <c r="B349" s="267"/>
      <c r="C349" s="267"/>
      <c r="D349" s="267"/>
      <c r="E349" s="267"/>
      <c r="F349" s="267"/>
      <c r="G349" s="267"/>
      <c r="H349" s="267"/>
    </row>
    <row r="350" spans="1:8" x14ac:dyDescent="0.2">
      <c r="A350" s="266" t="s">
        <v>1936</v>
      </c>
      <c r="B350" s="266" t="s">
        <v>1937</v>
      </c>
      <c r="C350" s="267"/>
      <c r="D350" s="267"/>
      <c r="E350" s="267"/>
      <c r="F350" s="267"/>
      <c r="G350" s="267"/>
      <c r="H350" s="267"/>
    </row>
    <row r="351" spans="1:8" x14ac:dyDescent="0.2">
      <c r="A351" s="266" t="s">
        <v>290</v>
      </c>
      <c r="B351" s="268">
        <v>8.2400000000000001E-2</v>
      </c>
      <c r="C351" s="267"/>
      <c r="D351" s="267"/>
      <c r="E351" s="267"/>
      <c r="F351" s="267"/>
      <c r="G351" s="267"/>
      <c r="H351" s="267"/>
    </row>
    <row r="352" spans="1:8" x14ac:dyDescent="0.2">
      <c r="A352" s="266" t="s">
        <v>291</v>
      </c>
      <c r="B352" s="268">
        <v>0.08</v>
      </c>
      <c r="C352" s="267"/>
      <c r="D352" s="266" t="s">
        <v>1938</v>
      </c>
      <c r="E352" s="266"/>
      <c r="F352" s="266"/>
      <c r="G352" s="267"/>
      <c r="H352" s="267"/>
    </row>
    <row r="353" spans="1:8" x14ac:dyDescent="0.2">
      <c r="A353" s="266" t="s">
        <v>292</v>
      </c>
      <c r="B353" s="268">
        <v>0.1038</v>
      </c>
      <c r="C353" s="267"/>
      <c r="D353" s="267"/>
      <c r="E353" s="267"/>
      <c r="F353" s="267"/>
      <c r="G353" s="267"/>
      <c r="H353" s="267"/>
    </row>
    <row r="354" spans="1:8" x14ac:dyDescent="0.2">
      <c r="A354" s="266" t="s">
        <v>1070</v>
      </c>
      <c r="B354" s="268">
        <v>0.09</v>
      </c>
      <c r="C354" s="267"/>
      <c r="D354" s="267"/>
      <c r="E354" s="267"/>
      <c r="F354" s="267"/>
      <c r="G354" s="267"/>
      <c r="H354" s="267"/>
    </row>
    <row r="355" spans="1:8" x14ac:dyDescent="0.2">
      <c r="A355" s="266"/>
      <c r="B355" s="268"/>
      <c r="C355" s="267"/>
      <c r="D355" s="267"/>
      <c r="E355" s="267"/>
      <c r="F355" s="267"/>
      <c r="G355" s="267"/>
      <c r="H355" s="267"/>
    </row>
    <row r="356" spans="1:8" x14ac:dyDescent="0.2">
      <c r="A356" s="2" t="s">
        <v>1940</v>
      </c>
      <c r="B356" s="1" t="s">
        <v>1947</v>
      </c>
    </row>
    <row r="357" spans="1:8" x14ac:dyDescent="0.2">
      <c r="A357" s="1" t="s">
        <v>1941</v>
      </c>
    </row>
    <row r="358" spans="1:8" x14ac:dyDescent="0.2">
      <c r="A358" s="1" t="s">
        <v>1942</v>
      </c>
    </row>
    <row r="359" spans="1:8" x14ac:dyDescent="0.2">
      <c r="A359" s="1" t="s">
        <v>1943</v>
      </c>
    </row>
    <row r="360" spans="1:8" x14ac:dyDescent="0.2">
      <c r="A360" s="1" t="s">
        <v>1944</v>
      </c>
    </row>
    <row r="361" spans="1:8" x14ac:dyDescent="0.2">
      <c r="A361" s="1" t="s">
        <v>1945</v>
      </c>
    </row>
    <row r="362" spans="1:8" x14ac:dyDescent="0.2">
      <c r="A362" s="1" t="s">
        <v>1955</v>
      </c>
    </row>
    <row r="364" spans="1:8" x14ac:dyDescent="0.2">
      <c r="A364" s="1" t="s">
        <v>711</v>
      </c>
    </row>
    <row r="365" spans="1:8" x14ac:dyDescent="0.2">
      <c r="A365" s="1" t="s">
        <v>1946</v>
      </c>
    </row>
    <row r="367" spans="1:8" x14ac:dyDescent="0.2">
      <c r="A367" s="1" t="s">
        <v>1948</v>
      </c>
      <c r="B367" s="139">
        <f>(1+10%/2)^2-1</f>
        <v>0.10250000000000004</v>
      </c>
    </row>
    <row r="368" spans="1:8" x14ac:dyDescent="0.2">
      <c r="B368" s="139"/>
    </row>
    <row r="369" spans="1:6" x14ac:dyDescent="0.2">
      <c r="A369" s="1" t="s">
        <v>1949</v>
      </c>
      <c r="B369" s="139">
        <f>(1+4%/6)^12-1</f>
        <v>8.2999506807510004E-2</v>
      </c>
    </row>
    <row r="370" spans="1:6" x14ac:dyDescent="0.2">
      <c r="B370" s="139"/>
    </row>
    <row r="371" spans="1:6" x14ac:dyDescent="0.2">
      <c r="A371" s="1" t="s">
        <v>1950</v>
      </c>
      <c r="B371" s="139">
        <f>F372</f>
        <v>0.10756634324829006</v>
      </c>
      <c r="C371" s="1" t="s">
        <v>1951</v>
      </c>
      <c r="F371" s="140">
        <f>1/0.6-1</f>
        <v>0.66666666666666674</v>
      </c>
    </row>
    <row r="372" spans="1:6" x14ac:dyDescent="0.2">
      <c r="B372" s="139"/>
      <c r="C372" s="1" t="s">
        <v>1952</v>
      </c>
      <c r="F372" s="140">
        <f>(1+F371)^0.2-1</f>
        <v>0.10756634324829006</v>
      </c>
    </row>
    <row r="373" spans="1:6" x14ac:dyDescent="0.2">
      <c r="B373" s="139"/>
    </row>
    <row r="374" spans="1:6" x14ac:dyDescent="0.2">
      <c r="A374" s="1" t="s">
        <v>1953</v>
      </c>
      <c r="B374" s="139">
        <f>F375</f>
        <v>9.7162601985732788E-2</v>
      </c>
      <c r="C374" s="1" t="s">
        <v>1951</v>
      </c>
      <c r="F374" s="139">
        <f>D412</f>
        <v>0.58984570830160621</v>
      </c>
    </row>
    <row r="375" spans="1:6" x14ac:dyDescent="0.2">
      <c r="C375" s="1" t="s">
        <v>1954</v>
      </c>
      <c r="F375" s="139">
        <f>(1+F374)^0.2-1</f>
        <v>9.7162601985732788E-2</v>
      </c>
    </row>
    <row r="376" spans="1:6" x14ac:dyDescent="0.2">
      <c r="F376" s="139"/>
    </row>
    <row r="377" spans="1:6" x14ac:dyDescent="0.2">
      <c r="A377" s="2" t="s">
        <v>1956</v>
      </c>
      <c r="F377" s="139"/>
    </row>
    <row r="378" spans="1:6" x14ac:dyDescent="0.2">
      <c r="F378" s="139"/>
    </row>
    <row r="379" spans="1:6" x14ac:dyDescent="0.2">
      <c r="A379" s="2" t="s">
        <v>2201</v>
      </c>
      <c r="F379" s="139"/>
    </row>
    <row r="380" spans="1:6" x14ac:dyDescent="0.2">
      <c r="A380" s="1" t="s">
        <v>2202</v>
      </c>
      <c r="F380" s="139"/>
    </row>
    <row r="381" spans="1:6" x14ac:dyDescent="0.2">
      <c r="A381" s="1" t="s">
        <v>2203</v>
      </c>
      <c r="F381" s="305" t="s">
        <v>2204</v>
      </c>
    </row>
    <row r="382" spans="1:6" x14ac:dyDescent="0.2">
      <c r="F382" s="139"/>
    </row>
    <row r="383" spans="1:6" x14ac:dyDescent="0.2">
      <c r="A383" s="1" t="s">
        <v>2205</v>
      </c>
      <c r="E383" s="139">
        <f>1/0.6-1</f>
        <v>0.66666666666666674</v>
      </c>
      <c r="F383" s="305" t="s">
        <v>2206</v>
      </c>
    </row>
    <row r="384" spans="1:6" x14ac:dyDescent="0.2">
      <c r="F384" s="139"/>
    </row>
    <row r="385" spans="1:6" x14ac:dyDescent="0.2">
      <c r="A385" s="1" t="s">
        <v>2207</v>
      </c>
      <c r="F385" s="139"/>
    </row>
    <row r="386" spans="1:6" x14ac:dyDescent="0.2">
      <c r="F386" s="139"/>
    </row>
    <row r="387" spans="1:6" x14ac:dyDescent="0.2">
      <c r="A387" s="1" t="s">
        <v>796</v>
      </c>
      <c r="C387" s="156">
        <f>F372</f>
        <v>0.10756634324829006</v>
      </c>
      <c r="F387" s="139" t="s">
        <v>2208</v>
      </c>
    </row>
    <row r="388" spans="1:6" x14ac:dyDescent="0.2">
      <c r="F388" s="139"/>
    </row>
    <row r="389" spans="1:6" x14ac:dyDescent="0.2">
      <c r="F389" s="139"/>
    </row>
    <row r="390" spans="1:6" x14ac:dyDescent="0.2">
      <c r="F390" s="139"/>
    </row>
    <row r="391" spans="1:6" x14ac:dyDescent="0.2">
      <c r="F391" s="139"/>
    </row>
    <row r="392" spans="1:6" x14ac:dyDescent="0.2">
      <c r="A392" s="1" t="s">
        <v>2200</v>
      </c>
      <c r="F392" s="139"/>
    </row>
    <row r="393" spans="1:6" x14ac:dyDescent="0.2">
      <c r="A393" s="1" t="s">
        <v>2176</v>
      </c>
      <c r="F393" s="139"/>
    </row>
    <row r="394" spans="1:6" x14ac:dyDescent="0.2">
      <c r="F394" s="139"/>
    </row>
    <row r="395" spans="1:6" x14ac:dyDescent="0.2">
      <c r="A395" s="1" t="s">
        <v>2185</v>
      </c>
      <c r="F395" s="139"/>
    </row>
    <row r="396" spans="1:6" x14ac:dyDescent="0.2">
      <c r="A396" s="1" t="s">
        <v>2186</v>
      </c>
      <c r="F396" s="139"/>
    </row>
    <row r="397" spans="1:6" x14ac:dyDescent="0.2">
      <c r="A397" s="1" t="s">
        <v>2187</v>
      </c>
      <c r="F397" s="1" t="s">
        <v>2184</v>
      </c>
    </row>
    <row r="399" spans="1:6" x14ac:dyDescent="0.2">
      <c r="A399" s="1" t="s">
        <v>2188</v>
      </c>
    </row>
    <row r="400" spans="1:6" x14ac:dyDescent="0.2">
      <c r="F400" s="139"/>
    </row>
    <row r="401" spans="1:8" x14ac:dyDescent="0.2">
      <c r="C401" s="59">
        <v>5</v>
      </c>
      <c r="D401" s="59"/>
      <c r="E401" s="59"/>
      <c r="F401" s="59">
        <v>0</v>
      </c>
      <c r="G401" s="12"/>
    </row>
    <row r="402" spans="1:8" x14ac:dyDescent="0.2">
      <c r="A402" s="1" t="s">
        <v>2177</v>
      </c>
      <c r="C402" s="12">
        <f>0.1*1</f>
        <v>0.1</v>
      </c>
      <c r="D402" s="12"/>
      <c r="E402" s="12"/>
      <c r="F402" s="12">
        <v>1</v>
      </c>
      <c r="G402" s="12" t="s">
        <v>2183</v>
      </c>
    </row>
    <row r="403" spans="1:8" x14ac:dyDescent="0.2">
      <c r="A403" s="1" t="s">
        <v>2178</v>
      </c>
      <c r="C403" s="152">
        <f>1*(1+2%/3)^60</f>
        <v>1.4898457083016061</v>
      </c>
      <c r="D403" s="12"/>
      <c r="E403" s="12"/>
      <c r="F403" s="12"/>
      <c r="G403" s="12"/>
    </row>
    <row r="404" spans="1:8" x14ac:dyDescent="0.2">
      <c r="A404" s="1" t="s">
        <v>2179</v>
      </c>
      <c r="C404" s="152">
        <f>C402+C403</f>
        <v>1.5898457083016062</v>
      </c>
      <c r="D404" s="12" t="s">
        <v>2182</v>
      </c>
      <c r="E404" s="12"/>
      <c r="F404" s="12"/>
      <c r="G404" s="12"/>
    </row>
    <row r="406" spans="1:8" x14ac:dyDescent="0.2">
      <c r="A406" s="1" t="s">
        <v>2189</v>
      </c>
    </row>
    <row r="407" spans="1:8" x14ac:dyDescent="0.2">
      <c r="A407" s="1" t="s">
        <v>2190</v>
      </c>
      <c r="E407" s="304">
        <f>C403</f>
        <v>1.4898457083016061</v>
      </c>
      <c r="G407" s="1" t="s">
        <v>2191</v>
      </c>
    </row>
    <row r="408" spans="1:8" x14ac:dyDescent="0.2">
      <c r="E408" s="304"/>
    </row>
    <row r="409" spans="1:8" x14ac:dyDescent="0.2">
      <c r="A409" s="1" t="s">
        <v>2192</v>
      </c>
      <c r="E409" s="304"/>
    </row>
    <row r="410" spans="1:8" x14ac:dyDescent="0.2">
      <c r="A410" s="1" t="s">
        <v>2193</v>
      </c>
      <c r="E410" s="304"/>
    </row>
    <row r="412" spans="1:8" x14ac:dyDescent="0.2">
      <c r="A412" s="1" t="s">
        <v>2180</v>
      </c>
      <c r="D412" s="303">
        <f>C404/F402-1</f>
        <v>0.58984570830160621</v>
      </c>
      <c r="F412" s="12" t="s">
        <v>2181</v>
      </c>
      <c r="H412" s="1" t="s">
        <v>2184</v>
      </c>
    </row>
    <row r="414" spans="1:8" x14ac:dyDescent="0.2">
      <c r="A414" s="1" t="s">
        <v>2194</v>
      </c>
    </row>
    <row r="415" spans="1:8" x14ac:dyDescent="0.2">
      <c r="A415" s="1" t="s">
        <v>2195</v>
      </c>
    </row>
    <row r="417" spans="1:7" x14ac:dyDescent="0.2">
      <c r="A417" s="1" t="s">
        <v>2196</v>
      </c>
    </row>
    <row r="418" spans="1:7" x14ac:dyDescent="0.2">
      <c r="A418" s="1" t="s">
        <v>2197</v>
      </c>
    </row>
    <row r="420" spans="1:7" x14ac:dyDescent="0.2">
      <c r="A420" s="1" t="s">
        <v>2198</v>
      </c>
      <c r="E420" s="139">
        <f>(1+D412)^0.2-1</f>
        <v>9.7162601985732788E-2</v>
      </c>
      <c r="G420" s="1" t="s">
        <v>2199</v>
      </c>
    </row>
  </sheetData>
  <mergeCells count="3">
    <mergeCell ref="E83:E84"/>
    <mergeCell ref="E117:E118"/>
    <mergeCell ref="D169:D17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L381"/>
  <sheetViews>
    <sheetView rightToLeft="1" tabSelected="1" topLeftCell="A18" zoomScale="160" zoomScaleNormal="160" workbookViewId="0">
      <selection activeCell="A274" sqref="A274"/>
    </sheetView>
  </sheetViews>
  <sheetFormatPr baseColWidth="10" defaultRowHeight="16" x14ac:dyDescent="0.2"/>
  <cols>
    <col min="1" max="2" width="10.83203125" style="1"/>
    <col min="3" max="3" width="11.5" style="1" customWidth="1"/>
    <col min="4" max="5" width="10.83203125" style="1"/>
    <col min="6" max="6" width="11.6640625" style="1" bestFit="1" customWidth="1"/>
    <col min="7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2175</v>
      </c>
      <c r="B1" s="29"/>
      <c r="C1" s="29"/>
      <c r="D1" s="29"/>
      <c r="E1" s="29"/>
      <c r="F1" s="29"/>
      <c r="G1" s="29"/>
      <c r="H1" s="138">
        <v>45915</v>
      </c>
    </row>
    <row r="3" spans="1:8" ht="31" x14ac:dyDescent="0.35">
      <c r="A3" s="144" t="s">
        <v>1997</v>
      </c>
    </row>
    <row r="5" spans="1:8" x14ac:dyDescent="0.2">
      <c r="A5" s="1" t="s">
        <v>1998</v>
      </c>
    </row>
    <row r="6" spans="1:8" x14ac:dyDescent="0.2">
      <c r="A6" s="1" t="s">
        <v>1999</v>
      </c>
    </row>
    <row r="7" spans="1:8" x14ac:dyDescent="0.2">
      <c r="A7" s="1" t="s">
        <v>2000</v>
      </c>
    </row>
    <row r="9" spans="1:8" x14ac:dyDescent="0.2">
      <c r="A9" s="1" t="s">
        <v>2001</v>
      </c>
    </row>
    <row r="10" spans="1:8" x14ac:dyDescent="0.2">
      <c r="A10" s="1" t="s">
        <v>2002</v>
      </c>
    </row>
    <row r="12" spans="1:8" x14ac:dyDescent="0.2">
      <c r="A12" s="1" t="s">
        <v>2003</v>
      </c>
    </row>
    <row r="13" spans="1:8" x14ac:dyDescent="0.2">
      <c r="A13" s="1" t="s">
        <v>2004</v>
      </c>
    </row>
    <row r="14" spans="1:8" x14ac:dyDescent="0.2">
      <c r="A14" s="1" t="s">
        <v>2005</v>
      </c>
    </row>
    <row r="15" spans="1:8" x14ac:dyDescent="0.2">
      <c r="B15" s="12" t="s">
        <v>2006</v>
      </c>
      <c r="C15" s="1" t="s">
        <v>2007</v>
      </c>
    </row>
    <row r="16" spans="1:8" x14ac:dyDescent="0.2">
      <c r="B16" s="12" t="s">
        <v>2008</v>
      </c>
      <c r="C16" s="1" t="s">
        <v>2009</v>
      </c>
    </row>
    <row r="18" spans="1:8" x14ac:dyDescent="0.2">
      <c r="A18" s="88" t="s">
        <v>2010</v>
      </c>
      <c r="B18" s="88"/>
      <c r="C18" s="88"/>
      <c r="D18" s="88"/>
      <c r="E18" s="88"/>
      <c r="F18" s="88"/>
      <c r="G18" s="88"/>
      <c r="H18" s="88"/>
    </row>
    <row r="20" spans="1:8" x14ac:dyDescent="0.2">
      <c r="A20" s="2" t="s">
        <v>2011</v>
      </c>
    </row>
    <row r="21" spans="1:8" x14ac:dyDescent="0.2">
      <c r="B21" s="1" t="s">
        <v>2012</v>
      </c>
    </row>
    <row r="22" spans="1:8" x14ac:dyDescent="0.2">
      <c r="B22" s="1" t="s">
        <v>2013</v>
      </c>
    </row>
    <row r="24" spans="1:8" x14ac:dyDescent="0.2">
      <c r="A24" s="2" t="s">
        <v>2014</v>
      </c>
    </row>
    <row r="26" spans="1:8" x14ac:dyDescent="0.2">
      <c r="B26" s="1" t="s">
        <v>2015</v>
      </c>
    </row>
    <row r="28" spans="1:8" x14ac:dyDescent="0.2">
      <c r="B28" s="59" t="s">
        <v>2017</v>
      </c>
      <c r="C28" s="59">
        <v>0</v>
      </c>
      <c r="D28" s="59">
        <v>1</v>
      </c>
      <c r="E28" s="59">
        <v>2</v>
      </c>
      <c r="F28" s="59">
        <v>3</v>
      </c>
      <c r="G28" s="59">
        <v>4</v>
      </c>
      <c r="H28" s="59">
        <v>5</v>
      </c>
    </row>
    <row r="29" spans="1:8" x14ac:dyDescent="0.2">
      <c r="B29" s="215" t="s">
        <v>2018</v>
      </c>
      <c r="C29" s="12">
        <v>-400</v>
      </c>
      <c r="D29" s="12">
        <v>100</v>
      </c>
      <c r="E29" s="12">
        <v>120</v>
      </c>
      <c r="F29" s="12">
        <v>300</v>
      </c>
      <c r="G29" s="12">
        <v>80</v>
      </c>
      <c r="H29" s="12">
        <v>90</v>
      </c>
    </row>
    <row r="31" spans="1:8" x14ac:dyDescent="0.2">
      <c r="A31" s="88" t="s">
        <v>2019</v>
      </c>
      <c r="B31" s="88"/>
      <c r="C31" s="88"/>
      <c r="D31" s="88"/>
      <c r="E31" s="88"/>
      <c r="F31" s="88"/>
      <c r="G31" s="88"/>
      <c r="H31" s="88"/>
    </row>
    <row r="33" spans="1:8" x14ac:dyDescent="0.2">
      <c r="A33" s="1" t="s">
        <v>2020</v>
      </c>
    </row>
    <row r="35" spans="1:8" x14ac:dyDescent="0.2">
      <c r="A35" s="2" t="s">
        <v>2021</v>
      </c>
      <c r="B35" s="2"/>
      <c r="C35" s="2"/>
      <c r="D35" s="2"/>
      <c r="E35" s="2"/>
      <c r="F35" s="2"/>
      <c r="G35" s="2"/>
      <c r="H35" s="2"/>
    </row>
    <row r="36" spans="1:8" x14ac:dyDescent="0.2">
      <c r="A36" s="2"/>
      <c r="B36" s="2" t="s">
        <v>2037</v>
      </c>
      <c r="C36" s="2"/>
      <c r="D36" s="2"/>
      <c r="E36" s="2"/>
      <c r="F36" s="2"/>
      <c r="G36" s="2"/>
      <c r="H36" s="2"/>
    </row>
    <row r="38" spans="1:8" x14ac:dyDescent="0.2">
      <c r="B38" s="1" t="s">
        <v>2025</v>
      </c>
      <c r="F38" s="1" t="s">
        <v>2022</v>
      </c>
    </row>
    <row r="39" spans="1:8" x14ac:dyDescent="0.2">
      <c r="B39" s="1" t="s">
        <v>2026</v>
      </c>
      <c r="F39" s="1" t="s">
        <v>2023</v>
      </c>
    </row>
    <row r="40" spans="1:8" x14ac:dyDescent="0.2">
      <c r="B40" s="1" t="s">
        <v>2027</v>
      </c>
      <c r="F40" s="1" t="s">
        <v>2024</v>
      </c>
    </row>
    <row r="41" spans="1:8" x14ac:dyDescent="0.2">
      <c r="B41" s="1" t="s">
        <v>2028</v>
      </c>
    </row>
    <row r="43" spans="1:8" x14ac:dyDescent="0.2">
      <c r="A43" s="2" t="s">
        <v>2029</v>
      </c>
      <c r="B43" s="2"/>
      <c r="C43" s="2"/>
      <c r="D43" s="2"/>
      <c r="E43" s="2"/>
      <c r="F43" s="2"/>
      <c r="G43" s="2"/>
      <c r="H43" s="2"/>
    </row>
    <row r="44" spans="1:8" x14ac:dyDescent="0.2">
      <c r="A44" s="2"/>
      <c r="B44" s="2" t="s">
        <v>2030</v>
      </c>
      <c r="C44" s="2"/>
      <c r="D44" s="2"/>
      <c r="E44" s="2"/>
      <c r="F44" s="2"/>
      <c r="G44" s="2"/>
      <c r="H44" s="2"/>
    </row>
    <row r="47" spans="1:8" x14ac:dyDescent="0.2">
      <c r="B47" s="1" t="s">
        <v>2034</v>
      </c>
      <c r="F47" s="1" t="s">
        <v>2031</v>
      </c>
    </row>
    <row r="48" spans="1:8" x14ac:dyDescent="0.2">
      <c r="B48" s="1" t="s">
        <v>2035</v>
      </c>
      <c r="F48" s="1" t="s">
        <v>2032</v>
      </c>
    </row>
    <row r="49" spans="1:8" x14ac:dyDescent="0.2">
      <c r="B49" s="1" t="s">
        <v>2036</v>
      </c>
      <c r="F49" s="1" t="s">
        <v>2033</v>
      </c>
    </row>
    <row r="51" spans="1:8" x14ac:dyDescent="0.2">
      <c r="A51" s="88" t="s">
        <v>2038</v>
      </c>
      <c r="B51" s="88"/>
      <c r="C51" s="88"/>
      <c r="D51" s="88"/>
      <c r="E51" s="88"/>
      <c r="F51" s="88"/>
      <c r="G51" s="88"/>
      <c r="H51" s="88"/>
    </row>
    <row r="53" spans="1:8" x14ac:dyDescent="0.2">
      <c r="A53" s="1" t="s">
        <v>2039</v>
      </c>
    </row>
    <row r="55" spans="1:8" x14ac:dyDescent="0.2">
      <c r="B55" s="58" t="s">
        <v>2017</v>
      </c>
      <c r="C55" s="59">
        <v>0</v>
      </c>
      <c r="D55" s="59">
        <v>1</v>
      </c>
      <c r="E55" s="59">
        <v>2</v>
      </c>
      <c r="F55" s="59">
        <v>3</v>
      </c>
      <c r="G55" s="59">
        <v>4</v>
      </c>
      <c r="H55" s="59">
        <v>5</v>
      </c>
    </row>
    <row r="56" spans="1:8" x14ac:dyDescent="0.2">
      <c r="B56" s="154" t="s">
        <v>2040</v>
      </c>
      <c r="C56" s="12">
        <v>-900</v>
      </c>
      <c r="D56" s="12">
        <v>200</v>
      </c>
      <c r="E56" s="12">
        <v>700</v>
      </c>
      <c r="F56" s="12">
        <v>800</v>
      </c>
      <c r="G56" s="12">
        <v>300</v>
      </c>
      <c r="H56" s="12">
        <v>500</v>
      </c>
    </row>
    <row r="58" spans="1:8" x14ac:dyDescent="0.2">
      <c r="A58" s="1" t="s">
        <v>2041</v>
      </c>
      <c r="H58" s="1" t="s">
        <v>2045</v>
      </c>
    </row>
    <row r="59" spans="1:8" hidden="1" x14ac:dyDescent="0.2"/>
    <row r="60" spans="1:8" hidden="1" x14ac:dyDescent="0.2">
      <c r="A60" s="215" t="s">
        <v>2042</v>
      </c>
      <c r="B60" s="146" t="s">
        <v>2043</v>
      </c>
      <c r="C60" s="146"/>
      <c r="D60" s="146"/>
      <c r="E60" s="146"/>
      <c r="F60" s="146"/>
      <c r="G60" s="146"/>
      <c r="H60" s="146"/>
    </row>
    <row r="61" spans="1:8" hidden="1" x14ac:dyDescent="0.2">
      <c r="A61" s="146"/>
      <c r="B61" s="146" t="s">
        <v>2044</v>
      </c>
      <c r="C61" s="146"/>
      <c r="D61" s="146"/>
      <c r="E61" s="146"/>
      <c r="F61" s="146"/>
      <c r="G61" s="146"/>
      <c r="H61" s="146"/>
    </row>
    <row r="62" spans="1:8" hidden="1" x14ac:dyDescent="0.2">
      <c r="A62" s="146"/>
      <c r="B62" s="146" t="s">
        <v>2046</v>
      </c>
      <c r="C62" s="146"/>
      <c r="D62" s="146"/>
      <c r="E62" s="146"/>
      <c r="F62" s="146"/>
      <c r="G62" s="146"/>
      <c r="H62" s="146"/>
    </row>
    <row r="63" spans="1:8" hidden="1" x14ac:dyDescent="0.2">
      <c r="A63" s="146"/>
      <c r="B63" s="146" t="s">
        <v>2047</v>
      </c>
      <c r="C63" s="146"/>
      <c r="D63" s="146"/>
      <c r="E63" s="146"/>
      <c r="F63" s="146"/>
      <c r="G63" s="146"/>
      <c r="H63" s="146"/>
    </row>
    <row r="64" spans="1:8" hidden="1" x14ac:dyDescent="0.2">
      <c r="A64" s="146"/>
      <c r="B64" s="146"/>
      <c r="C64" s="146"/>
      <c r="D64" s="146"/>
      <c r="E64" s="146"/>
      <c r="F64" s="146"/>
      <c r="G64" s="146"/>
      <c r="H64" s="146"/>
    </row>
    <row r="65" spans="1:8" hidden="1" x14ac:dyDescent="0.2">
      <c r="A65" s="2" t="s">
        <v>2048</v>
      </c>
      <c r="B65" s="146"/>
      <c r="C65" s="146"/>
      <c r="D65" s="146"/>
      <c r="E65" s="146"/>
      <c r="F65" s="146"/>
      <c r="G65" s="146"/>
      <c r="H65" s="146"/>
    </row>
    <row r="66" spans="1:8" hidden="1" x14ac:dyDescent="0.2">
      <c r="A66" s="146"/>
      <c r="B66" s="146"/>
      <c r="C66" s="146"/>
      <c r="D66" s="146"/>
      <c r="E66" s="146"/>
      <c r="F66" s="146"/>
      <c r="G66" s="146"/>
      <c r="H66" s="146"/>
    </row>
    <row r="67" spans="1:8" x14ac:dyDescent="0.2">
      <c r="A67" s="1" t="s">
        <v>27</v>
      </c>
      <c r="H67" s="146"/>
    </row>
    <row r="68" spans="1:8" x14ac:dyDescent="0.2">
      <c r="H68" s="146"/>
    </row>
    <row r="69" spans="1:8" x14ac:dyDescent="0.2">
      <c r="A69" s="1" t="s">
        <v>2049</v>
      </c>
      <c r="H69" s="146"/>
    </row>
    <row r="70" spans="1:8" x14ac:dyDescent="0.2">
      <c r="A70" s="1" t="s">
        <v>2050</v>
      </c>
      <c r="H70" s="146"/>
    </row>
    <row r="71" spans="1:8" x14ac:dyDescent="0.2">
      <c r="H71" s="146"/>
    </row>
    <row r="72" spans="1:8" x14ac:dyDescent="0.2">
      <c r="A72" s="174" t="s">
        <v>2069</v>
      </c>
      <c r="B72" s="174"/>
      <c r="C72" s="174"/>
      <c r="D72" s="174"/>
      <c r="E72" s="174"/>
      <c r="F72" s="174"/>
      <c r="G72" s="174"/>
      <c r="H72" s="292"/>
    </row>
    <row r="73" spans="1:8" x14ac:dyDescent="0.2">
      <c r="H73" s="146"/>
    </row>
    <row r="74" spans="1:8" x14ac:dyDescent="0.2">
      <c r="A74" s="154" t="s">
        <v>2051</v>
      </c>
      <c r="B74" s="146"/>
      <c r="C74" s="146"/>
      <c r="D74" s="146"/>
      <c r="E74" s="146"/>
      <c r="F74" s="146"/>
      <c r="H74" s="32" t="s">
        <v>1089</v>
      </c>
    </row>
    <row r="75" spans="1:8" x14ac:dyDescent="0.2">
      <c r="A75" s="146"/>
      <c r="B75" s="146"/>
      <c r="C75" s="146"/>
      <c r="D75" s="146"/>
      <c r="E75" s="146"/>
      <c r="F75" s="146"/>
      <c r="G75" s="146"/>
      <c r="H75" s="146"/>
    </row>
    <row r="76" spans="1:8" x14ac:dyDescent="0.2">
      <c r="A76" s="154" t="s">
        <v>2052</v>
      </c>
      <c r="B76" s="146"/>
      <c r="C76" s="146"/>
      <c r="D76" s="146"/>
      <c r="E76" s="146"/>
      <c r="F76" s="12">
        <v>0</v>
      </c>
      <c r="G76" s="12" t="s">
        <v>42</v>
      </c>
      <c r="H76" s="1" t="s">
        <v>2053</v>
      </c>
    </row>
    <row r="77" spans="1:8" x14ac:dyDescent="0.2">
      <c r="A77" s="146"/>
      <c r="B77" s="146"/>
      <c r="C77" s="146"/>
      <c r="D77" s="146"/>
      <c r="E77" s="146"/>
      <c r="F77" s="146"/>
      <c r="G77" s="146"/>
      <c r="H77" s="146"/>
    </row>
    <row r="78" spans="1:8" x14ac:dyDescent="0.2">
      <c r="A78" s="146"/>
      <c r="B78" s="146"/>
      <c r="C78" s="146"/>
      <c r="D78" s="59" t="s">
        <v>1095</v>
      </c>
      <c r="E78" s="146"/>
      <c r="F78" s="146"/>
      <c r="G78" s="290" t="s">
        <v>2055</v>
      </c>
      <c r="H78" s="32" t="s">
        <v>2054</v>
      </c>
    </row>
    <row r="79" spans="1:8" x14ac:dyDescent="0.2">
      <c r="A79" s="146"/>
      <c r="B79" s="146" t="s">
        <v>2056</v>
      </c>
      <c r="C79" s="146"/>
      <c r="D79" s="12">
        <v>-900</v>
      </c>
      <c r="E79" s="12">
        <v>1</v>
      </c>
      <c r="F79" s="146"/>
      <c r="G79" s="146"/>
      <c r="H79" s="146"/>
    </row>
    <row r="80" spans="1:8" x14ac:dyDescent="0.2">
      <c r="A80" s="146"/>
      <c r="B80" s="146" t="s">
        <v>2057</v>
      </c>
      <c r="C80" s="146"/>
      <c r="D80" s="12">
        <v>200</v>
      </c>
      <c r="E80" s="12">
        <v>2</v>
      </c>
      <c r="F80" s="1" t="s">
        <v>2061</v>
      </c>
      <c r="G80" s="146"/>
      <c r="H80" s="146"/>
    </row>
    <row r="81" spans="1:8" x14ac:dyDescent="0.2">
      <c r="A81" s="146"/>
      <c r="B81" s="146" t="s">
        <v>2058</v>
      </c>
      <c r="C81" s="146"/>
      <c r="D81" s="12">
        <v>700</v>
      </c>
      <c r="E81" s="12">
        <v>3</v>
      </c>
      <c r="F81" s="146"/>
      <c r="G81" s="146"/>
      <c r="H81" s="146"/>
    </row>
    <row r="82" spans="1:8" x14ac:dyDescent="0.2">
      <c r="A82" s="146"/>
      <c r="B82" s="146" t="s">
        <v>2059</v>
      </c>
      <c r="C82" s="146"/>
      <c r="D82" s="12">
        <v>800</v>
      </c>
      <c r="E82" s="12">
        <v>4</v>
      </c>
      <c r="F82" s="146"/>
      <c r="G82" s="146"/>
      <c r="H82" s="146"/>
    </row>
    <row r="83" spans="1:8" x14ac:dyDescent="0.2">
      <c r="A83" s="146"/>
      <c r="B83" s="146" t="s">
        <v>2060</v>
      </c>
      <c r="C83" s="146"/>
      <c r="D83" s="12">
        <v>300</v>
      </c>
      <c r="E83" s="12">
        <v>5</v>
      </c>
      <c r="F83" s="146"/>
      <c r="G83" s="146"/>
      <c r="H83" s="146"/>
    </row>
    <row r="84" spans="1:8" x14ac:dyDescent="0.2">
      <c r="D84" s="12">
        <v>500</v>
      </c>
      <c r="E84" s="12">
        <v>6</v>
      </c>
      <c r="F84" s="1" t="s">
        <v>2062</v>
      </c>
      <c r="H84" s="32" t="s">
        <v>2063</v>
      </c>
    </row>
    <row r="86" spans="1:8" x14ac:dyDescent="0.2">
      <c r="F86" s="99">
        <f>IRR(D79:D84)</f>
        <v>0.43682687235555706</v>
      </c>
      <c r="G86" s="1" t="s">
        <v>2064</v>
      </c>
      <c r="H86" s="230" t="s">
        <v>51</v>
      </c>
    </row>
    <row r="88" spans="1:8" x14ac:dyDescent="0.2">
      <c r="A88" s="1" t="s">
        <v>2065</v>
      </c>
    </row>
    <row r="89" spans="1:8" x14ac:dyDescent="0.2">
      <c r="A89" s="1" t="s">
        <v>2066</v>
      </c>
    </row>
    <row r="91" spans="1:8" x14ac:dyDescent="0.2">
      <c r="A91" s="2" t="s">
        <v>2067</v>
      </c>
    </row>
    <row r="92" spans="1:8" x14ac:dyDescent="0.2">
      <c r="A92" s="2" t="s">
        <v>2068</v>
      </c>
    </row>
    <row r="94" spans="1:8" x14ac:dyDescent="0.2">
      <c r="A94" s="174" t="s">
        <v>2070</v>
      </c>
      <c r="B94" s="174"/>
      <c r="C94" s="174"/>
      <c r="D94" s="174"/>
      <c r="E94" s="174"/>
      <c r="F94" s="174"/>
      <c r="G94" s="174"/>
      <c r="H94" s="292"/>
    </row>
    <row r="96" spans="1:8" x14ac:dyDescent="0.2">
      <c r="A96" s="1" t="s">
        <v>2071</v>
      </c>
    </row>
    <row r="97" spans="1:9" x14ac:dyDescent="0.2">
      <c r="A97" s="1" t="s">
        <v>2072</v>
      </c>
    </row>
    <row r="98" spans="1:9" x14ac:dyDescent="0.2">
      <c r="A98" s="1" t="s">
        <v>2073</v>
      </c>
    </row>
    <row r="100" spans="1:9" x14ac:dyDescent="0.2">
      <c r="A100" s="154" t="s">
        <v>2051</v>
      </c>
      <c r="B100" s="146"/>
      <c r="C100" s="146"/>
      <c r="D100" s="146"/>
      <c r="E100" s="146"/>
      <c r="F100" s="146"/>
      <c r="H100" s="32" t="s">
        <v>1089</v>
      </c>
    </row>
    <row r="101" spans="1:9" x14ac:dyDescent="0.2">
      <c r="A101" s="146"/>
      <c r="B101" s="146"/>
      <c r="C101" s="146"/>
      <c r="D101" s="146"/>
      <c r="E101" s="146"/>
      <c r="F101" s="146"/>
      <c r="G101" s="146"/>
      <c r="H101" s="146"/>
    </row>
    <row r="102" spans="1:9" x14ac:dyDescent="0.2">
      <c r="A102" s="154" t="s">
        <v>2052</v>
      </c>
      <c r="B102" s="146"/>
      <c r="C102" s="146"/>
      <c r="D102" s="146"/>
      <c r="E102" s="146"/>
      <c r="F102" s="219">
        <v>8</v>
      </c>
      <c r="G102" s="12" t="s">
        <v>42</v>
      </c>
      <c r="H102" s="1" t="s">
        <v>2074</v>
      </c>
    </row>
    <row r="103" spans="1:9" x14ac:dyDescent="0.2">
      <c r="A103" s="146"/>
      <c r="B103" s="146"/>
      <c r="C103" s="146"/>
      <c r="D103" s="146"/>
      <c r="E103" s="146"/>
      <c r="F103" s="146"/>
      <c r="G103" s="146"/>
      <c r="H103" s="146"/>
    </row>
    <row r="104" spans="1:9" x14ac:dyDescent="0.2">
      <c r="A104" s="146"/>
      <c r="B104" s="146"/>
      <c r="C104" s="146"/>
      <c r="D104" s="59" t="s">
        <v>1095</v>
      </c>
      <c r="E104" s="146"/>
      <c r="F104" s="146"/>
      <c r="G104" s="290" t="s">
        <v>2055</v>
      </c>
      <c r="H104" s="32" t="s">
        <v>2054</v>
      </c>
      <c r="I104" s="1" t="s">
        <v>2075</v>
      </c>
    </row>
    <row r="105" spans="1:9" x14ac:dyDescent="0.2">
      <c r="A105" s="146"/>
      <c r="B105" s="146" t="s">
        <v>2056</v>
      </c>
      <c r="C105" s="146"/>
      <c r="D105" s="12">
        <v>-900</v>
      </c>
      <c r="E105" s="12">
        <v>1</v>
      </c>
      <c r="F105" s="146"/>
      <c r="G105" s="146"/>
      <c r="H105" s="146"/>
      <c r="I105" s="1" t="s">
        <v>2076</v>
      </c>
    </row>
    <row r="106" spans="1:9" x14ac:dyDescent="0.2">
      <c r="A106" s="146"/>
      <c r="B106" s="146" t="s">
        <v>2057</v>
      </c>
      <c r="C106" s="146"/>
      <c r="D106" s="12">
        <v>200</v>
      </c>
      <c r="E106" s="12">
        <v>2</v>
      </c>
      <c r="G106" s="146"/>
      <c r="H106" s="146"/>
    </row>
    <row r="107" spans="1:9" x14ac:dyDescent="0.2">
      <c r="A107" s="146"/>
      <c r="B107" s="146" t="s">
        <v>2058</v>
      </c>
      <c r="C107" s="146"/>
      <c r="D107" s="12">
        <v>700</v>
      </c>
      <c r="E107" s="12">
        <v>3</v>
      </c>
      <c r="F107" s="1" t="s">
        <v>2061</v>
      </c>
      <c r="G107" s="146"/>
      <c r="H107" s="146"/>
    </row>
    <row r="108" spans="1:9" x14ac:dyDescent="0.2">
      <c r="A108" s="146"/>
      <c r="B108" s="146" t="s">
        <v>2059</v>
      </c>
      <c r="C108" s="146"/>
      <c r="D108" s="12">
        <v>800</v>
      </c>
      <c r="E108" s="12">
        <v>4</v>
      </c>
      <c r="F108" s="146"/>
      <c r="G108" s="146"/>
      <c r="H108" s="146"/>
    </row>
    <row r="109" spans="1:9" x14ac:dyDescent="0.2">
      <c r="A109" s="146"/>
      <c r="B109" s="146" t="s">
        <v>2060</v>
      </c>
      <c r="C109" s="146"/>
      <c r="D109" s="12">
        <v>300</v>
      </c>
      <c r="E109" s="12">
        <v>5</v>
      </c>
      <c r="F109" s="146"/>
      <c r="G109" s="146"/>
      <c r="H109" s="146"/>
    </row>
    <row r="110" spans="1:9" x14ac:dyDescent="0.2">
      <c r="D110" s="12">
        <v>500</v>
      </c>
      <c r="E110" s="12">
        <v>6</v>
      </c>
      <c r="F110" s="1" t="s">
        <v>2062</v>
      </c>
      <c r="H110" s="32" t="s">
        <v>2063</v>
      </c>
    </row>
    <row r="112" spans="1:9" x14ac:dyDescent="0.2">
      <c r="F112" s="42">
        <f>NPV(F102/100,D106:D110)+D105</f>
        <v>1081.1887065683818</v>
      </c>
      <c r="G112" s="1" t="s">
        <v>2077</v>
      </c>
      <c r="H112" s="230" t="s">
        <v>51</v>
      </c>
    </row>
    <row r="114" spans="1:9" x14ac:dyDescent="0.2">
      <c r="A114" s="1" t="s">
        <v>2078</v>
      </c>
    </row>
    <row r="115" spans="1:9" x14ac:dyDescent="0.2">
      <c r="A115" s="1" t="s">
        <v>2079</v>
      </c>
    </row>
    <row r="116" spans="1:9" x14ac:dyDescent="0.2">
      <c r="A116" s="2" t="s">
        <v>2080</v>
      </c>
    </row>
    <row r="117" spans="1:9" ht="17" thickBot="1" x14ac:dyDescent="0.25"/>
    <row r="118" spans="1:9" x14ac:dyDescent="0.2">
      <c r="A118" s="21" t="s">
        <v>693</v>
      </c>
      <c r="B118" s="31"/>
      <c r="C118" s="31"/>
      <c r="D118" s="31"/>
      <c r="E118" s="31"/>
      <c r="F118" s="31"/>
      <c r="G118" s="31"/>
      <c r="H118" s="31"/>
      <c r="I118" s="23"/>
    </row>
    <row r="119" spans="1:9" x14ac:dyDescent="0.2">
      <c r="A119" s="123" t="s">
        <v>2081</v>
      </c>
      <c r="B119" s="293"/>
      <c r="C119" s="293"/>
      <c r="D119" s="293"/>
      <c r="E119" s="293"/>
      <c r="F119" s="293"/>
      <c r="G119" s="293"/>
      <c r="H119" s="293"/>
      <c r="I119" s="25"/>
    </row>
    <row r="120" spans="1:9" x14ac:dyDescent="0.2">
      <c r="A120" s="123" t="s">
        <v>2082</v>
      </c>
      <c r="B120" s="293"/>
      <c r="C120" s="293"/>
      <c r="D120" s="293"/>
      <c r="E120" s="293"/>
      <c r="F120" s="293"/>
      <c r="G120" s="293"/>
      <c r="H120" s="293"/>
      <c r="I120" s="25"/>
    </row>
    <row r="121" spans="1:9" x14ac:dyDescent="0.2">
      <c r="A121" s="123" t="s">
        <v>2083</v>
      </c>
      <c r="B121" s="293"/>
      <c r="C121" s="293"/>
      <c r="D121" s="293"/>
      <c r="E121" s="293"/>
      <c r="F121" s="293"/>
      <c r="G121" s="293"/>
      <c r="H121" s="293"/>
      <c r="I121" s="25"/>
    </row>
    <row r="122" spans="1:9" ht="17" thickBot="1" x14ac:dyDescent="0.25">
      <c r="A122" s="125" t="s">
        <v>2084</v>
      </c>
      <c r="B122" s="27"/>
      <c r="C122" s="27"/>
      <c r="D122" s="27"/>
      <c r="E122" s="27"/>
      <c r="F122" s="27"/>
      <c r="G122" s="27"/>
      <c r="H122" s="27"/>
      <c r="I122" s="28"/>
    </row>
    <row r="124" spans="1:9" x14ac:dyDescent="0.2">
      <c r="A124" s="88" t="s">
        <v>2085</v>
      </c>
      <c r="B124" s="88"/>
      <c r="C124" s="88"/>
      <c r="D124" s="88"/>
      <c r="E124" s="88"/>
      <c r="F124" s="88"/>
      <c r="G124" s="88"/>
      <c r="H124" s="88"/>
    </row>
    <row r="125" spans="1:9" x14ac:dyDescent="0.2">
      <c r="A125" s="1" t="s">
        <v>2086</v>
      </c>
    </row>
    <row r="126" spans="1:9" x14ac:dyDescent="0.2">
      <c r="A126" s="1" t="s">
        <v>2087</v>
      </c>
    </row>
    <row r="128" spans="1:9" x14ac:dyDescent="0.2">
      <c r="A128" s="1" t="s">
        <v>2088</v>
      </c>
    </row>
    <row r="129" spans="1:7" x14ac:dyDescent="0.2">
      <c r="A129" s="1" t="s">
        <v>2089</v>
      </c>
    </row>
    <row r="131" spans="1:7" x14ac:dyDescent="0.2">
      <c r="A131" s="1" t="s">
        <v>2090</v>
      </c>
    </row>
    <row r="132" spans="1:7" x14ac:dyDescent="0.2">
      <c r="A132" s="1" t="s">
        <v>2091</v>
      </c>
    </row>
    <row r="133" spans="1:7" x14ac:dyDescent="0.2">
      <c r="B133" s="1" t="s">
        <v>2092</v>
      </c>
    </row>
    <row r="134" spans="1:7" x14ac:dyDescent="0.2">
      <c r="B134" s="1" t="s">
        <v>2093</v>
      </c>
    </row>
    <row r="136" spans="1:7" x14ac:dyDescent="0.2">
      <c r="A136" s="1" t="s">
        <v>2094</v>
      </c>
    </row>
    <row r="137" spans="1:7" x14ac:dyDescent="0.2">
      <c r="B137" s="1" t="s">
        <v>2095</v>
      </c>
    </row>
    <row r="138" spans="1:7" x14ac:dyDescent="0.2">
      <c r="B138" s="1" t="s">
        <v>2096</v>
      </c>
    </row>
    <row r="140" spans="1:7" x14ac:dyDescent="0.2">
      <c r="A140" s="151" t="s">
        <v>2097</v>
      </c>
      <c r="B140" s="150"/>
      <c r="C140" s="150"/>
      <c r="D140" s="150"/>
      <c r="E140" s="150"/>
      <c r="F140" s="150"/>
      <c r="G140" s="150"/>
    </row>
    <row r="142" spans="1:7" x14ac:dyDescent="0.2">
      <c r="A142" s="1" t="s">
        <v>2098</v>
      </c>
    </row>
    <row r="144" spans="1:7" x14ac:dyDescent="0.2">
      <c r="B144" s="58" t="s">
        <v>2016</v>
      </c>
      <c r="C144" s="58" t="s">
        <v>2099</v>
      </c>
      <c r="D144" s="58" t="s">
        <v>2100</v>
      </c>
    </row>
    <row r="145" spans="1:10" x14ac:dyDescent="0.2">
      <c r="B145" s="1">
        <v>0</v>
      </c>
      <c r="C145" s="1">
        <v>-200</v>
      </c>
      <c r="D145" s="1">
        <v>-2000</v>
      </c>
    </row>
    <row r="146" spans="1:10" x14ac:dyDescent="0.2">
      <c r="B146" s="1">
        <v>1</v>
      </c>
      <c r="C146" s="1">
        <v>50</v>
      </c>
      <c r="D146" s="1">
        <v>400</v>
      </c>
    </row>
    <row r="147" spans="1:10" x14ac:dyDescent="0.2">
      <c r="B147" s="1">
        <v>2</v>
      </c>
      <c r="C147" s="1">
        <v>50</v>
      </c>
      <c r="D147" s="1">
        <v>400</v>
      </c>
    </row>
    <row r="148" spans="1:10" x14ac:dyDescent="0.2">
      <c r="B148" s="1">
        <v>3</v>
      </c>
      <c r="C148" s="1">
        <v>50</v>
      </c>
      <c r="D148" s="1">
        <v>400</v>
      </c>
    </row>
    <row r="149" spans="1:10" x14ac:dyDescent="0.2">
      <c r="B149" s="1">
        <v>4</v>
      </c>
      <c r="C149" s="1">
        <v>50</v>
      </c>
      <c r="D149" s="1">
        <v>400</v>
      </c>
    </row>
    <row r="150" spans="1:10" x14ac:dyDescent="0.2">
      <c r="B150" s="1">
        <v>5</v>
      </c>
      <c r="C150" s="1">
        <v>50</v>
      </c>
      <c r="D150" s="1">
        <v>400</v>
      </c>
    </row>
    <row r="151" spans="1:10" x14ac:dyDescent="0.2">
      <c r="B151" s="1">
        <v>6</v>
      </c>
      <c r="C151" s="1">
        <v>60</v>
      </c>
      <c r="D151" s="1">
        <v>440</v>
      </c>
    </row>
    <row r="153" spans="1:10" x14ac:dyDescent="0.2">
      <c r="A153" s="1" t="s">
        <v>711</v>
      </c>
    </row>
    <row r="154" spans="1:10" x14ac:dyDescent="0.2">
      <c r="A154" s="1" t="s">
        <v>2101</v>
      </c>
    </row>
    <row r="155" spans="1:10" x14ac:dyDescent="0.2">
      <c r="A155" s="1" t="s">
        <v>2102</v>
      </c>
    </row>
    <row r="156" spans="1:10" x14ac:dyDescent="0.2">
      <c r="A156" s="1" t="s">
        <v>2103</v>
      </c>
    </row>
    <row r="157" spans="1:10" x14ac:dyDescent="0.2">
      <c r="A157" s="1" t="s">
        <v>2104</v>
      </c>
    </row>
    <row r="158" spans="1:10" x14ac:dyDescent="0.2">
      <c r="A158" s="1" t="s">
        <v>2105</v>
      </c>
    </row>
    <row r="159" spans="1:10" ht="17" thickBot="1" x14ac:dyDescent="0.25"/>
    <row r="160" spans="1:10" x14ac:dyDescent="0.2">
      <c r="B160" s="58" t="s">
        <v>2016</v>
      </c>
      <c r="C160" s="58" t="s">
        <v>2099</v>
      </c>
      <c r="D160" s="58" t="s">
        <v>2100</v>
      </c>
      <c r="F160" s="21" t="s">
        <v>2106</v>
      </c>
      <c r="G160" s="22"/>
      <c r="H160" s="22"/>
      <c r="I160" s="22"/>
      <c r="J160" s="122"/>
    </row>
    <row r="161" spans="1:10" x14ac:dyDescent="0.2">
      <c r="B161" s="1">
        <v>0</v>
      </c>
      <c r="C161" s="12">
        <v>-200</v>
      </c>
      <c r="D161" s="12">
        <v>-2000</v>
      </c>
      <c r="F161" s="123" t="s">
        <v>2107</v>
      </c>
      <c r="G161" s="294"/>
      <c r="H161" s="294"/>
      <c r="I161" s="294"/>
      <c r="J161" s="124"/>
    </row>
    <row r="162" spans="1:10" x14ac:dyDescent="0.2">
      <c r="B162" s="1">
        <v>1</v>
      </c>
      <c r="C162" s="12">
        <v>50</v>
      </c>
      <c r="D162" s="12">
        <v>400</v>
      </c>
      <c r="F162" s="123" t="s">
        <v>2108</v>
      </c>
      <c r="G162" s="294"/>
      <c r="H162" s="294"/>
      <c r="I162" s="294"/>
      <c r="J162" s="124"/>
    </row>
    <row r="163" spans="1:10" x14ac:dyDescent="0.2">
      <c r="B163" s="1">
        <v>2</v>
      </c>
      <c r="C163" s="12">
        <v>50</v>
      </c>
      <c r="D163" s="12">
        <v>400</v>
      </c>
      <c r="F163" s="123" t="s">
        <v>2109</v>
      </c>
      <c r="G163" s="294"/>
      <c r="H163" s="294"/>
      <c r="I163" s="294"/>
      <c r="J163" s="124"/>
    </row>
    <row r="164" spans="1:10" x14ac:dyDescent="0.2">
      <c r="B164" s="1">
        <v>3</v>
      </c>
      <c r="C164" s="12">
        <v>50</v>
      </c>
      <c r="D164" s="12">
        <v>400</v>
      </c>
      <c r="F164" s="123" t="s">
        <v>2110</v>
      </c>
      <c r="G164" s="294"/>
      <c r="H164" s="294"/>
      <c r="I164" s="294"/>
      <c r="J164" s="124"/>
    </row>
    <row r="165" spans="1:10" x14ac:dyDescent="0.2">
      <c r="B165" s="1">
        <v>4</v>
      </c>
      <c r="C165" s="12">
        <v>50</v>
      </c>
      <c r="D165" s="12">
        <v>400</v>
      </c>
      <c r="F165" s="123"/>
      <c r="G165" s="294"/>
      <c r="H165" s="294"/>
      <c r="I165" s="294"/>
      <c r="J165" s="124"/>
    </row>
    <row r="166" spans="1:10" x14ac:dyDescent="0.2">
      <c r="B166" s="1">
        <v>5</v>
      </c>
      <c r="C166" s="12">
        <v>50</v>
      </c>
      <c r="D166" s="12">
        <v>400</v>
      </c>
      <c r="F166" s="123" t="s">
        <v>2111</v>
      </c>
      <c r="G166" s="294"/>
      <c r="H166" s="294"/>
      <c r="I166" s="294"/>
      <c r="J166" s="124"/>
    </row>
    <row r="167" spans="1:10" x14ac:dyDescent="0.2">
      <c r="B167" s="1">
        <v>6</v>
      </c>
      <c r="C167" s="12">
        <v>60</v>
      </c>
      <c r="D167" s="12">
        <v>440</v>
      </c>
      <c r="F167" s="123" t="s">
        <v>2109</v>
      </c>
      <c r="G167" s="294"/>
      <c r="H167" s="294"/>
      <c r="I167" s="294"/>
      <c r="J167" s="124"/>
    </row>
    <row r="168" spans="1:10" ht="17" thickBot="1" x14ac:dyDescent="0.25">
      <c r="F168" s="125" t="s">
        <v>2110</v>
      </c>
      <c r="G168" s="260"/>
      <c r="H168" s="260"/>
      <c r="I168" s="260"/>
      <c r="J168" s="126"/>
    </row>
    <row r="169" spans="1:10" x14ac:dyDescent="0.2">
      <c r="A169" s="35" t="s">
        <v>1939</v>
      </c>
      <c r="B169" s="12"/>
      <c r="C169" s="149" t="s">
        <v>290</v>
      </c>
      <c r="D169" s="149" t="s">
        <v>291</v>
      </c>
    </row>
    <row r="170" spans="1:10" x14ac:dyDescent="0.2">
      <c r="A170" s="35" t="s">
        <v>2112</v>
      </c>
      <c r="B170" s="12" t="s">
        <v>2006</v>
      </c>
      <c r="C170" s="264">
        <f>IRR(C161:C167)</f>
        <v>0.1381908331719397</v>
      </c>
      <c r="D170" s="265">
        <f>IRR(D161:D167)</f>
        <v>5.9232966282503519E-2</v>
      </c>
      <c r="F170" s="1" t="s">
        <v>2115</v>
      </c>
    </row>
    <row r="171" spans="1:10" x14ac:dyDescent="0.2">
      <c r="F171" s="1" t="s">
        <v>2113</v>
      </c>
    </row>
    <row r="173" spans="1:10" x14ac:dyDescent="0.2">
      <c r="B173" s="12" t="s">
        <v>2008</v>
      </c>
      <c r="C173" s="36">
        <f>NPV(4%,C162:C167)+C161</f>
        <v>70.009988094618961</v>
      </c>
      <c r="D173" s="42">
        <f>NPV(4%,D162:D167)+D161</f>
        <v>128.46732372774613</v>
      </c>
      <c r="F173" s="1" t="s">
        <v>2116</v>
      </c>
    </row>
    <row r="174" spans="1:10" x14ac:dyDescent="0.2">
      <c r="F174" s="1" t="s">
        <v>2114</v>
      </c>
    </row>
    <row r="176" spans="1:10" x14ac:dyDescent="0.2">
      <c r="A176" s="2" t="s">
        <v>2117</v>
      </c>
    </row>
    <row r="177" spans="1:8" x14ac:dyDescent="0.2">
      <c r="A177" s="1" t="s">
        <v>2118</v>
      </c>
    </row>
    <row r="178" spans="1:8" x14ac:dyDescent="0.2">
      <c r="A178" s="1" t="s">
        <v>2119</v>
      </c>
    </row>
    <row r="179" spans="1:8" x14ac:dyDescent="0.2">
      <c r="A179" s="1" t="s">
        <v>2120</v>
      </c>
    </row>
    <row r="180" spans="1:8" x14ac:dyDescent="0.2">
      <c r="A180" s="1" t="s">
        <v>2121</v>
      </c>
    </row>
    <row r="181" spans="1:8" x14ac:dyDescent="0.2">
      <c r="A181" s="1" t="s">
        <v>2122</v>
      </c>
    </row>
    <row r="182" spans="1:8" x14ac:dyDescent="0.2">
      <c r="A182" s="1" t="s">
        <v>2123</v>
      </c>
    </row>
    <row r="183" spans="1:8" x14ac:dyDescent="0.2">
      <c r="A183" s="1" t="s">
        <v>2124</v>
      </c>
    </row>
    <row r="184" spans="1:8" ht="17" thickBot="1" x14ac:dyDescent="0.25"/>
    <row r="185" spans="1:8" x14ac:dyDescent="0.2">
      <c r="A185" s="21" t="s">
        <v>2125</v>
      </c>
      <c r="B185" s="31"/>
      <c r="C185" s="31"/>
      <c r="D185" s="31"/>
      <c r="E185" s="31"/>
      <c r="F185" s="31"/>
      <c r="G185" s="31"/>
      <c r="H185" s="23"/>
    </row>
    <row r="186" spans="1:8" x14ac:dyDescent="0.2">
      <c r="A186" s="24" t="s">
        <v>2126</v>
      </c>
      <c r="B186" s="293"/>
      <c r="C186" s="293"/>
      <c r="D186" s="293"/>
      <c r="E186" s="293"/>
      <c r="F186" s="293"/>
      <c r="G186" s="293"/>
      <c r="H186" s="25"/>
    </row>
    <row r="187" spans="1:8" x14ac:dyDescent="0.2">
      <c r="A187" s="24" t="s">
        <v>2127</v>
      </c>
      <c r="B187" s="293"/>
      <c r="C187" s="293"/>
      <c r="D187" s="293"/>
      <c r="E187" s="293"/>
      <c r="F187" s="293"/>
      <c r="G187" s="293"/>
      <c r="H187" s="25"/>
    </row>
    <row r="188" spans="1:8" x14ac:dyDescent="0.2">
      <c r="A188" s="24" t="s">
        <v>2128</v>
      </c>
      <c r="B188" s="293"/>
      <c r="C188" s="293"/>
      <c r="D188" s="293"/>
      <c r="E188" s="293"/>
      <c r="F188" s="293"/>
      <c r="G188" s="293"/>
      <c r="H188" s="25"/>
    </row>
    <row r="189" spans="1:8" x14ac:dyDescent="0.2">
      <c r="A189" s="24" t="s">
        <v>2129</v>
      </c>
      <c r="B189" s="293"/>
      <c r="C189" s="293"/>
      <c r="D189" s="293"/>
      <c r="E189" s="293"/>
      <c r="F189" s="293"/>
      <c r="G189" s="293"/>
      <c r="H189" s="25"/>
    </row>
    <row r="190" spans="1:8" x14ac:dyDescent="0.2">
      <c r="A190" s="24" t="s">
        <v>2130</v>
      </c>
      <c r="B190" s="293"/>
      <c r="C190" s="293"/>
      <c r="D190" s="293"/>
      <c r="E190" s="293"/>
      <c r="F190" s="293"/>
      <c r="G190" s="293"/>
      <c r="H190" s="25"/>
    </row>
    <row r="191" spans="1:8" ht="17" thickBot="1" x14ac:dyDescent="0.25">
      <c r="A191" s="26" t="s">
        <v>2131</v>
      </c>
      <c r="B191" s="27"/>
      <c r="C191" s="27"/>
      <c r="D191" s="27"/>
      <c r="E191" s="27"/>
      <c r="F191" s="27"/>
      <c r="G191" s="27"/>
      <c r="H191" s="28"/>
    </row>
    <row r="193" spans="1:8" x14ac:dyDescent="0.2">
      <c r="A193" s="150" t="s">
        <v>2132</v>
      </c>
      <c r="B193" s="150"/>
      <c r="C193" s="150"/>
      <c r="D193" s="150"/>
      <c r="E193" s="150"/>
      <c r="F193" s="150"/>
      <c r="G193" s="150"/>
      <c r="H193" s="150"/>
    </row>
    <row r="195" spans="1:8" x14ac:dyDescent="0.2">
      <c r="A195" s="1" t="s">
        <v>2133</v>
      </c>
    </row>
    <row r="197" spans="1:8" x14ac:dyDescent="0.2">
      <c r="B197" s="1" t="s">
        <v>2016</v>
      </c>
      <c r="C197" s="1" t="s">
        <v>290</v>
      </c>
      <c r="D197" s="1" t="s">
        <v>291</v>
      </c>
      <c r="E197" s="1" t="s">
        <v>292</v>
      </c>
    </row>
    <row r="198" spans="1:8" x14ac:dyDescent="0.2">
      <c r="B198" s="1">
        <v>0</v>
      </c>
      <c r="C198" s="1">
        <v>-100</v>
      </c>
      <c r="D198" s="1">
        <v>-1000</v>
      </c>
      <c r="E198" s="1">
        <v>-10000</v>
      </c>
    </row>
    <row r="199" spans="1:8" x14ac:dyDescent="0.2">
      <c r="B199" s="1">
        <v>1</v>
      </c>
      <c r="C199" s="1">
        <v>80</v>
      </c>
      <c r="D199" s="1">
        <v>700</v>
      </c>
      <c r="E199" s="1">
        <v>6000</v>
      </c>
    </row>
    <row r="200" spans="1:8" x14ac:dyDescent="0.2">
      <c r="B200" s="1">
        <v>2</v>
      </c>
      <c r="C200" s="1">
        <v>80</v>
      </c>
      <c r="D200" s="1">
        <v>700</v>
      </c>
      <c r="E200" s="1">
        <v>6000</v>
      </c>
    </row>
    <row r="201" spans="1:8" x14ac:dyDescent="0.2">
      <c r="B201" s="1">
        <v>3</v>
      </c>
      <c r="C201" s="1">
        <v>80</v>
      </c>
      <c r="D201" s="1">
        <v>700</v>
      </c>
      <c r="E201" s="1">
        <v>6000</v>
      </c>
    </row>
    <row r="203" spans="1:8" x14ac:dyDescent="0.2">
      <c r="A203" s="1" t="s">
        <v>2134</v>
      </c>
    </row>
    <row r="205" spans="1:8" x14ac:dyDescent="0.2">
      <c r="A205" s="1" t="s">
        <v>711</v>
      </c>
    </row>
    <row r="206" spans="1:8" x14ac:dyDescent="0.2">
      <c r="A206" s="1" t="s">
        <v>2135</v>
      </c>
    </row>
    <row r="207" spans="1:8" x14ac:dyDescent="0.2">
      <c r="A207" s="1" t="s">
        <v>2136</v>
      </c>
    </row>
    <row r="208" spans="1:8" x14ac:dyDescent="0.2">
      <c r="A208" s="1" t="s">
        <v>2137</v>
      </c>
    </row>
    <row r="209" spans="1:8" x14ac:dyDescent="0.2">
      <c r="A209" s="1" t="s">
        <v>2138</v>
      </c>
    </row>
    <row r="210" spans="1:8" x14ac:dyDescent="0.2">
      <c r="A210" s="1" t="s">
        <v>2139</v>
      </c>
    </row>
    <row r="211" spans="1:8" x14ac:dyDescent="0.2">
      <c r="A211" s="1" t="s">
        <v>2140</v>
      </c>
    </row>
    <row r="213" spans="1:8" x14ac:dyDescent="0.2">
      <c r="A213" s="29" t="s">
        <v>2141</v>
      </c>
      <c r="B213" s="29"/>
      <c r="C213" s="29"/>
      <c r="D213" s="29"/>
      <c r="E213" s="29"/>
      <c r="F213" s="29"/>
      <c r="G213" s="29"/>
      <c r="H213" s="29"/>
    </row>
    <row r="214" spans="1:8" x14ac:dyDescent="0.2">
      <c r="B214" s="59" t="s">
        <v>2016</v>
      </c>
      <c r="C214" s="59" t="s">
        <v>290</v>
      </c>
      <c r="D214" s="59" t="s">
        <v>291</v>
      </c>
      <c r="E214" s="59" t="s">
        <v>292</v>
      </c>
    </row>
    <row r="215" spans="1:8" x14ac:dyDescent="0.2">
      <c r="B215" s="12">
        <v>0</v>
      </c>
      <c r="C215" s="12">
        <v>-100</v>
      </c>
      <c r="D215" s="12">
        <v>-1000</v>
      </c>
      <c r="E215" s="12">
        <v>-10000</v>
      </c>
      <c r="G215" s="1" t="s">
        <v>2142</v>
      </c>
    </row>
    <row r="216" spans="1:8" x14ac:dyDescent="0.2">
      <c r="B216" s="12">
        <v>1</v>
      </c>
      <c r="C216" s="12">
        <v>80</v>
      </c>
      <c r="D216" s="12">
        <v>700</v>
      </c>
      <c r="E216" s="12">
        <v>6000</v>
      </c>
      <c r="G216" s="1" t="s">
        <v>2143</v>
      </c>
    </row>
    <row r="217" spans="1:8" x14ac:dyDescent="0.2">
      <c r="B217" s="12">
        <v>2</v>
      </c>
      <c r="C217" s="12">
        <v>80</v>
      </c>
      <c r="D217" s="12">
        <v>700</v>
      </c>
      <c r="E217" s="12">
        <v>6000</v>
      </c>
      <c r="G217" s="1" t="s">
        <v>2144</v>
      </c>
    </row>
    <row r="218" spans="1:8" x14ac:dyDescent="0.2">
      <c r="B218" s="12">
        <v>3</v>
      </c>
      <c r="C218" s="12">
        <v>80</v>
      </c>
      <c r="D218" s="12">
        <v>700</v>
      </c>
      <c r="E218" s="12">
        <v>6000</v>
      </c>
      <c r="G218" s="1" t="s">
        <v>2145</v>
      </c>
    </row>
    <row r="219" spans="1:8" x14ac:dyDescent="0.2">
      <c r="G219" s="1" t="s">
        <v>2146</v>
      </c>
    </row>
    <row r="220" spans="1:8" x14ac:dyDescent="0.2">
      <c r="B220" s="12" t="s">
        <v>2006</v>
      </c>
      <c r="C220" s="295">
        <f>IRR(C215:C218)</f>
        <v>0.60735719639169461</v>
      </c>
      <c r="D220" s="265">
        <f>IRR(D215:D218)</f>
        <v>0.48718429990804024</v>
      </c>
      <c r="E220" s="265">
        <f>IRR(E215:E218)</f>
        <v>0.36309653946985665</v>
      </c>
      <c r="G220" s="1" t="s">
        <v>2147</v>
      </c>
    </row>
    <row r="221" spans="1:8" x14ac:dyDescent="0.2">
      <c r="B221" s="12" t="s">
        <v>2008</v>
      </c>
      <c r="C221" s="36">
        <f>NPV(4%,C216:C218)+C215</f>
        <v>122.0072826581702</v>
      </c>
      <c r="D221" s="36">
        <f t="shared" ref="D221:E221" si="0">NPV(4%,D216:D218)+D215</f>
        <v>942.56372325898928</v>
      </c>
      <c r="E221" s="296">
        <f t="shared" si="0"/>
        <v>6650.546199362765</v>
      </c>
      <c r="G221" s="1" t="s">
        <v>2148</v>
      </c>
    </row>
    <row r="222" spans="1:8" ht="17" thickBot="1" x14ac:dyDescent="0.25"/>
    <row r="223" spans="1:8" ht="17" thickBot="1" x14ac:dyDescent="0.25">
      <c r="A223" s="101" t="s">
        <v>2136</v>
      </c>
      <c r="B223" s="6"/>
      <c r="C223" s="6"/>
      <c r="D223" s="6"/>
      <c r="E223" s="6"/>
      <c r="F223" s="6"/>
      <c r="G223" s="6"/>
      <c r="H223" s="7"/>
    </row>
    <row r="224" spans="1:8" x14ac:dyDescent="0.2">
      <c r="A224" s="1" t="s">
        <v>2149</v>
      </c>
    </row>
    <row r="225" spans="1:8" x14ac:dyDescent="0.2">
      <c r="A225" s="1" t="s">
        <v>2150</v>
      </c>
    </row>
    <row r="226" spans="1:8" ht="17" thickBot="1" x14ac:dyDescent="0.25"/>
    <row r="227" spans="1:8" ht="17" thickBot="1" x14ac:dyDescent="0.25">
      <c r="A227" s="101" t="s">
        <v>2137</v>
      </c>
      <c r="B227" s="6"/>
      <c r="C227" s="6"/>
      <c r="D227" s="6"/>
      <c r="E227" s="6"/>
      <c r="F227" s="6"/>
      <c r="G227" s="6"/>
      <c r="H227" s="7"/>
    </row>
    <row r="228" spans="1:8" x14ac:dyDescent="0.2">
      <c r="A228" s="1" t="s">
        <v>2151</v>
      </c>
    </row>
    <row r="229" spans="1:8" x14ac:dyDescent="0.2">
      <c r="A229" s="1" t="s">
        <v>2152</v>
      </c>
    </row>
    <row r="230" spans="1:8" x14ac:dyDescent="0.2">
      <c r="A230" s="1" t="s">
        <v>2153</v>
      </c>
    </row>
    <row r="231" spans="1:8" ht="17" thickBot="1" x14ac:dyDescent="0.25"/>
    <row r="232" spans="1:8" ht="17" thickBot="1" x14ac:dyDescent="0.25">
      <c r="A232" s="101" t="s">
        <v>2154</v>
      </c>
      <c r="B232" s="6"/>
      <c r="C232" s="6"/>
      <c r="D232" s="6"/>
      <c r="E232" s="6"/>
      <c r="F232" s="6"/>
      <c r="G232" s="6"/>
      <c r="H232" s="7"/>
    </row>
    <row r="233" spans="1:8" x14ac:dyDescent="0.2">
      <c r="A233" s="1" t="s">
        <v>2155</v>
      </c>
    </row>
    <row r="234" spans="1:8" x14ac:dyDescent="0.2">
      <c r="A234" s="1" t="s">
        <v>2156</v>
      </c>
    </row>
    <row r="235" spans="1:8" ht="17" thickBot="1" x14ac:dyDescent="0.25"/>
    <row r="236" spans="1:8" x14ac:dyDescent="0.2">
      <c r="A236" s="30" t="s">
        <v>2139</v>
      </c>
      <c r="B236" s="31"/>
      <c r="C236" s="31"/>
      <c r="D236" s="31"/>
      <c r="E236" s="31"/>
      <c r="F236" s="31"/>
      <c r="G236" s="31"/>
      <c r="H236" s="23"/>
    </row>
    <row r="237" spans="1:8" ht="17" thickBot="1" x14ac:dyDescent="0.25">
      <c r="A237" s="26" t="s">
        <v>2140</v>
      </c>
      <c r="B237" s="27"/>
      <c r="C237" s="27"/>
      <c r="D237" s="27"/>
      <c r="E237" s="27"/>
      <c r="F237" s="27"/>
      <c r="G237" s="27"/>
      <c r="H237" s="28"/>
    </row>
    <row r="239" spans="1:8" x14ac:dyDescent="0.2">
      <c r="B239" s="59" t="s">
        <v>2016</v>
      </c>
      <c r="C239" s="297" t="s">
        <v>290</v>
      </c>
      <c r="D239" s="59" t="s">
        <v>291</v>
      </c>
      <c r="E239" s="59" t="s">
        <v>292</v>
      </c>
      <c r="F239" s="59" t="s">
        <v>2157</v>
      </c>
      <c r="H239" s="1" t="s">
        <v>2158</v>
      </c>
    </row>
    <row r="240" spans="1:8" x14ac:dyDescent="0.2">
      <c r="B240" s="12">
        <v>0</v>
      </c>
      <c r="C240" s="298">
        <v>-100</v>
      </c>
      <c r="D240" s="12">
        <v>-1000</v>
      </c>
      <c r="E240" s="12">
        <v>-10000</v>
      </c>
      <c r="F240" s="12">
        <f>C240*10</f>
        <v>-1000</v>
      </c>
      <c r="H240" s="1" t="s">
        <v>2159</v>
      </c>
    </row>
    <row r="241" spans="2:12" x14ac:dyDescent="0.2">
      <c r="B241" s="12">
        <v>1</v>
      </c>
      <c r="C241" s="298">
        <v>80</v>
      </c>
      <c r="D241" s="12">
        <v>700</v>
      </c>
      <c r="E241" s="12">
        <v>6000</v>
      </c>
      <c r="F241" s="12">
        <f>C241*10</f>
        <v>800</v>
      </c>
      <c r="H241" s="1" t="s">
        <v>2160</v>
      </c>
    </row>
    <row r="242" spans="2:12" x14ac:dyDescent="0.2">
      <c r="B242" s="12">
        <v>2</v>
      </c>
      <c r="C242" s="298">
        <v>80</v>
      </c>
      <c r="D242" s="12">
        <v>700</v>
      </c>
      <c r="E242" s="12">
        <v>6000</v>
      </c>
      <c r="F242" s="12">
        <f t="shared" ref="F242:F243" si="1">C242*10</f>
        <v>800</v>
      </c>
    </row>
    <row r="243" spans="2:12" x14ac:dyDescent="0.2">
      <c r="B243" s="12">
        <v>3</v>
      </c>
      <c r="C243" s="298">
        <v>80</v>
      </c>
      <c r="D243" s="12">
        <v>700</v>
      </c>
      <c r="E243" s="12">
        <v>6000</v>
      </c>
      <c r="F243" s="12">
        <f t="shared" si="1"/>
        <v>800</v>
      </c>
    </row>
    <row r="244" spans="2:12" x14ac:dyDescent="0.2">
      <c r="C244" s="299"/>
    </row>
    <row r="245" spans="2:12" x14ac:dyDescent="0.2">
      <c r="B245" s="12" t="s">
        <v>2006</v>
      </c>
      <c r="C245" s="300">
        <f>IRR(C240:C243)</f>
        <v>0.60735719639169461</v>
      </c>
      <c r="D245" s="265">
        <f>IRR(D240:D243)</f>
        <v>0.48718429990804024</v>
      </c>
      <c r="E245" s="265">
        <f>IRR(E240:E243)</f>
        <v>0.36309653946985665</v>
      </c>
      <c r="F245" s="265">
        <f>IRR(F240:F243)</f>
        <v>0.60735719639169461</v>
      </c>
    </row>
    <row r="246" spans="2:12" x14ac:dyDescent="0.2">
      <c r="B246" s="12" t="s">
        <v>2008</v>
      </c>
      <c r="C246" s="302">
        <f>NPV(4%,C241:C243)+C240</f>
        <v>122.0072826581702</v>
      </c>
      <c r="D246" s="36">
        <f t="shared" ref="D246:F246" si="2">NPV(4%,D241:D243)+D240</f>
        <v>942.56372325898928</v>
      </c>
      <c r="E246" s="296">
        <f t="shared" si="2"/>
        <v>6650.546199362765</v>
      </c>
      <c r="F246" s="301">
        <f t="shared" si="2"/>
        <v>1220.072826581702</v>
      </c>
    </row>
    <row r="249" spans="2:12" x14ac:dyDescent="0.2">
      <c r="F249" s="1" t="s">
        <v>2161</v>
      </c>
    </row>
    <row r="250" spans="2:12" x14ac:dyDescent="0.2">
      <c r="F250" s="1" t="s">
        <v>2162</v>
      </c>
    </row>
    <row r="251" spans="2:12" ht="17" thickBot="1" x14ac:dyDescent="0.25"/>
    <row r="252" spans="2:12" x14ac:dyDescent="0.2">
      <c r="B252" s="30" t="s">
        <v>2167</v>
      </c>
      <c r="C252" s="31"/>
      <c r="D252" s="23"/>
      <c r="F252" s="1" t="s">
        <v>2169</v>
      </c>
    </row>
    <row r="253" spans="2:12" x14ac:dyDescent="0.2">
      <c r="B253" s="24" t="s">
        <v>2168</v>
      </c>
      <c r="C253" s="293"/>
      <c r="D253" s="25"/>
      <c r="F253" s="1" t="s">
        <v>2163</v>
      </c>
      <c r="J253" s="291">
        <f>C245</f>
        <v>0.60735719639169461</v>
      </c>
    </row>
    <row r="254" spans="2:12" ht="17" thickBot="1" x14ac:dyDescent="0.25">
      <c r="B254" s="26" t="s">
        <v>2170</v>
      </c>
      <c r="C254" s="27"/>
      <c r="D254" s="28"/>
      <c r="F254" s="1" t="s">
        <v>2164</v>
      </c>
      <c r="J254" s="133">
        <f>F246</f>
        <v>1220.072826581702</v>
      </c>
      <c r="K254" s="1" t="s">
        <v>2165</v>
      </c>
      <c r="L254" s="1" t="s">
        <v>2166</v>
      </c>
    </row>
    <row r="256" spans="2:12" ht="17" thickBot="1" x14ac:dyDescent="0.25"/>
    <row r="257" spans="6:10" x14ac:dyDescent="0.2">
      <c r="F257" s="21" t="s">
        <v>2171</v>
      </c>
      <c r="G257" s="22"/>
      <c r="H257" s="22"/>
      <c r="I257" s="22"/>
      <c r="J257" s="122"/>
    </row>
    <row r="258" spans="6:10" x14ac:dyDescent="0.2">
      <c r="F258" s="123" t="s">
        <v>2172</v>
      </c>
      <c r="G258" s="294"/>
      <c r="H258" s="294"/>
      <c r="I258" s="294"/>
      <c r="J258" s="124"/>
    </row>
    <row r="259" spans="6:10" x14ac:dyDescent="0.2">
      <c r="F259" s="123" t="s">
        <v>2173</v>
      </c>
      <c r="G259" s="294"/>
      <c r="H259" s="294"/>
      <c r="I259" s="294"/>
      <c r="J259" s="124"/>
    </row>
    <row r="260" spans="6:10" ht="17" thickBot="1" x14ac:dyDescent="0.25">
      <c r="F260" s="125" t="s">
        <v>2174</v>
      </c>
      <c r="G260" s="260"/>
      <c r="H260" s="260"/>
      <c r="I260" s="260"/>
      <c r="J260" s="126"/>
    </row>
    <row r="272" spans="6:10" ht="17" thickBot="1" x14ac:dyDescent="0.25"/>
    <row r="273" spans="1:8" ht="17" thickBot="1" x14ac:dyDescent="0.25">
      <c r="A273" s="3" t="s">
        <v>2209</v>
      </c>
      <c r="B273" s="4"/>
      <c r="C273" s="4"/>
      <c r="D273" s="4"/>
      <c r="E273" s="4"/>
      <c r="F273" s="4"/>
      <c r="G273" s="4"/>
      <c r="H273" s="5"/>
    </row>
    <row r="274" spans="1:8" x14ac:dyDescent="0.2">
      <c r="A274" s="1" t="s">
        <v>1071</v>
      </c>
    </row>
    <row r="275" spans="1:8" x14ac:dyDescent="0.2">
      <c r="A275" s="1" t="s">
        <v>1072</v>
      </c>
    </row>
    <row r="276" spans="1:8" x14ac:dyDescent="0.2">
      <c r="A276" s="1" t="s">
        <v>1073</v>
      </c>
    </row>
    <row r="277" spans="1:8" x14ac:dyDescent="0.2">
      <c r="A277" s="1" t="s">
        <v>1074</v>
      </c>
    </row>
    <row r="279" spans="1:8" x14ac:dyDescent="0.2">
      <c r="A279" s="1" t="s">
        <v>1075</v>
      </c>
    </row>
    <row r="280" spans="1:8" ht="17" thickBot="1" x14ac:dyDescent="0.25">
      <c r="C280" s="12"/>
      <c r="D280" s="142">
        <v>0</v>
      </c>
      <c r="E280" s="142">
        <v>1</v>
      </c>
      <c r="F280" s="142">
        <v>2</v>
      </c>
      <c r="G280" s="142">
        <v>3</v>
      </c>
    </row>
    <row r="281" spans="1:8" x14ac:dyDescent="0.2">
      <c r="C281" s="12" t="s">
        <v>1076</v>
      </c>
      <c r="D281" s="12">
        <v>-100</v>
      </c>
      <c r="E281" s="12">
        <v>40</v>
      </c>
      <c r="F281" s="12">
        <v>50</v>
      </c>
      <c r="G281" s="12">
        <v>30</v>
      </c>
    </row>
    <row r="283" spans="1:8" x14ac:dyDescent="0.2">
      <c r="A283" s="1" t="s">
        <v>1077</v>
      </c>
    </row>
    <row r="284" spans="1:8" ht="17" thickBot="1" x14ac:dyDescent="0.25"/>
    <row r="285" spans="1:8" ht="17" thickBot="1" x14ac:dyDescent="0.25">
      <c r="A285" s="3" t="s">
        <v>1078</v>
      </c>
      <c r="B285" s="4"/>
      <c r="C285" s="4"/>
      <c r="D285" s="4"/>
      <c r="E285" s="4"/>
      <c r="F285" s="4"/>
      <c r="G285" s="4"/>
      <c r="H285" s="5"/>
    </row>
    <row r="286" spans="1:8" x14ac:dyDescent="0.2">
      <c r="A286" s="1" t="s">
        <v>1079</v>
      </c>
    </row>
    <row r="287" spans="1:8" x14ac:dyDescent="0.2">
      <c r="A287" s="1" t="s">
        <v>1080</v>
      </c>
    </row>
    <row r="288" spans="1:8" ht="17" thickBot="1" x14ac:dyDescent="0.25"/>
    <row r="289" spans="1:8" ht="17" thickBot="1" x14ac:dyDescent="0.25">
      <c r="A289" s="3" t="s">
        <v>1081</v>
      </c>
      <c r="B289" s="4"/>
      <c r="C289" s="4"/>
      <c r="D289" s="4"/>
      <c r="E289" s="4"/>
      <c r="F289" s="4"/>
      <c r="G289" s="4"/>
      <c r="H289" s="5"/>
    </row>
    <row r="290" spans="1:8" x14ac:dyDescent="0.2">
      <c r="A290" s="1" t="s">
        <v>1082</v>
      </c>
    </row>
    <row r="291" spans="1:8" x14ac:dyDescent="0.2">
      <c r="A291" s="1" t="s">
        <v>1083</v>
      </c>
    </row>
    <row r="292" spans="1:8" x14ac:dyDescent="0.2">
      <c r="A292" s="1" t="s">
        <v>1087</v>
      </c>
    </row>
    <row r="294" spans="1:8" x14ac:dyDescent="0.2">
      <c r="C294" s="1" t="s">
        <v>1093</v>
      </c>
      <c r="D294" s="1" t="s">
        <v>1086</v>
      </c>
    </row>
    <row r="295" spans="1:8" x14ac:dyDescent="0.2">
      <c r="C295" s="1">
        <v>0</v>
      </c>
      <c r="D295" s="1">
        <v>-50</v>
      </c>
    </row>
    <row r="296" spans="1:8" x14ac:dyDescent="0.2">
      <c r="C296" s="1">
        <v>1</v>
      </c>
      <c r="D296" s="1">
        <v>0</v>
      </c>
    </row>
    <row r="297" spans="1:8" x14ac:dyDescent="0.2">
      <c r="C297" s="1">
        <v>2</v>
      </c>
      <c r="D297" s="1">
        <v>30</v>
      </c>
    </row>
    <row r="298" spans="1:8" x14ac:dyDescent="0.2">
      <c r="C298" s="1">
        <v>3</v>
      </c>
      <c r="D298" s="1">
        <v>25</v>
      </c>
    </row>
    <row r="299" spans="1:8" x14ac:dyDescent="0.2">
      <c r="C299" s="1">
        <v>4</v>
      </c>
      <c r="D299" s="1">
        <v>40</v>
      </c>
    </row>
    <row r="301" spans="1:8" x14ac:dyDescent="0.2">
      <c r="A301" s="1" t="s">
        <v>1084</v>
      </c>
    </row>
    <row r="303" spans="1:8" x14ac:dyDescent="0.2">
      <c r="A303" s="1" t="s">
        <v>1067</v>
      </c>
    </row>
    <row r="304" spans="1:8" x14ac:dyDescent="0.2">
      <c r="A304" s="1" t="s">
        <v>1085</v>
      </c>
    </row>
    <row r="306" spans="1:10" x14ac:dyDescent="0.2">
      <c r="A306" s="2" t="s">
        <v>27</v>
      </c>
    </row>
    <row r="307" spans="1:10" x14ac:dyDescent="0.2">
      <c r="I307" s="12" t="s">
        <v>1090</v>
      </c>
    </row>
    <row r="308" spans="1:10" x14ac:dyDescent="0.2">
      <c r="A308" s="1" t="s">
        <v>1088</v>
      </c>
      <c r="I308" s="12" t="s">
        <v>1091</v>
      </c>
    </row>
    <row r="309" spans="1:10" x14ac:dyDescent="0.2">
      <c r="I309" s="12" t="s">
        <v>1092</v>
      </c>
    </row>
    <row r="310" spans="1:10" x14ac:dyDescent="0.2">
      <c r="C310" s="1" t="s">
        <v>1093</v>
      </c>
      <c r="D310" s="1" t="s">
        <v>1086</v>
      </c>
      <c r="I310" s="32" t="s">
        <v>1089</v>
      </c>
    </row>
    <row r="311" spans="1:10" x14ac:dyDescent="0.2">
      <c r="C311" s="12">
        <v>0</v>
      </c>
      <c r="D311" s="12">
        <v>-50</v>
      </c>
      <c r="H311" s="12">
        <v>8</v>
      </c>
      <c r="I311" s="12" t="s">
        <v>42</v>
      </c>
      <c r="J311" s="1" t="s">
        <v>1125</v>
      </c>
    </row>
    <row r="312" spans="1:10" x14ac:dyDescent="0.2">
      <c r="C312" s="12">
        <v>1</v>
      </c>
      <c r="D312" s="12">
        <v>0</v>
      </c>
      <c r="F312" s="12" t="s">
        <v>1095</v>
      </c>
      <c r="I312" s="1" t="s">
        <v>1094</v>
      </c>
    </row>
    <row r="313" spans="1:10" x14ac:dyDescent="0.2">
      <c r="C313" s="12">
        <v>2</v>
      </c>
      <c r="D313" s="12">
        <v>30</v>
      </c>
      <c r="F313" s="145">
        <v>-50</v>
      </c>
      <c r="G313" s="12">
        <v>1</v>
      </c>
      <c r="H313" s="127" t="s">
        <v>1096</v>
      </c>
    </row>
    <row r="314" spans="1:10" x14ac:dyDescent="0.2">
      <c r="C314" s="12">
        <v>3</v>
      </c>
      <c r="D314" s="12">
        <v>25</v>
      </c>
      <c r="F314" s="145">
        <v>0</v>
      </c>
      <c r="G314" s="12">
        <v>2</v>
      </c>
      <c r="H314" s="127" t="s">
        <v>1097</v>
      </c>
    </row>
    <row r="315" spans="1:10" x14ac:dyDescent="0.2">
      <c r="C315" s="12">
        <v>4</v>
      </c>
      <c r="D315" s="12">
        <v>40</v>
      </c>
      <c r="F315" s="145">
        <v>30</v>
      </c>
      <c r="G315" s="12">
        <v>3</v>
      </c>
      <c r="H315" s="127" t="s">
        <v>1098</v>
      </c>
    </row>
    <row r="316" spans="1:10" x14ac:dyDescent="0.2">
      <c r="F316" s="145">
        <v>25</v>
      </c>
      <c r="G316" s="12">
        <v>4</v>
      </c>
      <c r="H316" s="127" t="s">
        <v>1099</v>
      </c>
    </row>
    <row r="317" spans="1:10" x14ac:dyDescent="0.2">
      <c r="F317" s="145">
        <v>40</v>
      </c>
      <c r="G317" s="12">
        <v>5</v>
      </c>
      <c r="H317" s="127" t="s">
        <v>1100</v>
      </c>
    </row>
    <row r="319" spans="1:10" x14ac:dyDescent="0.2">
      <c r="F319" s="1" t="s">
        <v>1101</v>
      </c>
      <c r="H319" s="16">
        <f>NPV(8%,F314:F317)+F313</f>
        <v>24.967164746415861</v>
      </c>
      <c r="I319" s="146" t="s">
        <v>1102</v>
      </c>
      <c r="J319" s="1" t="s">
        <v>1109</v>
      </c>
    </row>
    <row r="320" spans="1:10" x14ac:dyDescent="0.2">
      <c r="H320" s="36">
        <f>IRR(F313:F317)*100</f>
        <v>23.61368775864241</v>
      </c>
      <c r="I320" s="146" t="s">
        <v>1103</v>
      </c>
      <c r="J320" s="1" t="s">
        <v>1116</v>
      </c>
    </row>
    <row r="321" spans="1:10" x14ac:dyDescent="0.2">
      <c r="J321" s="1" t="s">
        <v>1117</v>
      </c>
    </row>
    <row r="322" spans="1:10" x14ac:dyDescent="0.2">
      <c r="C322" s="2" t="s">
        <v>1104</v>
      </c>
    </row>
    <row r="323" spans="1:10" x14ac:dyDescent="0.2">
      <c r="C323" s="1" t="s">
        <v>1105</v>
      </c>
    </row>
    <row r="324" spans="1:10" x14ac:dyDescent="0.2">
      <c r="C324" s="1" t="s">
        <v>1106</v>
      </c>
    </row>
    <row r="325" spans="1:10" x14ac:dyDescent="0.2">
      <c r="C325" s="1" t="s">
        <v>1107</v>
      </c>
    </row>
    <row r="326" spans="1:10" x14ac:dyDescent="0.2">
      <c r="C326" s="2" t="s">
        <v>1108</v>
      </c>
    </row>
    <row r="328" spans="1:10" x14ac:dyDescent="0.2">
      <c r="C328" s="1" t="s">
        <v>1110</v>
      </c>
    </row>
    <row r="329" spans="1:10" x14ac:dyDescent="0.2">
      <c r="C329" s="1" t="s">
        <v>1111</v>
      </c>
    </row>
    <row r="330" spans="1:10" x14ac:dyDescent="0.2">
      <c r="C330" s="1" t="s">
        <v>1112</v>
      </c>
    </row>
    <row r="331" spans="1:10" x14ac:dyDescent="0.2">
      <c r="C331" s="1" t="s">
        <v>1113</v>
      </c>
    </row>
    <row r="332" spans="1:10" x14ac:dyDescent="0.2">
      <c r="C332" s="1" t="s">
        <v>1114</v>
      </c>
    </row>
    <row r="333" spans="1:10" x14ac:dyDescent="0.2">
      <c r="C333" s="2" t="s">
        <v>1115</v>
      </c>
    </row>
    <row r="334" spans="1:10" ht="17" thickBot="1" x14ac:dyDescent="0.25"/>
    <row r="335" spans="1:10" ht="17" thickBot="1" x14ac:dyDescent="0.25">
      <c r="A335" s="3" t="s">
        <v>1118</v>
      </c>
      <c r="B335" s="4"/>
      <c r="C335" s="4"/>
      <c r="D335" s="4"/>
      <c r="E335" s="4"/>
      <c r="F335" s="4"/>
      <c r="G335" s="4"/>
      <c r="H335" s="5"/>
    </row>
    <row r="336" spans="1:10" x14ac:dyDescent="0.2">
      <c r="A336" s="1" t="s">
        <v>1119</v>
      </c>
    </row>
    <row r="337" spans="1:10" x14ac:dyDescent="0.2">
      <c r="A337" s="1" t="s">
        <v>1120</v>
      </c>
    </row>
    <row r="338" spans="1:10" x14ac:dyDescent="0.2">
      <c r="A338" s="1" t="s">
        <v>1121</v>
      </c>
    </row>
    <row r="339" spans="1:10" x14ac:dyDescent="0.2">
      <c r="A339" s="1" t="s">
        <v>1122</v>
      </c>
    </row>
    <row r="341" spans="1:10" x14ac:dyDescent="0.2">
      <c r="A341" s="1" t="s">
        <v>1124</v>
      </c>
    </row>
    <row r="343" spans="1:10" x14ac:dyDescent="0.2">
      <c r="A343" s="1" t="s">
        <v>1123</v>
      </c>
    </row>
    <row r="345" spans="1:10" x14ac:dyDescent="0.2">
      <c r="I345" s="12" t="s">
        <v>1090</v>
      </c>
    </row>
    <row r="346" spans="1:10" x14ac:dyDescent="0.2">
      <c r="A346" s="1" t="s">
        <v>1088</v>
      </c>
      <c r="I346" s="12" t="s">
        <v>1091</v>
      </c>
    </row>
    <row r="347" spans="1:10" x14ac:dyDescent="0.2">
      <c r="I347" s="12" t="s">
        <v>1092</v>
      </c>
    </row>
    <row r="348" spans="1:10" x14ac:dyDescent="0.2">
      <c r="C348" s="1" t="s">
        <v>1093</v>
      </c>
      <c r="D348" s="1" t="s">
        <v>1086</v>
      </c>
      <c r="I348" s="32" t="s">
        <v>1089</v>
      </c>
    </row>
    <row r="349" spans="1:10" x14ac:dyDescent="0.2">
      <c r="C349" s="12">
        <v>0</v>
      </c>
      <c r="D349" s="12">
        <v>-2</v>
      </c>
      <c r="H349" s="12">
        <v>7</v>
      </c>
      <c r="I349" s="12" t="s">
        <v>42</v>
      </c>
      <c r="J349" s="1" t="s">
        <v>1125</v>
      </c>
    </row>
    <row r="350" spans="1:10" x14ac:dyDescent="0.2">
      <c r="C350" s="12">
        <v>1</v>
      </c>
      <c r="D350" s="12">
        <v>0.5</v>
      </c>
      <c r="F350" s="12" t="s">
        <v>1095</v>
      </c>
      <c r="I350" s="1" t="s">
        <v>1094</v>
      </c>
    </row>
    <row r="351" spans="1:10" x14ac:dyDescent="0.2">
      <c r="C351" s="12">
        <v>2</v>
      </c>
      <c r="D351" s="12">
        <v>0.5</v>
      </c>
      <c r="F351" s="145">
        <v>-2</v>
      </c>
      <c r="G351" s="12">
        <v>1</v>
      </c>
      <c r="H351" s="127" t="s">
        <v>1096</v>
      </c>
    </row>
    <row r="352" spans="1:10" x14ac:dyDescent="0.2">
      <c r="C352" s="12">
        <v>3</v>
      </c>
      <c r="D352" s="12">
        <v>0.5</v>
      </c>
      <c r="F352" s="145">
        <v>0.5</v>
      </c>
      <c r="G352" s="12">
        <v>2</v>
      </c>
      <c r="H352" s="127" t="s">
        <v>1097</v>
      </c>
    </row>
    <row r="353" spans="1:9" x14ac:dyDescent="0.2">
      <c r="C353" s="12">
        <v>4</v>
      </c>
      <c r="D353" s="12">
        <v>0.8</v>
      </c>
      <c r="F353" s="145">
        <v>0.5</v>
      </c>
      <c r="G353" s="12">
        <v>3</v>
      </c>
      <c r="H353" s="127" t="s">
        <v>1098</v>
      </c>
    </row>
    <row r="354" spans="1:9" x14ac:dyDescent="0.2">
      <c r="C354" s="12">
        <v>5</v>
      </c>
      <c r="D354" s="12">
        <v>0.8</v>
      </c>
      <c r="F354" s="145">
        <v>0.5</v>
      </c>
      <c r="G354" s="12">
        <v>4</v>
      </c>
      <c r="H354" s="127" t="s">
        <v>1099</v>
      </c>
    </row>
    <row r="355" spans="1:9" x14ac:dyDescent="0.2">
      <c r="F355" s="145">
        <v>0.8</v>
      </c>
      <c r="G355" s="12">
        <v>5</v>
      </c>
      <c r="H355" s="127" t="s">
        <v>1100</v>
      </c>
    </row>
    <row r="356" spans="1:9" x14ac:dyDescent="0.2">
      <c r="F356" s="145">
        <v>0.8</v>
      </c>
      <c r="G356" s="12">
        <v>6</v>
      </c>
      <c r="H356" s="127"/>
    </row>
    <row r="358" spans="1:9" x14ac:dyDescent="0.2">
      <c r="F358" s="1" t="s">
        <v>1101</v>
      </c>
      <c r="H358" s="147">
        <f>NPV(7%,F352:F356)+F351</f>
        <v>0.49286313543315519</v>
      </c>
      <c r="I358" s="146" t="s">
        <v>1102</v>
      </c>
    </row>
    <row r="359" spans="1:9" x14ac:dyDescent="0.2">
      <c r="H359" s="42">
        <f>IRR(F351:F356)*100</f>
        <v>14.937866205536409</v>
      </c>
      <c r="I359" s="146" t="s">
        <v>1103</v>
      </c>
    </row>
    <row r="361" spans="1:9" x14ac:dyDescent="0.2">
      <c r="A361" s="1" t="s">
        <v>1126</v>
      </c>
    </row>
    <row r="362" spans="1:9" x14ac:dyDescent="0.2">
      <c r="A362" s="1" t="s">
        <v>1127</v>
      </c>
    </row>
    <row r="363" spans="1:9" x14ac:dyDescent="0.2">
      <c r="A363" s="1" t="s">
        <v>1128</v>
      </c>
    </row>
    <row r="364" spans="1:9" x14ac:dyDescent="0.2">
      <c r="A364" s="1" t="s">
        <v>1129</v>
      </c>
    </row>
    <row r="365" spans="1:9" x14ac:dyDescent="0.2">
      <c r="A365" s="1" t="s">
        <v>1130</v>
      </c>
    </row>
    <row r="368" spans="1:9" x14ac:dyDescent="0.2">
      <c r="A368" s="1" t="s">
        <v>1131</v>
      </c>
    </row>
    <row r="369" spans="1:9" x14ac:dyDescent="0.2">
      <c r="A369" s="2" t="s">
        <v>1133</v>
      </c>
    </row>
    <row r="370" spans="1:9" x14ac:dyDescent="0.2">
      <c r="A370" s="1" t="s">
        <v>1134</v>
      </c>
    </row>
    <row r="371" spans="1:9" x14ac:dyDescent="0.2">
      <c r="A371" s="1" t="s">
        <v>1132</v>
      </c>
    </row>
    <row r="373" spans="1:9" x14ac:dyDescent="0.2">
      <c r="A373" s="2" t="s">
        <v>1135</v>
      </c>
    </row>
    <row r="374" spans="1:9" x14ac:dyDescent="0.2">
      <c r="A374" s="1" t="s">
        <v>1136</v>
      </c>
    </row>
    <row r="376" spans="1:9" x14ac:dyDescent="0.2">
      <c r="A376" s="75" t="s">
        <v>1137</v>
      </c>
      <c r="B376" s="29"/>
    </row>
    <row r="377" spans="1:9" x14ac:dyDescent="0.2">
      <c r="A377" s="1" t="s">
        <v>1138</v>
      </c>
      <c r="I377" s="143">
        <v>7.0000000000000007E-2</v>
      </c>
    </row>
    <row r="379" spans="1:9" x14ac:dyDescent="0.2">
      <c r="A379" s="2" t="s">
        <v>1139</v>
      </c>
    </row>
    <row r="380" spans="1:9" x14ac:dyDescent="0.2">
      <c r="A380" s="1" t="s">
        <v>1140</v>
      </c>
    </row>
    <row r="381" spans="1:9" x14ac:dyDescent="0.2">
      <c r="A381" s="1" t="s">
        <v>1141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7</vt:lpstr>
      <vt:lpstr>שיעור 8 מעודכן</vt:lpstr>
      <vt:lpstr>שיעור 9 מעודכן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2025-09-16T07:55:38Z</dcterms:modified>
</cp:coreProperties>
</file>