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shaytsaban/Documents/YVC - Financial Accounting A/Old Exams/"/>
    </mc:Choice>
  </mc:AlternateContent>
  <xr:revisionPtr revIDLastSave="0" documentId="8_{99CC21CF-546B-994C-93F5-6114FCD19B80}" xr6:coauthVersionLast="47" xr6:coauthVersionMax="47" xr10:uidLastSave="{00000000-0000-0000-0000-000000000000}"/>
  <bookViews>
    <workbookView xWindow="0" yWindow="0" windowWidth="51200" windowHeight="32000" xr2:uid="{BCBCED09-8878-6945-AEF5-81685299901C}"/>
  </bookViews>
  <sheets>
    <sheet name="פתרון משותף בכיתה" sheetId="2" r:id="rId1"/>
    <sheet name="פתרון מלא א" sheetId="1" r:id="rId2"/>
    <sheet name="פתרון מלא ב"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 i="2" l="1"/>
  <c r="Q36" i="2"/>
  <c r="O5" i="2"/>
  <c r="R13" i="2"/>
  <c r="N11" i="2"/>
  <c r="N31" i="2"/>
  <c r="R35" i="2"/>
  <c r="N23" i="2"/>
  <c r="N28" i="2"/>
  <c r="N22" i="2"/>
  <c r="N16" i="2"/>
  <c r="R33" i="2"/>
  <c r="N18" i="2"/>
  <c r="R32" i="2"/>
  <c r="P39" i="2"/>
  <c r="R30" i="2"/>
  <c r="O26" i="2"/>
  <c r="Q25" i="2"/>
  <c r="R24" i="2"/>
  <c r="Q21" i="2"/>
  <c r="Q39" i="2" s="1"/>
  <c r="P20" i="2"/>
  <c r="O19" i="2"/>
  <c r="R17" i="2"/>
  <c r="R15" i="2"/>
  <c r="N14" i="2"/>
  <c r="R10" i="2"/>
  <c r="R8" i="2"/>
  <c r="O7" i="2"/>
  <c r="R6" i="2"/>
  <c r="R4" i="2"/>
  <c r="N29" i="2" s="1"/>
  <c r="R3" i="2"/>
  <c r="R2" i="2"/>
  <c r="R39" i="2" s="1"/>
  <c r="E39" i="2"/>
  <c r="E9" i="2"/>
  <c r="G39" i="2"/>
  <c r="F39" i="2"/>
  <c r="D39" i="2"/>
  <c r="C39" i="2"/>
  <c r="G30" i="2"/>
  <c r="C28" i="2"/>
  <c r="G27" i="2"/>
  <c r="D26" i="2"/>
  <c r="F25" i="2"/>
  <c r="G24" i="2"/>
  <c r="C22" i="2"/>
  <c r="F21" i="2"/>
  <c r="E20" i="2"/>
  <c r="D19" i="2"/>
  <c r="G17" i="2"/>
  <c r="C16" i="2"/>
  <c r="G15" i="2"/>
  <c r="C14" i="2"/>
  <c r="G13" i="2"/>
  <c r="G10" i="2"/>
  <c r="G8" i="2"/>
  <c r="D7" i="2"/>
  <c r="G6" i="2"/>
  <c r="C31" i="2"/>
  <c r="C23" i="2"/>
  <c r="C18" i="2"/>
  <c r="D12" i="2"/>
  <c r="C11" i="2"/>
  <c r="C29" i="2"/>
  <c r="G4" i="2"/>
  <c r="G3" i="2"/>
  <c r="G2" i="2"/>
  <c r="E105" i="3"/>
  <c r="C115" i="3"/>
  <c r="C118" i="3" s="1"/>
  <c r="C107" i="3" s="1"/>
  <c r="C111" i="3"/>
  <c r="B103" i="3"/>
  <c r="C103" i="3" s="1"/>
  <c r="C81" i="3"/>
  <c r="C80" i="3"/>
  <c r="F80" i="3" s="1"/>
  <c r="F79" i="3" s="1"/>
  <c r="G79" i="3" s="1"/>
  <c r="G80" i="3" s="1"/>
  <c r="E64" i="3"/>
  <c r="E60" i="3"/>
  <c r="E56" i="3"/>
  <c r="E52" i="3"/>
  <c r="D64" i="3"/>
  <c r="D60" i="3"/>
  <c r="D56" i="3"/>
  <c r="D52" i="3"/>
  <c r="D17" i="3"/>
  <c r="D18" i="3" s="1"/>
  <c r="C4" i="3"/>
  <c r="W32" i="1"/>
  <c r="W28" i="1"/>
  <c r="W24" i="1"/>
  <c r="W23" i="1"/>
  <c r="W25" i="1" s="1"/>
  <c r="T25" i="1"/>
  <c r="T23" i="1"/>
  <c r="K3" i="1"/>
  <c r="K4" i="1"/>
  <c r="T24" i="1" s="1"/>
  <c r="T15" i="1"/>
  <c r="T13" i="1"/>
  <c r="T12" i="1"/>
  <c r="T10" i="1"/>
  <c r="T8" i="1"/>
  <c r="T7" i="1"/>
  <c r="T6" i="1"/>
  <c r="T5" i="1"/>
  <c r="J86" i="1"/>
  <c r="O24" i="1"/>
  <c r="K13" i="1"/>
  <c r="K12" i="1"/>
  <c r="T29" i="1" s="1"/>
  <c r="O36" i="1"/>
  <c r="L38" i="1"/>
  <c r="K38" i="1"/>
  <c r="J50" i="1"/>
  <c r="O34" i="1" s="1"/>
  <c r="N38" i="1"/>
  <c r="G33" i="1"/>
  <c r="F33" i="1"/>
  <c r="D33" i="1"/>
  <c r="C33" i="1"/>
  <c r="B70" i="1"/>
  <c r="B71" i="1" s="1"/>
  <c r="B68" i="1"/>
  <c r="B54" i="1"/>
  <c r="J55" i="1" s="1"/>
  <c r="J56" i="1" s="1"/>
  <c r="J58" i="1" s="1"/>
  <c r="B43" i="1"/>
  <c r="B40" i="1" s="1"/>
  <c r="E40" i="1" s="1"/>
  <c r="O39" i="2" l="1"/>
  <c r="N39" i="2"/>
  <c r="D103" i="3"/>
  <c r="C119" i="3"/>
  <c r="D107" i="3" s="1"/>
  <c r="E107" i="3" s="1"/>
  <c r="C117" i="3"/>
  <c r="B107" i="3" s="1"/>
  <c r="B104" i="3" s="1"/>
  <c r="C90" i="3"/>
  <c r="C91" i="3"/>
  <c r="C85" i="3"/>
  <c r="C95" i="3"/>
  <c r="T26" i="1"/>
  <c r="T36" i="1" s="1"/>
  <c r="N50" i="1"/>
  <c r="N51" i="1" s="1"/>
  <c r="E20" i="1"/>
  <c r="E33" i="1" s="1"/>
  <c r="J40" i="1"/>
  <c r="J41" i="1" s="1"/>
  <c r="B72" i="1"/>
  <c r="B105" i="3" l="1"/>
  <c r="C104" i="3"/>
  <c r="F85" i="3"/>
  <c r="D90" i="3"/>
  <c r="C92" i="3"/>
  <c r="B73" i="1"/>
  <c r="J62" i="1"/>
  <c r="N62" i="1" s="1"/>
  <c r="N63" i="1" s="1"/>
  <c r="N40" i="1"/>
  <c r="N41" i="1" s="1"/>
  <c r="O33" i="1"/>
  <c r="D104" i="3" l="1"/>
  <c r="D105" i="3" s="1"/>
  <c r="E108" i="3" s="1"/>
  <c r="C105" i="3"/>
  <c r="F84" i="3"/>
  <c r="G84" i="3" s="1"/>
  <c r="D91" i="3"/>
  <c r="D92" i="3" s="1"/>
  <c r="O38" i="1"/>
  <c r="M20" i="1" s="1"/>
  <c r="T9" i="1"/>
  <c r="T11" i="1" s="1"/>
  <c r="T14" i="1" s="1"/>
  <c r="T16" i="1" s="1"/>
  <c r="D95" i="3" l="1"/>
  <c r="G85" i="3"/>
  <c r="M38" i="1"/>
  <c r="W33" i="1"/>
  <c r="W34" i="1" s="1"/>
  <c r="W36" i="1" s="1"/>
</calcChain>
</file>

<file path=xl/sharedStrings.xml><?xml version="1.0" encoding="utf-8"?>
<sst xmlns="http://schemas.openxmlformats.org/spreadsheetml/2006/main" count="376" uniqueCount="200">
  <si>
    <t>סעיף</t>
  </si>
  <si>
    <t>מזומן</t>
  </si>
  <si>
    <t>לקוחות</t>
  </si>
  <si>
    <t>הפרשה לחובות מסופקים ליום 1.1.2023</t>
  </si>
  <si>
    <t>מלאי ליום 1.1.2023</t>
  </si>
  <si>
    <t xml:space="preserve">מלאי ליום 31.12.2023 - מאזן </t>
  </si>
  <si>
    <t>מלאי ליום 31.12.2023 - רווח והפסד</t>
  </si>
  <si>
    <t>מכונות חימום נקניק (עלות)</t>
  </si>
  <si>
    <t>מכונות חימום נקניק - פחת נצבר 1.1.2023</t>
  </si>
  <si>
    <t>מחשבי Macbook (עלות)</t>
  </si>
  <si>
    <t>מחשבי Macbook - פחת נצבר 1.1.2023</t>
  </si>
  <si>
    <t>הוצאות ניקיון מראש 1.1.2023</t>
  </si>
  <si>
    <t>הוצאות שכר דירה לשלם 1.1.2023</t>
  </si>
  <si>
    <t>הכנסות מראש ממתן שירותי ייעוץ 1.1.2023</t>
  </si>
  <si>
    <t>הלוואות לזמן קצר</t>
  </si>
  <si>
    <t>הלוואות לזמן ארוך</t>
  </si>
  <si>
    <t>ספקים</t>
  </si>
  <si>
    <t>הון מניות</t>
  </si>
  <si>
    <t>עודפים</t>
  </si>
  <si>
    <t>עודפים 1.1.2023</t>
  </si>
  <si>
    <t>הוצאות חשמל</t>
  </si>
  <si>
    <t>שכר טרחת עורכי דין</t>
  </si>
  <si>
    <t>הוצאות טלפון</t>
  </si>
  <si>
    <t>הוצאות ניקיון</t>
  </si>
  <si>
    <t>הוצאות שכר דירה</t>
  </si>
  <si>
    <t>הוצאות שכר - הנהלה</t>
  </si>
  <si>
    <t>הוצאות שכר - שיווק ומכירות</t>
  </si>
  <si>
    <t>הוצאות ריבית</t>
  </si>
  <si>
    <t>הוצאות מס</t>
  </si>
  <si>
    <t>הכנסות ריבית</t>
  </si>
  <si>
    <t>סכום כספי</t>
  </si>
  <si>
    <t>נכסים</t>
  </si>
  <si>
    <t>התחייבויות</t>
  </si>
  <si>
    <t>הון עצמי</t>
  </si>
  <si>
    <t>הכנסות</t>
  </si>
  <si>
    <t>הוצאות</t>
  </si>
  <si>
    <t>?</t>
  </si>
  <si>
    <t>מכירות</t>
  </si>
  <si>
    <t>קניות</t>
  </si>
  <si>
    <t>לקוחות ברוטו</t>
  </si>
  <si>
    <t>לקוחות ברוטו י״פ</t>
  </si>
  <si>
    <t>מכירות באשראי</t>
  </si>
  <si>
    <t>בניכוי גבייה</t>
  </si>
  <si>
    <t>&lt;&lt;&lt;</t>
  </si>
  <si>
    <t>הלח״מ י״פ</t>
  </si>
  <si>
    <t>פחת נצבר י״פ</t>
  </si>
  <si>
    <t>פחת נצבר י״פ:</t>
  </si>
  <si>
    <t>סכום ספרות:</t>
  </si>
  <si>
    <t>ספרה ב-2022:</t>
  </si>
  <si>
    <t>עלות</t>
  </si>
  <si>
    <t>שייר</t>
  </si>
  <si>
    <t>בסיס הפחת</t>
  </si>
  <si>
    <t>הוצ׳ פחת 2022 = פחנ״צ 1.1.2023</t>
  </si>
  <si>
    <t>הכנסות מראש י״פ</t>
  </si>
  <si>
    <t>סה״כ</t>
  </si>
  <si>
    <t>לפני תיקונים</t>
  </si>
  <si>
    <t>אחרי תיקונים</t>
  </si>
  <si>
    <t>י״ס הלח״מ</t>
  </si>
  <si>
    <t>הוצ׳ הלח״מ:</t>
  </si>
  <si>
    <t>הוצאות הלח״מ (חדש)</t>
  </si>
  <si>
    <t>ח׳ הוצאות הלח״מ</t>
  </si>
  <si>
    <t>ז׳ הלח״מ</t>
  </si>
  <si>
    <t xml:space="preserve">הפרשה לחובות מסופקים </t>
  </si>
  <si>
    <t>הוצאות פחת:</t>
  </si>
  <si>
    <t>הוצאות פחת (מכונת נקניק) חדש</t>
  </si>
  <si>
    <t>ח׳ הוצאות פחת</t>
  </si>
  <si>
    <t>ז׳ פחנ״צ מכונת נקניק</t>
  </si>
  <si>
    <t>ערך ספרים ערב המכירה:</t>
  </si>
  <si>
    <t>פחנ״צ</t>
  </si>
  <si>
    <t>ערך ספרים</t>
  </si>
  <si>
    <t>רווח הון</t>
  </si>
  <si>
    <t>תמורה</t>
  </si>
  <si>
    <t xml:space="preserve">ח׳ פחנ״צ מכונת נקניק </t>
  </si>
  <si>
    <t>ז׳ מכונת נקניק - עלות</t>
  </si>
  <si>
    <t>ז׳ רווח הון</t>
  </si>
  <si>
    <t>ח׳ מזומן</t>
  </si>
  <si>
    <t xml:space="preserve">מכונות חימום נקניק - פחת נצבר </t>
  </si>
  <si>
    <t>רווח הון ממכירת מכונת נקניק חדש</t>
  </si>
  <si>
    <t>הוצאות פחת מחשבים חדש</t>
  </si>
  <si>
    <t>ז׳ פחנ״צ מקבוק</t>
  </si>
  <si>
    <t>הוצאות ניקיון נוספות</t>
  </si>
  <si>
    <t>ח׳ הוצאות ניקיון</t>
  </si>
  <si>
    <t>ז׳ הוצאות ניקיון מראש</t>
  </si>
  <si>
    <t>הוצאות ניקיון מראש</t>
  </si>
  <si>
    <t>הוצאות שכר דירה בפועל:</t>
  </si>
  <si>
    <t>ח׳ הוצאות שכר דירה לשלם</t>
  </si>
  <si>
    <t>ז׳ הוצאות שכר דירה</t>
  </si>
  <si>
    <t>הוצאות שכר דירה לשלם</t>
  </si>
  <si>
    <t>הכנסות ב-2023:</t>
  </si>
  <si>
    <t>ח׳ הכנסות מייעוץ מראש</t>
  </si>
  <si>
    <t>ז׳ הכנסות מייעוץ</t>
  </si>
  <si>
    <t>הכנסות מייעוץ (הכנסות אחרות) - חדש</t>
  </si>
  <si>
    <t>דוחות כספיים</t>
  </si>
  <si>
    <t>דוח רווח והפסד לשנת 2023</t>
  </si>
  <si>
    <t>עלות המכר</t>
  </si>
  <si>
    <t>רווח גולמי</t>
  </si>
  <si>
    <t>הוצאות מכירה ושיווק</t>
  </si>
  <si>
    <t>הוצאות הנהלה וכלליות</t>
  </si>
  <si>
    <t>הכנסות אחרות</t>
  </si>
  <si>
    <t>רווח תפעולי</t>
  </si>
  <si>
    <t>הוצאות מימון</t>
  </si>
  <si>
    <t>הכנסות מימון</t>
  </si>
  <si>
    <t>רווח לפני מסים על ההכנסה</t>
  </si>
  <si>
    <t>מסים על ההכנסה</t>
  </si>
  <si>
    <t>רווח נקי</t>
  </si>
  <si>
    <t>הדוח על המצב הכספי ליום 31.12.2023</t>
  </si>
  <si>
    <t>התחייבויות והון עצמי</t>
  </si>
  <si>
    <t>נכסים שוטפים</t>
  </si>
  <si>
    <t>לקוחות, נטו</t>
  </si>
  <si>
    <t>מלאי</t>
  </si>
  <si>
    <t>נכסים לא שוטפים</t>
  </si>
  <si>
    <t>רכוש קבוע, נטו</t>
  </si>
  <si>
    <t>סך הנכסים</t>
  </si>
  <si>
    <t>התחייבויות שוטפות</t>
  </si>
  <si>
    <t>התחייבויות לא שוטפות</t>
  </si>
  <si>
    <t>סך ההתחייבויות וההון</t>
  </si>
  <si>
    <t>שאלה 1</t>
  </si>
  <si>
    <t>ז׳ הון מניות</t>
  </si>
  <si>
    <t>ח׳ הוצאות תפעוליות</t>
  </si>
  <si>
    <t>ז׳ מזומן</t>
  </si>
  <si>
    <t>ז׳ הלוואות לזמן ארוך</t>
  </si>
  <si>
    <t>ח׳ הלוואות לזמן ארוך</t>
  </si>
  <si>
    <t>ח׳ לקוחות</t>
  </si>
  <si>
    <t>ח׳ הוצאות חשמל</t>
  </si>
  <si>
    <t>ח׳ פיקדון לזמן קצר</t>
  </si>
  <si>
    <t>ז׳ פיקדון בנקאי לזמן קצר</t>
  </si>
  <si>
    <t>ז׳ הכנסות ריבית</t>
  </si>
  <si>
    <t>ח׳ הוצאות מסים על ההכנסה</t>
  </si>
  <si>
    <t>ז׳ הכנסות משירות</t>
  </si>
  <si>
    <t>שאלה 2</t>
  </si>
  <si>
    <t>שנה</t>
  </si>
  <si>
    <t>פקודה הנה״ח</t>
  </si>
  <si>
    <t>סך הכנסה</t>
  </si>
  <si>
    <t>פקודת התאמה</t>
  </si>
  <si>
    <t>יתרת חתך</t>
  </si>
  <si>
    <t>שיעור השלמה</t>
  </si>
  <si>
    <t>אין</t>
  </si>
  <si>
    <t>ח׳ הכנסות לקבל 200,000</t>
  </si>
  <si>
    <t>ז׳ הכנסות משירות 200,000</t>
  </si>
  <si>
    <t>הכנסות לקבל - 200,000</t>
  </si>
  <si>
    <t>ח׳ מזומן 375,000</t>
  </si>
  <si>
    <t>ז׳ הכנסות משירות 375,000</t>
  </si>
  <si>
    <t>ח׳ מזומן 125,000</t>
  </si>
  <si>
    <t>ז׳ הכנסות משירות 125,000</t>
  </si>
  <si>
    <t>ח׳ הכנסות משירות 275,000</t>
  </si>
  <si>
    <t>ז׳ הכנסות לקבל 200,000</t>
  </si>
  <si>
    <t>ז׳ הכנסות מראש 75,000</t>
  </si>
  <si>
    <t>הכנסות מראש - 75,000</t>
  </si>
  <si>
    <t>ח׳ הכנסות מראש 25,000</t>
  </si>
  <si>
    <t>ז׳ הכנסות משירות 25,000</t>
  </si>
  <si>
    <t>הכנסות מראש - 50,000</t>
  </si>
  <si>
    <t>ח׳ הכנסות מראש 50,000</t>
  </si>
  <si>
    <t>ז׳ הכנסות משירות 50,000</t>
  </si>
  <si>
    <t>שאלה 3</t>
  </si>
  <si>
    <t>לקוחות, ברוטו</t>
  </si>
  <si>
    <t>חובה</t>
  </si>
  <si>
    <t>זכות</t>
  </si>
  <si>
    <t>הלח״מ</t>
  </si>
  <si>
    <t>הוצאות הלח״מ</t>
  </si>
  <si>
    <t>התקבלו גם פתרונות שפירטו בצורה מלאה יותר את ההשפעה של ערכים ברוטו לרבות עסקאות במזומן כל עוד</t>
  </si>
  <si>
    <t>המשמעות היא יתרות סגירה זהות.</t>
  </si>
  <si>
    <t>להלן ניתוח העסקאות המקוצר המתבסס על בידוד ההשפעות על יתרת הלקוחות ברוטו.</t>
  </si>
  <si>
    <t>שנת 2020 - זיכוי לקוחות</t>
  </si>
  <si>
    <t>שנת 2020 - גבייה מלקוחות</t>
  </si>
  <si>
    <t>יתרה 31.12.2020</t>
  </si>
  <si>
    <t>שנת 2020 - הוצ׳ הלח״מ</t>
  </si>
  <si>
    <t>כמו כן התקבלו פתרונות שהפרידו לכרטיסים נפרדים ולא ריכזו אותם זה לצד זה.</t>
  </si>
  <si>
    <t>שנת 2021 - שירות באשראי</t>
  </si>
  <si>
    <t>שנת 2020 - שירות באשראי</t>
  </si>
  <si>
    <t>שנת 2021 - גבייה מלקוחות</t>
  </si>
  <si>
    <t>שנת 2021 - חוב אבוד</t>
  </si>
  <si>
    <t>יתרה 31.12.2021</t>
  </si>
  <si>
    <t>שנת 2021 - הוצאות הלח״מ</t>
  </si>
  <si>
    <t>ריכוז המענה:</t>
  </si>
  <si>
    <t>א.</t>
  </si>
  <si>
    <t>ב.</t>
  </si>
  <si>
    <t>שאלה 4</t>
  </si>
  <si>
    <t>פחת נצבר</t>
  </si>
  <si>
    <t>הוצאות פחת</t>
  </si>
  <si>
    <t>עמודת עזר</t>
  </si>
  <si>
    <t>לא</t>
  </si>
  <si>
    <t>לדיווח</t>
  </si>
  <si>
    <t>סכום ספרות</t>
  </si>
  <si>
    <t>תחילת הפחתה</t>
  </si>
  <si>
    <t>שייר / גרט</t>
  </si>
  <si>
    <t>פחת 2022</t>
  </si>
  <si>
    <t>פחת 2023</t>
  </si>
  <si>
    <t>פחת 2024</t>
  </si>
  <si>
    <t>הערכים באלפי ש״ח:</t>
  </si>
  <si>
    <t>הוצאות הלח״מ - חדש!!!</t>
  </si>
  <si>
    <r>
      <t xml:space="preserve">הפרשה לחובות מסופקים ליום </t>
    </r>
    <r>
      <rPr>
        <sz val="12"/>
        <color rgb="FFFF0000"/>
        <rFont val="David"/>
      </rPr>
      <t>31.12.2023</t>
    </r>
  </si>
  <si>
    <t>הוצאות פחת מכונת נקניק - חדש!!!</t>
  </si>
  <si>
    <t>רווח הון - חדש!!!</t>
  </si>
  <si>
    <r>
      <t xml:space="preserve">מכונות חימום נקניק - פחת נצבר </t>
    </r>
    <r>
      <rPr>
        <sz val="12"/>
        <color rgb="FFFF0000"/>
        <rFont val="David"/>
      </rPr>
      <t>31.12.2023</t>
    </r>
  </si>
  <si>
    <r>
      <t xml:space="preserve">מחשבי Macbook - פחת נצבר </t>
    </r>
    <r>
      <rPr>
        <sz val="12"/>
        <color rgb="FFFF0000"/>
        <rFont val="David"/>
      </rPr>
      <t>31.12.2023</t>
    </r>
  </si>
  <si>
    <r>
      <t xml:space="preserve">הוצאות שכר דירה לשלם </t>
    </r>
    <r>
      <rPr>
        <sz val="12"/>
        <color rgb="FFFF0000"/>
        <rFont val="David"/>
      </rPr>
      <t>31.12.2023</t>
    </r>
  </si>
  <si>
    <r>
      <t xml:space="preserve">הוצאות ניקיון מראש </t>
    </r>
    <r>
      <rPr>
        <sz val="12"/>
        <color rgb="FFFF0000"/>
        <rFont val="David"/>
      </rPr>
      <t>31.12.2023</t>
    </r>
  </si>
  <si>
    <r>
      <t xml:space="preserve">הכנסות מראש ממתן שירותי ייעוץ </t>
    </r>
    <r>
      <rPr>
        <sz val="12"/>
        <color rgb="FFFF0000"/>
        <rFont val="David"/>
      </rPr>
      <t>31.12.2023</t>
    </r>
  </si>
  <si>
    <t>הוצאות פחת מחשבי Macbook- חדש!!!</t>
  </si>
  <si>
    <t>הכנסות משירותי ייעוץ - חדש!!!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</si>
</sst>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_);\(0\)"/>
    <numFmt numFmtId="175" formatCode="0.000_);\(0.000\)"/>
  </numFmts>
  <fonts count="8" x14ac:knownFonts="1">
    <font>
      <sz val="12"/>
      <color theme="1"/>
      <name val="Aptos Narrow"/>
      <family val="2"/>
      <scheme val="minor"/>
    </font>
    <font>
      <sz val="12"/>
      <color theme="1"/>
      <name val="David"/>
    </font>
    <font>
      <b/>
      <sz val="12"/>
      <color rgb="FFFF0000"/>
      <name val="David"/>
    </font>
    <font>
      <b/>
      <sz val="12"/>
      <color theme="1"/>
      <name val="David"/>
    </font>
    <font>
      <sz val="12"/>
      <name val="David"/>
    </font>
    <font>
      <sz val="12"/>
      <color rgb="FFFFFF00"/>
      <name val="David"/>
    </font>
    <font>
      <sz val="12"/>
      <color theme="0"/>
      <name val="David"/>
    </font>
    <font>
      <sz val="12"/>
      <color rgb="FFFF0000"/>
      <name val="David"/>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horizontal="center"/>
    </xf>
    <xf numFmtId="164" fontId="1" fillId="0" borderId="0" xfId="0" applyNumberFormat="1" applyFont="1"/>
    <xf numFmtId="1" fontId="1" fillId="0" borderId="0" xfId="0" applyNumberFormat="1" applyFont="1"/>
    <xf numFmtId="0" fontId="1" fillId="2" borderId="0" xfId="0" applyFont="1" applyFill="1"/>
    <xf numFmtId="0" fontId="2" fillId="0" borderId="0" xfId="0" applyFont="1"/>
    <xf numFmtId="0" fontId="3" fillId="0" borderId="0" xfId="0" applyFont="1"/>
    <xf numFmtId="0" fontId="4" fillId="0" borderId="0" xfId="0" applyFont="1"/>
    <xf numFmtId="0" fontId="1" fillId="0" borderId="1" xfId="0" applyFont="1" applyBorder="1" applyAlignment="1">
      <alignment horizontal="center"/>
    </xf>
    <xf numFmtId="0" fontId="0" fillId="0" borderId="1" xfId="0" applyBorder="1" applyAlignment="1">
      <alignment horizontal="center"/>
    </xf>
    <xf numFmtId="0" fontId="1" fillId="0" borderId="1" xfId="0" applyFont="1" applyBorder="1" applyAlignment="1">
      <alignment horizontal="right"/>
    </xf>
    <xf numFmtId="0" fontId="0" fillId="0" borderId="1" xfId="0" applyBorder="1" applyAlignment="1">
      <alignment horizontal="right"/>
    </xf>
    <xf numFmtId="14" fontId="1" fillId="0" borderId="0" xfId="0" applyNumberFormat="1" applyFont="1"/>
    <xf numFmtId="0" fontId="5" fillId="2" borderId="0" xfId="0" applyFont="1" applyFill="1"/>
    <xf numFmtId="0" fontId="6" fillId="0" borderId="0" xfId="0" applyFont="1"/>
    <xf numFmtId="37" fontId="1" fillId="2" borderId="1" xfId="0" applyNumberFormat="1" applyFont="1" applyFill="1" applyBorder="1" applyAlignment="1">
      <alignment horizontal="center"/>
    </xf>
    <xf numFmtId="0" fontId="1" fillId="2" borderId="1" xfId="0" applyFont="1" applyFill="1" applyBorder="1" applyAlignment="1">
      <alignment horizontal="center"/>
    </xf>
    <xf numFmtId="165" fontId="1" fillId="2" borderId="1" xfId="0" applyNumberFormat="1" applyFont="1" applyFill="1" applyBorder="1" applyAlignment="1">
      <alignment horizontal="center"/>
    </xf>
    <xf numFmtId="0" fontId="0" fillId="0" borderId="1" xfId="0" applyBorder="1"/>
    <xf numFmtId="0" fontId="1" fillId="3" borderId="1" xfId="0" applyFont="1" applyFill="1" applyBorder="1" applyAlignment="1">
      <alignment horizontal="right"/>
    </xf>
    <xf numFmtId="165" fontId="1" fillId="3" borderId="1" xfId="0" applyNumberFormat="1" applyFont="1" applyFill="1" applyBorder="1" applyAlignment="1">
      <alignment horizontal="center"/>
    </xf>
    <xf numFmtId="165" fontId="7" fillId="3" borderId="1" xfId="0" applyNumberFormat="1" applyFont="1" applyFill="1" applyBorder="1" applyAlignment="1">
      <alignment horizontal="center"/>
    </xf>
    <xf numFmtId="0" fontId="1" fillId="3" borderId="1" xfId="0" applyFont="1" applyFill="1" applyBorder="1" applyAlignment="1">
      <alignment horizontal="center"/>
    </xf>
    <xf numFmtId="0" fontId="7" fillId="3" borderId="1" xfId="0" applyFont="1" applyFill="1" applyBorder="1" applyAlignment="1">
      <alignment horizontal="center"/>
    </xf>
    <xf numFmtId="164" fontId="1" fillId="0" borderId="1" xfId="0" applyNumberFormat="1" applyFont="1" applyBorder="1" applyAlignment="1">
      <alignment horizontal="center"/>
    </xf>
    <xf numFmtId="164" fontId="1" fillId="3" borderId="1" xfId="0" applyNumberFormat="1" applyFont="1" applyFill="1" applyBorder="1" applyAlignment="1">
      <alignment horizontal="center"/>
    </xf>
    <xf numFmtId="175" fontId="7" fillId="3"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32016</xdr:colOff>
      <xdr:row>17</xdr:row>
      <xdr:rowOff>10672</xdr:rowOff>
    </xdr:from>
    <xdr:to>
      <xdr:col>13</xdr:col>
      <xdr:colOff>197436</xdr:colOff>
      <xdr:row>17</xdr:row>
      <xdr:rowOff>186765</xdr:rowOff>
    </xdr:to>
    <xdr:sp macro="" textlink="">
      <xdr:nvSpPr>
        <xdr:cNvPr id="11" name="Rounded Rectangle 10">
          <a:extLst>
            <a:ext uri="{FF2B5EF4-FFF2-40B4-BE49-F238E27FC236}">
              <a16:creationId xmlns:a16="http://schemas.microsoft.com/office/drawing/2014/main" id="{F778C01A-6A13-EC6E-3E3D-7C5831880D03}"/>
            </a:ext>
          </a:extLst>
        </xdr:cNvPr>
        <xdr:cNvSpPr/>
      </xdr:nvSpPr>
      <xdr:spPr>
        <a:xfrm>
          <a:off x="13540270421" y="3457815"/>
          <a:ext cx="16542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1</a:t>
          </a:r>
          <a:endParaRPr lang="en-US" sz="800"/>
        </a:p>
      </xdr:txBody>
    </xdr:sp>
    <xdr:clientData/>
  </xdr:twoCellAnchor>
  <xdr:twoCellAnchor>
    <xdr:from>
      <xdr:col>17</xdr:col>
      <xdr:colOff>69370</xdr:colOff>
      <xdr:row>31</xdr:row>
      <xdr:rowOff>10673</xdr:rowOff>
    </xdr:from>
    <xdr:to>
      <xdr:col>17</xdr:col>
      <xdr:colOff>234790</xdr:colOff>
      <xdr:row>31</xdr:row>
      <xdr:rowOff>186766</xdr:rowOff>
    </xdr:to>
    <xdr:sp macro="" textlink="">
      <xdr:nvSpPr>
        <xdr:cNvPr id="12" name="Rounded Rectangle 11">
          <a:extLst>
            <a:ext uri="{FF2B5EF4-FFF2-40B4-BE49-F238E27FC236}">
              <a16:creationId xmlns:a16="http://schemas.microsoft.com/office/drawing/2014/main" id="{3239ED39-D8A9-EACF-DD8A-883320C601F2}"/>
            </a:ext>
          </a:extLst>
        </xdr:cNvPr>
        <xdr:cNvSpPr/>
      </xdr:nvSpPr>
      <xdr:spPr>
        <a:xfrm>
          <a:off x="13536924664" y="6296639"/>
          <a:ext cx="16542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2</a:t>
          </a:r>
          <a:endParaRPr lang="en-US" sz="800"/>
        </a:p>
      </xdr:txBody>
    </xdr:sp>
    <xdr:clientData/>
  </xdr:twoCellAnchor>
  <xdr:twoCellAnchor>
    <xdr:from>
      <xdr:col>13</xdr:col>
      <xdr:colOff>37352</xdr:colOff>
      <xdr:row>22</xdr:row>
      <xdr:rowOff>16011</xdr:rowOff>
    </xdr:from>
    <xdr:to>
      <xdr:col>13</xdr:col>
      <xdr:colOff>197436</xdr:colOff>
      <xdr:row>22</xdr:row>
      <xdr:rowOff>192104</xdr:rowOff>
    </xdr:to>
    <xdr:sp macro="" textlink="">
      <xdr:nvSpPr>
        <xdr:cNvPr id="13" name="Rounded Rectangle 12">
          <a:extLst>
            <a:ext uri="{FF2B5EF4-FFF2-40B4-BE49-F238E27FC236}">
              <a16:creationId xmlns:a16="http://schemas.microsoft.com/office/drawing/2014/main" id="{0666CDEE-9453-F73E-2786-B80F5837C688}"/>
            </a:ext>
          </a:extLst>
        </xdr:cNvPr>
        <xdr:cNvSpPr/>
      </xdr:nvSpPr>
      <xdr:spPr>
        <a:xfrm>
          <a:off x="13540270421" y="4477019"/>
          <a:ext cx="160084"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4</a:t>
          </a:r>
          <a:endParaRPr lang="en-US" sz="800"/>
        </a:p>
      </xdr:txBody>
    </xdr:sp>
    <xdr:clientData/>
  </xdr:twoCellAnchor>
  <xdr:twoCellAnchor>
    <xdr:from>
      <xdr:col>16</xdr:col>
      <xdr:colOff>90712</xdr:colOff>
      <xdr:row>33</xdr:row>
      <xdr:rowOff>16010</xdr:rowOff>
    </xdr:from>
    <xdr:to>
      <xdr:col>16</xdr:col>
      <xdr:colOff>250796</xdr:colOff>
      <xdr:row>33</xdr:row>
      <xdr:rowOff>192103</xdr:rowOff>
    </xdr:to>
    <xdr:sp macro="" textlink="">
      <xdr:nvSpPr>
        <xdr:cNvPr id="14" name="Rounded Rectangle 13">
          <a:extLst>
            <a:ext uri="{FF2B5EF4-FFF2-40B4-BE49-F238E27FC236}">
              <a16:creationId xmlns:a16="http://schemas.microsoft.com/office/drawing/2014/main" id="{CBC8BAF5-AF31-ABA8-8A8B-754B62E8A698}"/>
            </a:ext>
          </a:extLst>
        </xdr:cNvPr>
        <xdr:cNvSpPr/>
      </xdr:nvSpPr>
      <xdr:spPr>
        <a:xfrm>
          <a:off x="13537735759" y="6707523"/>
          <a:ext cx="160084"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5</a:t>
          </a:r>
          <a:endParaRPr lang="en-US" sz="800"/>
        </a:p>
      </xdr:txBody>
    </xdr:sp>
    <xdr:clientData/>
  </xdr:twoCellAnchor>
  <xdr:twoCellAnchor>
    <xdr:from>
      <xdr:col>17</xdr:col>
      <xdr:colOff>69368</xdr:colOff>
      <xdr:row>32</xdr:row>
      <xdr:rowOff>32019</xdr:rowOff>
    </xdr:from>
    <xdr:to>
      <xdr:col>17</xdr:col>
      <xdr:colOff>229452</xdr:colOff>
      <xdr:row>33</xdr:row>
      <xdr:rowOff>5338</xdr:rowOff>
    </xdr:to>
    <xdr:sp macro="" textlink="">
      <xdr:nvSpPr>
        <xdr:cNvPr id="15" name="Rounded Rectangle 14">
          <a:extLst>
            <a:ext uri="{FF2B5EF4-FFF2-40B4-BE49-F238E27FC236}">
              <a16:creationId xmlns:a16="http://schemas.microsoft.com/office/drawing/2014/main" id="{5B254127-F04F-C975-75B8-417512E85446}"/>
            </a:ext>
          </a:extLst>
        </xdr:cNvPr>
        <xdr:cNvSpPr/>
      </xdr:nvSpPr>
      <xdr:spPr>
        <a:xfrm>
          <a:off x="13536930002" y="6520758"/>
          <a:ext cx="160084"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3</a:t>
          </a:r>
          <a:endParaRPr lang="en-US" sz="800"/>
        </a:p>
      </xdr:txBody>
    </xdr:sp>
    <xdr:clientData/>
  </xdr:twoCellAnchor>
  <xdr:twoCellAnchor>
    <xdr:from>
      <xdr:col>13</xdr:col>
      <xdr:colOff>21342</xdr:colOff>
      <xdr:row>15</xdr:row>
      <xdr:rowOff>21345</xdr:rowOff>
    </xdr:from>
    <xdr:to>
      <xdr:col>13</xdr:col>
      <xdr:colOff>181426</xdr:colOff>
      <xdr:row>15</xdr:row>
      <xdr:rowOff>197438</xdr:rowOff>
    </xdr:to>
    <xdr:sp macro="" textlink="">
      <xdr:nvSpPr>
        <xdr:cNvPr id="16" name="Rounded Rectangle 15">
          <a:extLst>
            <a:ext uri="{FF2B5EF4-FFF2-40B4-BE49-F238E27FC236}">
              <a16:creationId xmlns:a16="http://schemas.microsoft.com/office/drawing/2014/main" id="{536CF914-A7EE-6E7B-953B-8F7555E2CE44}"/>
            </a:ext>
          </a:extLst>
        </xdr:cNvPr>
        <xdr:cNvSpPr/>
      </xdr:nvSpPr>
      <xdr:spPr>
        <a:xfrm>
          <a:off x="13540286431" y="3062942"/>
          <a:ext cx="160084"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6</a:t>
          </a:r>
          <a:endParaRPr lang="en-US" sz="800"/>
        </a:p>
      </xdr:txBody>
    </xdr:sp>
    <xdr:clientData/>
  </xdr:twoCellAnchor>
  <xdr:twoCellAnchor>
    <xdr:from>
      <xdr:col>12</xdr:col>
      <xdr:colOff>677687</xdr:colOff>
      <xdr:row>22</xdr:row>
      <xdr:rowOff>16009</xdr:rowOff>
    </xdr:from>
    <xdr:to>
      <xdr:col>13</xdr:col>
      <xdr:colOff>10670</xdr:colOff>
      <xdr:row>22</xdr:row>
      <xdr:rowOff>192102</xdr:rowOff>
    </xdr:to>
    <xdr:sp macro="" textlink="">
      <xdr:nvSpPr>
        <xdr:cNvPr id="17" name="Rounded Rectangle 16">
          <a:extLst>
            <a:ext uri="{FF2B5EF4-FFF2-40B4-BE49-F238E27FC236}">
              <a16:creationId xmlns:a16="http://schemas.microsoft.com/office/drawing/2014/main" id="{EA15A4BA-4DAF-8F82-2348-BF37D30D1F6A}"/>
            </a:ext>
          </a:extLst>
        </xdr:cNvPr>
        <xdr:cNvSpPr/>
      </xdr:nvSpPr>
      <xdr:spPr>
        <a:xfrm>
          <a:off x="13540457187" y="4477017"/>
          <a:ext cx="160084"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7</a:t>
          </a:r>
          <a:endParaRPr lang="en-US" sz="800"/>
        </a:p>
      </xdr:txBody>
    </xdr:sp>
    <xdr:clientData/>
  </xdr:twoCellAnchor>
  <xdr:twoCellAnchor>
    <xdr:from>
      <xdr:col>13</xdr:col>
      <xdr:colOff>112056</xdr:colOff>
      <xdr:row>27</xdr:row>
      <xdr:rowOff>21345</xdr:rowOff>
    </xdr:from>
    <xdr:to>
      <xdr:col>13</xdr:col>
      <xdr:colOff>272140</xdr:colOff>
      <xdr:row>27</xdr:row>
      <xdr:rowOff>197438</xdr:rowOff>
    </xdr:to>
    <xdr:sp macro="" textlink="">
      <xdr:nvSpPr>
        <xdr:cNvPr id="18" name="Rounded Rectangle 17">
          <a:extLst>
            <a:ext uri="{FF2B5EF4-FFF2-40B4-BE49-F238E27FC236}">
              <a16:creationId xmlns:a16="http://schemas.microsoft.com/office/drawing/2014/main" id="{BA0C06E5-05DD-BC91-B54E-818C05D87D79}"/>
            </a:ext>
          </a:extLst>
        </xdr:cNvPr>
        <xdr:cNvSpPr/>
      </xdr:nvSpPr>
      <xdr:spPr>
        <a:xfrm>
          <a:off x="13540195717" y="5496219"/>
          <a:ext cx="160084"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8</a:t>
          </a:r>
          <a:endParaRPr lang="en-US" sz="800"/>
        </a:p>
      </xdr:txBody>
    </xdr:sp>
    <xdr:clientData/>
  </xdr:twoCellAnchor>
  <xdr:twoCellAnchor>
    <xdr:from>
      <xdr:col>16</xdr:col>
      <xdr:colOff>827099</xdr:colOff>
      <xdr:row>34</xdr:row>
      <xdr:rowOff>21345</xdr:rowOff>
    </xdr:from>
    <xdr:to>
      <xdr:col>17</xdr:col>
      <xdr:colOff>160082</xdr:colOff>
      <xdr:row>34</xdr:row>
      <xdr:rowOff>197438</xdr:rowOff>
    </xdr:to>
    <xdr:sp macro="" textlink="">
      <xdr:nvSpPr>
        <xdr:cNvPr id="20" name="Rounded Rectangle 19">
          <a:extLst>
            <a:ext uri="{FF2B5EF4-FFF2-40B4-BE49-F238E27FC236}">
              <a16:creationId xmlns:a16="http://schemas.microsoft.com/office/drawing/2014/main" id="{3CCECB5F-63AD-4FE1-0212-C495C4250793}"/>
            </a:ext>
          </a:extLst>
        </xdr:cNvPr>
        <xdr:cNvSpPr/>
      </xdr:nvSpPr>
      <xdr:spPr>
        <a:xfrm>
          <a:off x="13536999372" y="6915631"/>
          <a:ext cx="160084"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9</a:t>
          </a:r>
          <a:endParaRPr lang="en-US" sz="800"/>
        </a:p>
      </xdr:txBody>
    </xdr:sp>
    <xdr:clientData/>
  </xdr:twoCellAnchor>
  <xdr:twoCellAnchor>
    <xdr:from>
      <xdr:col>12</xdr:col>
      <xdr:colOff>608319</xdr:colOff>
      <xdr:row>30</xdr:row>
      <xdr:rowOff>21345</xdr:rowOff>
    </xdr:from>
    <xdr:to>
      <xdr:col>13</xdr:col>
      <xdr:colOff>96048</xdr:colOff>
      <xdr:row>30</xdr:row>
      <xdr:rowOff>197438</xdr:rowOff>
    </xdr:to>
    <xdr:sp macro="" textlink="">
      <xdr:nvSpPr>
        <xdr:cNvPr id="21" name="Rounded Rectangle 20">
          <a:extLst>
            <a:ext uri="{FF2B5EF4-FFF2-40B4-BE49-F238E27FC236}">
              <a16:creationId xmlns:a16="http://schemas.microsoft.com/office/drawing/2014/main" id="{F3B0070A-7674-069F-020F-26B61C20F9BA}"/>
            </a:ext>
          </a:extLst>
        </xdr:cNvPr>
        <xdr:cNvSpPr/>
      </xdr:nvSpPr>
      <xdr:spPr>
        <a:xfrm>
          <a:off x="13540371809" y="6104538"/>
          <a:ext cx="31483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10</a:t>
          </a:r>
          <a:endParaRPr lang="en-US" sz="800"/>
        </a:p>
      </xdr:txBody>
    </xdr:sp>
    <xdr:clientData/>
  </xdr:twoCellAnchor>
  <xdr:twoCellAnchor>
    <xdr:from>
      <xdr:col>12</xdr:col>
      <xdr:colOff>613655</xdr:colOff>
      <xdr:row>10</xdr:row>
      <xdr:rowOff>10672</xdr:rowOff>
    </xdr:from>
    <xdr:to>
      <xdr:col>13</xdr:col>
      <xdr:colOff>101384</xdr:colOff>
      <xdr:row>10</xdr:row>
      <xdr:rowOff>186765</xdr:rowOff>
    </xdr:to>
    <xdr:sp macro="" textlink="">
      <xdr:nvSpPr>
        <xdr:cNvPr id="23" name="Rounded Rectangle 22">
          <a:extLst>
            <a:ext uri="{FF2B5EF4-FFF2-40B4-BE49-F238E27FC236}">
              <a16:creationId xmlns:a16="http://schemas.microsoft.com/office/drawing/2014/main" id="{C68654DF-0A15-B320-60FA-F5029A019765}"/>
            </a:ext>
          </a:extLst>
        </xdr:cNvPr>
        <xdr:cNvSpPr/>
      </xdr:nvSpPr>
      <xdr:spPr>
        <a:xfrm>
          <a:off x="13540366473" y="2038403"/>
          <a:ext cx="31483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11</a:t>
          </a:r>
          <a:endParaRPr lang="en-US" sz="800"/>
        </a:p>
      </xdr:txBody>
    </xdr:sp>
    <xdr:clientData/>
  </xdr:twoCellAnchor>
  <xdr:twoCellAnchor>
    <xdr:from>
      <xdr:col>16</xdr:col>
      <xdr:colOff>725714</xdr:colOff>
      <xdr:row>12</xdr:row>
      <xdr:rowOff>37353</xdr:rowOff>
    </xdr:from>
    <xdr:to>
      <xdr:col>17</xdr:col>
      <xdr:colOff>213443</xdr:colOff>
      <xdr:row>13</xdr:row>
      <xdr:rowOff>10673</xdr:rowOff>
    </xdr:to>
    <xdr:sp macro="" textlink="">
      <xdr:nvSpPr>
        <xdr:cNvPr id="24" name="Rounded Rectangle 23">
          <a:extLst>
            <a:ext uri="{FF2B5EF4-FFF2-40B4-BE49-F238E27FC236}">
              <a16:creationId xmlns:a16="http://schemas.microsoft.com/office/drawing/2014/main" id="{6DA3D99E-C596-DB6B-E934-6A18BB0AFE5D}"/>
            </a:ext>
          </a:extLst>
        </xdr:cNvPr>
        <xdr:cNvSpPr/>
      </xdr:nvSpPr>
      <xdr:spPr>
        <a:xfrm>
          <a:off x="13536946011" y="2470630"/>
          <a:ext cx="31483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12</a:t>
          </a:r>
          <a:endParaRPr lang="en-US" sz="800"/>
        </a:p>
      </xdr:txBody>
    </xdr:sp>
    <xdr:clientData/>
  </xdr:twoCellAnchor>
  <xdr:twoCellAnchor>
    <xdr:from>
      <xdr:col>13</xdr:col>
      <xdr:colOff>699033</xdr:colOff>
      <xdr:row>4</xdr:row>
      <xdr:rowOff>16008</xdr:rowOff>
    </xdr:from>
    <xdr:to>
      <xdr:col>14</xdr:col>
      <xdr:colOff>186763</xdr:colOff>
      <xdr:row>4</xdr:row>
      <xdr:rowOff>192101</xdr:rowOff>
    </xdr:to>
    <xdr:sp macro="" textlink="">
      <xdr:nvSpPr>
        <xdr:cNvPr id="26" name="Rounded Rectangle 25">
          <a:extLst>
            <a:ext uri="{FF2B5EF4-FFF2-40B4-BE49-F238E27FC236}">
              <a16:creationId xmlns:a16="http://schemas.microsoft.com/office/drawing/2014/main" id="{B7EED0D9-CE4C-50A3-589A-325CDA550C30}"/>
            </a:ext>
          </a:extLst>
        </xdr:cNvPr>
        <xdr:cNvSpPr/>
      </xdr:nvSpPr>
      <xdr:spPr>
        <a:xfrm>
          <a:off x="13539453994" y="827100"/>
          <a:ext cx="31483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13</a:t>
          </a:r>
          <a:endParaRPr lang="en-US" sz="800"/>
        </a:p>
      </xdr:txBody>
    </xdr:sp>
    <xdr:clientData/>
  </xdr:twoCellAnchor>
  <xdr:twoCellAnchor>
    <xdr:from>
      <xdr:col>16</xdr:col>
      <xdr:colOff>816429</xdr:colOff>
      <xdr:row>26</xdr:row>
      <xdr:rowOff>26680</xdr:rowOff>
    </xdr:from>
    <xdr:to>
      <xdr:col>17</xdr:col>
      <xdr:colOff>304158</xdr:colOff>
      <xdr:row>27</xdr:row>
      <xdr:rowOff>0</xdr:rowOff>
    </xdr:to>
    <xdr:sp macro="" textlink="">
      <xdr:nvSpPr>
        <xdr:cNvPr id="27" name="Rounded Rectangle 26">
          <a:extLst>
            <a:ext uri="{FF2B5EF4-FFF2-40B4-BE49-F238E27FC236}">
              <a16:creationId xmlns:a16="http://schemas.microsoft.com/office/drawing/2014/main" id="{C643B185-8C32-7B87-1EAD-4CDC99E195BD}"/>
            </a:ext>
          </a:extLst>
        </xdr:cNvPr>
        <xdr:cNvSpPr/>
      </xdr:nvSpPr>
      <xdr:spPr>
        <a:xfrm>
          <a:off x="13536855296" y="5298781"/>
          <a:ext cx="31483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14</a:t>
          </a:r>
          <a:endParaRPr lang="en-US" sz="800"/>
        </a:p>
      </xdr:txBody>
    </xdr:sp>
    <xdr:clientData/>
  </xdr:twoCellAnchor>
  <xdr:twoCellAnchor>
    <xdr:from>
      <xdr:col>13</xdr:col>
      <xdr:colOff>677689</xdr:colOff>
      <xdr:row>11</xdr:row>
      <xdr:rowOff>21345</xdr:rowOff>
    </xdr:from>
    <xdr:to>
      <xdr:col>14</xdr:col>
      <xdr:colOff>165419</xdr:colOff>
      <xdr:row>11</xdr:row>
      <xdr:rowOff>197438</xdr:rowOff>
    </xdr:to>
    <xdr:sp macro="" textlink="">
      <xdr:nvSpPr>
        <xdr:cNvPr id="29" name="Rounded Rectangle 28">
          <a:extLst>
            <a:ext uri="{FF2B5EF4-FFF2-40B4-BE49-F238E27FC236}">
              <a16:creationId xmlns:a16="http://schemas.microsoft.com/office/drawing/2014/main" id="{A06F2FC6-5829-5BE1-53AD-CCE9790A82D5}"/>
            </a:ext>
          </a:extLst>
        </xdr:cNvPr>
        <xdr:cNvSpPr/>
      </xdr:nvSpPr>
      <xdr:spPr>
        <a:xfrm>
          <a:off x="13539475338" y="2251849"/>
          <a:ext cx="31483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15</a:t>
          </a:r>
          <a:endParaRPr lang="en-US" sz="800"/>
        </a:p>
      </xdr:txBody>
    </xdr:sp>
    <xdr:clientData/>
  </xdr:twoCellAnchor>
  <xdr:twoCellAnchor>
    <xdr:from>
      <xdr:col>15</xdr:col>
      <xdr:colOff>779076</xdr:colOff>
      <xdr:row>35</xdr:row>
      <xdr:rowOff>10673</xdr:rowOff>
    </xdr:from>
    <xdr:to>
      <xdr:col>16</xdr:col>
      <xdr:colOff>266805</xdr:colOff>
      <xdr:row>35</xdr:row>
      <xdr:rowOff>186766</xdr:rowOff>
    </xdr:to>
    <xdr:sp macro="" textlink="">
      <xdr:nvSpPr>
        <xdr:cNvPr id="30" name="Rounded Rectangle 29">
          <a:extLst>
            <a:ext uri="{FF2B5EF4-FFF2-40B4-BE49-F238E27FC236}">
              <a16:creationId xmlns:a16="http://schemas.microsoft.com/office/drawing/2014/main" id="{6B281289-2A24-D3A3-7F56-8CE62A3CDE33}"/>
            </a:ext>
          </a:extLst>
        </xdr:cNvPr>
        <xdr:cNvSpPr/>
      </xdr:nvSpPr>
      <xdr:spPr>
        <a:xfrm>
          <a:off x="13537719750" y="7107732"/>
          <a:ext cx="31483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16</a:t>
          </a:r>
          <a:endParaRPr lang="en-US" sz="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398721</xdr:colOff>
      <xdr:row>34</xdr:row>
      <xdr:rowOff>191978</xdr:rowOff>
    </xdr:from>
    <xdr:to>
      <xdr:col>6</xdr:col>
      <xdr:colOff>760523</xdr:colOff>
      <xdr:row>38</xdr:row>
      <xdr:rowOff>118141</xdr:rowOff>
    </xdr:to>
    <xdr:sp macro="" textlink="">
      <xdr:nvSpPr>
        <xdr:cNvPr id="2" name="TextBox 1">
          <a:extLst>
            <a:ext uri="{FF2B5EF4-FFF2-40B4-BE49-F238E27FC236}">
              <a16:creationId xmlns:a16="http://schemas.microsoft.com/office/drawing/2014/main" id="{9320EEDF-C67B-88D5-B433-E98CC1E36EF2}"/>
            </a:ext>
          </a:extLst>
        </xdr:cNvPr>
        <xdr:cNvSpPr txBox="1"/>
      </xdr:nvSpPr>
      <xdr:spPr>
        <a:xfrm>
          <a:off x="13543464593" y="7221280"/>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1. יתרת</a:t>
          </a:r>
          <a:r>
            <a:rPr lang="he-IL" sz="1100" baseline="0"/>
            <a:t> הלקוחות ברוטו ליום 31.12.2023 הסתכמה ב-200 אלפי ש״ח. השינויים היחידים שחלו בחשבון הלקוחות ברוטו בשנת 2023 היו מכירות ללקוחות באשראי בסך 800 אלפי ש״ח וגבייה מלקוחות בסך 700 אלפי ש״ח. החברה מחשבת את יתרת ההפרשה לחובות מסופקים (יתרת ההלח״מ / החומ״ס) לפי שיעור של 10% מיתרת הלקוחות לתום כל תקופת דיווח. </a:t>
          </a:r>
          <a:endParaRPr lang="en-US" sz="1100"/>
        </a:p>
      </xdr:txBody>
    </xdr:sp>
    <xdr:clientData/>
  </xdr:twoCellAnchor>
  <xdr:twoCellAnchor>
    <xdr:from>
      <xdr:col>0</xdr:col>
      <xdr:colOff>406105</xdr:colOff>
      <xdr:row>43</xdr:row>
      <xdr:rowOff>177210</xdr:rowOff>
    </xdr:from>
    <xdr:to>
      <xdr:col>6</xdr:col>
      <xdr:colOff>767907</xdr:colOff>
      <xdr:row>47</xdr:row>
      <xdr:rowOff>103373</xdr:rowOff>
    </xdr:to>
    <xdr:sp macro="" textlink="">
      <xdr:nvSpPr>
        <xdr:cNvPr id="4" name="TextBox 3">
          <a:extLst>
            <a:ext uri="{FF2B5EF4-FFF2-40B4-BE49-F238E27FC236}">
              <a16:creationId xmlns:a16="http://schemas.microsoft.com/office/drawing/2014/main" id="{0FCB5DAE-1DAF-B3B0-ADCE-E1035597A1F6}"/>
            </a:ext>
          </a:extLst>
        </xdr:cNvPr>
        <xdr:cNvSpPr txBox="1"/>
      </xdr:nvSpPr>
      <xdr:spPr>
        <a:xfrm>
          <a:off x="13543457209" y="9067210"/>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2. יתרת המלאי ליום 31.12.2023 היא בעלות של 120 אלפי ש״ח. שווי המימוש נטו של המלאי לתום השנה הוא בסך של 90 אלפי ש״ח. </a:t>
          </a:r>
          <a:endParaRPr lang="en-US" sz="1100"/>
        </a:p>
      </xdr:txBody>
    </xdr:sp>
    <xdr:clientData/>
  </xdr:twoCellAnchor>
  <xdr:twoCellAnchor>
    <xdr:from>
      <xdr:col>0</xdr:col>
      <xdr:colOff>413489</xdr:colOff>
      <xdr:row>49</xdr:row>
      <xdr:rowOff>1</xdr:rowOff>
    </xdr:from>
    <xdr:to>
      <xdr:col>6</xdr:col>
      <xdr:colOff>775291</xdr:colOff>
      <xdr:row>52</xdr:row>
      <xdr:rowOff>132908</xdr:rowOff>
    </xdr:to>
    <xdr:sp macro="" textlink="">
      <xdr:nvSpPr>
        <xdr:cNvPr id="5" name="TextBox 4">
          <a:extLst>
            <a:ext uri="{FF2B5EF4-FFF2-40B4-BE49-F238E27FC236}">
              <a16:creationId xmlns:a16="http://schemas.microsoft.com/office/drawing/2014/main" id="{478D9BC3-D595-8313-0684-3E512658F679}"/>
            </a:ext>
          </a:extLst>
        </xdr:cNvPr>
        <xdr:cNvSpPr txBox="1"/>
      </xdr:nvSpPr>
      <xdr:spPr>
        <a:xfrm>
          <a:off x="13543449825" y="10130466"/>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3. המכונה לחימום נקניק</a:t>
          </a:r>
          <a:r>
            <a:rPr lang="he-IL" sz="1100" baseline="0"/>
            <a:t> נרכשה ב-1.7.2022. היא מופחתת על פני 10 שנים בשיטת הקו הישר, ללא ערך שייר. בתאריך 1.4.2023 נמכרה המכונה כך שרווח ההון שנוצר במכירה הסתכם ב-30 אלפי ש״ח. טרם ניתן ביטוי לפעולת המכירה בדיווחים הכספיים הנתונים בשאלה. </a:t>
          </a:r>
          <a:endParaRPr lang="en-US" sz="1100"/>
        </a:p>
      </xdr:txBody>
    </xdr:sp>
    <xdr:clientData/>
  </xdr:twoCellAnchor>
  <xdr:twoCellAnchor>
    <xdr:from>
      <xdr:col>0</xdr:col>
      <xdr:colOff>391339</xdr:colOff>
      <xdr:row>60</xdr:row>
      <xdr:rowOff>177209</xdr:rowOff>
    </xdr:from>
    <xdr:to>
      <xdr:col>6</xdr:col>
      <xdr:colOff>502094</xdr:colOff>
      <xdr:row>65</xdr:row>
      <xdr:rowOff>81222</xdr:rowOff>
    </xdr:to>
    <xdr:sp macro="" textlink="">
      <xdr:nvSpPr>
        <xdr:cNvPr id="6" name="TextBox 5">
          <a:extLst>
            <a:ext uri="{FF2B5EF4-FFF2-40B4-BE49-F238E27FC236}">
              <a16:creationId xmlns:a16="http://schemas.microsoft.com/office/drawing/2014/main" id="{166CC549-5388-A99F-A9D7-18C4BFEAC0A4}"/>
            </a:ext>
          </a:extLst>
        </xdr:cNvPr>
        <xdr:cNvSpPr txBox="1"/>
      </xdr:nvSpPr>
      <xdr:spPr>
        <a:xfrm>
          <a:off x="13545472964" y="12581860"/>
          <a:ext cx="6837325" cy="9377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4. מחשבי ה- </a:t>
          </a:r>
          <a:r>
            <a:rPr lang="en-US" sz="1100"/>
            <a:t>Macbook</a:t>
          </a:r>
          <a:r>
            <a:rPr lang="he-IL" sz="1100"/>
            <a:t> נרשכו ב-1.1.2022 והם מופחתים בשיטת סכום ספרות השנים היורד (סס״י)</a:t>
          </a:r>
          <a:r>
            <a:rPr lang="he-IL" sz="1100" baseline="0"/>
            <a:t> במשך 7 שנים. ערך השייר / הגרט המוגדר למחשבים אלו הוא בשיעור של 20% מעלותם. </a:t>
          </a:r>
          <a:endParaRPr lang="en-US" sz="1100"/>
        </a:p>
      </xdr:txBody>
    </xdr:sp>
    <xdr:clientData/>
  </xdr:twoCellAnchor>
  <xdr:twoCellAnchor>
    <xdr:from>
      <xdr:col>0</xdr:col>
      <xdr:colOff>280582</xdr:colOff>
      <xdr:row>74</xdr:row>
      <xdr:rowOff>147675</xdr:rowOff>
    </xdr:from>
    <xdr:to>
      <xdr:col>6</xdr:col>
      <xdr:colOff>642384</xdr:colOff>
      <xdr:row>78</xdr:row>
      <xdr:rowOff>73839</xdr:rowOff>
    </xdr:to>
    <xdr:sp macro="" textlink="">
      <xdr:nvSpPr>
        <xdr:cNvPr id="7" name="TextBox 6">
          <a:extLst>
            <a:ext uri="{FF2B5EF4-FFF2-40B4-BE49-F238E27FC236}">
              <a16:creationId xmlns:a16="http://schemas.microsoft.com/office/drawing/2014/main" id="{1C16A802-F1E4-95D0-324B-3ED466178C5D}"/>
            </a:ext>
          </a:extLst>
        </xdr:cNvPr>
        <xdr:cNvSpPr txBox="1"/>
      </xdr:nvSpPr>
      <xdr:spPr>
        <a:xfrm>
          <a:off x="13543582732" y="14206280"/>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5. ב-1.7.2022 שילמה החברה עבור הוצאות ניקיון לשנה סכום של 24 אלפי ש״ח,</a:t>
          </a:r>
          <a:r>
            <a:rPr lang="he-IL" sz="1100" baseline="0"/>
            <a:t> כלומר עבור התקופה 1.7.2022 - 1.7.2023. בהנהלת החשבונות לא העניקו ביטוי כלשהו לעדכון השפעות ההסכם הנ״ל על הדיווחים הכספיים של שנת 2023. כמו כן שילמה החברה במזומן בעד הוצאות ניקיון למחצית השנה הנותרת. </a:t>
          </a:r>
          <a:endParaRPr lang="en-US" sz="1100"/>
        </a:p>
      </xdr:txBody>
    </xdr:sp>
    <xdr:clientData/>
  </xdr:twoCellAnchor>
  <xdr:twoCellAnchor>
    <xdr:from>
      <xdr:col>0</xdr:col>
      <xdr:colOff>273198</xdr:colOff>
      <xdr:row>80</xdr:row>
      <xdr:rowOff>7384</xdr:rowOff>
    </xdr:from>
    <xdr:to>
      <xdr:col>6</xdr:col>
      <xdr:colOff>635000</xdr:colOff>
      <xdr:row>83</xdr:row>
      <xdr:rowOff>140292</xdr:rowOff>
    </xdr:to>
    <xdr:sp macro="" textlink="">
      <xdr:nvSpPr>
        <xdr:cNvPr id="8" name="TextBox 7">
          <a:extLst>
            <a:ext uri="{FF2B5EF4-FFF2-40B4-BE49-F238E27FC236}">
              <a16:creationId xmlns:a16="http://schemas.microsoft.com/office/drawing/2014/main" id="{2D5DF791-7A14-7951-7B96-B9ADFE9691A7}"/>
            </a:ext>
          </a:extLst>
        </xdr:cNvPr>
        <xdr:cNvSpPr txBox="1"/>
      </xdr:nvSpPr>
      <xdr:spPr>
        <a:xfrm>
          <a:off x="13543590116" y="15306454"/>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6. ב-1.1.2022</a:t>
          </a:r>
          <a:r>
            <a:rPr lang="he-IL" sz="1100" baseline="0"/>
            <a:t> חתמה החברה על הסכם לפיו תשכור מבנה משרדים לשנה אחת, עד ל-31.12.2022, כאשר החשבונית תופק והסכום ישולם במהלך שנת 2023. סכום ההסדר לשנה שלמה הוא 40 אלפי ש״ח. בשנת 2023 שולם הסכום בפועל ומנהל החשבונות רשם את הפקודה (באלפי ש״ח): חובה הוצאות שכירות 40, זכות מזומן 40. </a:t>
          </a:r>
          <a:endParaRPr lang="en-US" sz="1100"/>
        </a:p>
      </xdr:txBody>
    </xdr:sp>
    <xdr:clientData/>
  </xdr:twoCellAnchor>
  <xdr:twoCellAnchor>
    <xdr:from>
      <xdr:col>0</xdr:col>
      <xdr:colOff>273198</xdr:colOff>
      <xdr:row>84</xdr:row>
      <xdr:rowOff>118139</xdr:rowOff>
    </xdr:from>
    <xdr:to>
      <xdr:col>6</xdr:col>
      <xdr:colOff>635000</xdr:colOff>
      <xdr:row>88</xdr:row>
      <xdr:rowOff>44303</xdr:rowOff>
    </xdr:to>
    <xdr:sp macro="" textlink="">
      <xdr:nvSpPr>
        <xdr:cNvPr id="9" name="TextBox 8">
          <a:extLst>
            <a:ext uri="{FF2B5EF4-FFF2-40B4-BE49-F238E27FC236}">
              <a16:creationId xmlns:a16="http://schemas.microsoft.com/office/drawing/2014/main" id="{89ED666B-14E8-71DD-86D7-56A3BB2BC651}"/>
            </a:ext>
          </a:extLst>
        </xdr:cNvPr>
        <xdr:cNvSpPr txBox="1"/>
      </xdr:nvSpPr>
      <xdr:spPr>
        <a:xfrm>
          <a:off x="13543590116" y="16244186"/>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7. ב-1.1.2022 החברה חתמה על הסכם למתן שירותי ייעוץ לחברה אחרת לפי שעות. החברה זוקפת הכנסות משירות לסעיף הכנסות אחרות</a:t>
          </a:r>
          <a:r>
            <a:rPr lang="he-IL" sz="1100" baseline="0"/>
            <a:t> בדוח רווח והפסד. בסך הכל סיפקה החברה 1,000 שעות ייעוץ בתעריף של 50 ש״ח לשעה במהלך 2022 אך לפי תנאי ההסדר קיבלה במהלך השנה סכום של 80 אלפי ש״ח (חלק מהסכום עבור ייעוץ בשנה העוקבת). במהלך שנת 2023 סופקו כל יתר שעות הייעוץ בהתאם לתמורה שנתקבלה, אך לא ניתן ביטוי כלשהו לפעולה זו בדיווחים לעיל. </a:t>
          </a:r>
          <a:endParaRPr lang="en-US" sz="1100"/>
        </a:p>
      </xdr:txBody>
    </xdr:sp>
    <xdr:clientData/>
  </xdr:twoCellAnchor>
  <xdr:twoCellAnchor>
    <xdr:from>
      <xdr:col>0</xdr:col>
      <xdr:colOff>273198</xdr:colOff>
      <xdr:row>91</xdr:row>
      <xdr:rowOff>7383</xdr:rowOff>
    </xdr:from>
    <xdr:to>
      <xdr:col>6</xdr:col>
      <xdr:colOff>635000</xdr:colOff>
      <xdr:row>94</xdr:row>
      <xdr:rowOff>140291</xdr:rowOff>
    </xdr:to>
    <xdr:sp macro="" textlink="">
      <xdr:nvSpPr>
        <xdr:cNvPr id="10" name="TextBox 9">
          <a:extLst>
            <a:ext uri="{FF2B5EF4-FFF2-40B4-BE49-F238E27FC236}">
              <a16:creationId xmlns:a16="http://schemas.microsoft.com/office/drawing/2014/main" id="{7F4FDA00-B435-7736-BB7B-F7F776FD4D5A}"/>
            </a:ext>
          </a:extLst>
        </xdr:cNvPr>
        <xdr:cNvSpPr txBox="1"/>
      </xdr:nvSpPr>
      <xdr:spPr>
        <a:xfrm>
          <a:off x="13545340058" y="18821104"/>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8. החברה זוקפת הוצאות שאין להן</a:t>
          </a:r>
          <a:r>
            <a:rPr lang="he-IL" sz="1100" baseline="0"/>
            <a:t> שיוך ברור לפעילות ספציפית להוצאות הנהלה וכלליות.</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ABAF8-A669-3442-BB22-ADDCCCC6B334}">
  <dimension ref="A1:R46"/>
  <sheetViews>
    <sheetView rightToLeft="1" tabSelected="1" zoomScale="192" workbookViewId="0">
      <selection activeCell="I21" sqref="I21"/>
    </sheetView>
  </sheetViews>
  <sheetFormatPr baseColWidth="10" defaultRowHeight="16" x14ac:dyDescent="0.2"/>
  <cols>
    <col min="1" max="1" width="34.1640625" bestFit="1" customWidth="1"/>
    <col min="12" max="12" width="36.33203125" customWidth="1"/>
  </cols>
  <sheetData>
    <row r="1" spans="1:18" x14ac:dyDescent="0.2">
      <c r="A1" s="9" t="s">
        <v>0</v>
      </c>
      <c r="B1" s="9" t="s">
        <v>30</v>
      </c>
      <c r="C1" s="9" t="s">
        <v>31</v>
      </c>
      <c r="D1" s="9" t="s">
        <v>32</v>
      </c>
      <c r="E1" s="9" t="s">
        <v>33</v>
      </c>
      <c r="F1" s="9" t="s">
        <v>34</v>
      </c>
      <c r="G1" s="9" t="s">
        <v>35</v>
      </c>
      <c r="L1" s="9" t="s">
        <v>0</v>
      </c>
      <c r="M1" s="9" t="s">
        <v>30</v>
      </c>
      <c r="N1" s="9" t="s">
        <v>31</v>
      </c>
      <c r="O1" s="9" t="s">
        <v>32</v>
      </c>
      <c r="P1" s="9" t="s">
        <v>33</v>
      </c>
      <c r="Q1" s="9" t="s">
        <v>34</v>
      </c>
      <c r="R1" s="9" t="s">
        <v>35</v>
      </c>
    </row>
    <row r="2" spans="1:18" x14ac:dyDescent="0.2">
      <c r="A2" s="11" t="s">
        <v>38</v>
      </c>
      <c r="B2" s="9">
        <v>480</v>
      </c>
      <c r="C2" s="9"/>
      <c r="D2" s="9"/>
      <c r="E2" s="9"/>
      <c r="F2" s="9"/>
      <c r="G2" s="9">
        <f>B2</f>
        <v>480</v>
      </c>
      <c r="H2">
        <v>1</v>
      </c>
      <c r="L2" s="11" t="s">
        <v>38</v>
      </c>
      <c r="M2" s="9">
        <v>480</v>
      </c>
      <c r="N2" s="9"/>
      <c r="O2" s="9"/>
      <c r="P2" s="9"/>
      <c r="Q2" s="9"/>
      <c r="R2" s="9">
        <f>M2</f>
        <v>480</v>
      </c>
    </row>
    <row r="3" spans="1:18" x14ac:dyDescent="0.2">
      <c r="A3" s="11" t="s">
        <v>4</v>
      </c>
      <c r="B3" s="9">
        <v>40</v>
      </c>
      <c r="C3" s="9"/>
      <c r="D3" s="9"/>
      <c r="E3" s="9"/>
      <c r="F3" s="9"/>
      <c r="G3" s="9">
        <f>B3</f>
        <v>40</v>
      </c>
      <c r="H3">
        <v>2</v>
      </c>
      <c r="L3" s="11" t="s">
        <v>4</v>
      </c>
      <c r="M3" s="9">
        <v>40</v>
      </c>
      <c r="N3" s="9"/>
      <c r="O3" s="9"/>
      <c r="P3" s="9"/>
      <c r="Q3" s="9"/>
      <c r="R3" s="9">
        <f>M3</f>
        <v>40</v>
      </c>
    </row>
    <row r="4" spans="1:18" x14ac:dyDescent="0.2">
      <c r="A4" s="11" t="s">
        <v>6</v>
      </c>
      <c r="B4" s="17" t="s">
        <v>36</v>
      </c>
      <c r="C4" s="9"/>
      <c r="D4" s="9"/>
      <c r="E4" s="9"/>
      <c r="F4" s="9"/>
      <c r="G4" s="16">
        <f>-MIN(120,90)</f>
        <v>-90</v>
      </c>
      <c r="H4">
        <v>3</v>
      </c>
      <c r="L4" s="11" t="s">
        <v>6</v>
      </c>
      <c r="M4" s="17" t="s">
        <v>36</v>
      </c>
      <c r="N4" s="9"/>
      <c r="O4" s="9"/>
      <c r="P4" s="9"/>
      <c r="Q4" s="9"/>
      <c r="R4" s="16">
        <f>-MIN(120,90)</f>
        <v>-90</v>
      </c>
    </row>
    <row r="5" spans="1:18" x14ac:dyDescent="0.2">
      <c r="A5" s="11" t="s">
        <v>12</v>
      </c>
      <c r="B5" s="17" t="s">
        <v>36</v>
      </c>
      <c r="C5" s="9"/>
      <c r="D5" s="17">
        <v>40</v>
      </c>
      <c r="E5" s="9"/>
      <c r="F5" s="9"/>
      <c r="G5" s="9"/>
      <c r="H5">
        <v>4</v>
      </c>
      <c r="L5" s="11" t="s">
        <v>195</v>
      </c>
      <c r="M5" s="17" t="s">
        <v>36</v>
      </c>
      <c r="N5" s="9"/>
      <c r="O5" s="24">
        <f>40-40</f>
        <v>0</v>
      </c>
      <c r="P5" s="9"/>
      <c r="Q5" s="9"/>
      <c r="R5" s="9"/>
    </row>
    <row r="6" spans="1:18" x14ac:dyDescent="0.2">
      <c r="A6" s="11" t="s">
        <v>27</v>
      </c>
      <c r="B6" s="9">
        <v>10</v>
      </c>
      <c r="C6" s="9"/>
      <c r="D6" s="9"/>
      <c r="E6" s="9"/>
      <c r="F6" s="9"/>
      <c r="G6" s="9">
        <f>B6</f>
        <v>10</v>
      </c>
      <c r="H6">
        <v>4</v>
      </c>
      <c r="L6" s="11" t="s">
        <v>27</v>
      </c>
      <c r="M6" s="9">
        <v>10</v>
      </c>
      <c r="N6" s="9"/>
      <c r="O6" s="9"/>
      <c r="P6" s="9"/>
      <c r="Q6" s="9"/>
      <c r="R6" s="9">
        <f>M6</f>
        <v>10</v>
      </c>
    </row>
    <row r="7" spans="1:18" x14ac:dyDescent="0.2">
      <c r="A7" s="11" t="s">
        <v>16</v>
      </c>
      <c r="B7" s="9">
        <v>100</v>
      </c>
      <c r="C7" s="9"/>
      <c r="D7" s="9">
        <f>B7</f>
        <v>100</v>
      </c>
      <c r="E7" s="9"/>
      <c r="F7" s="9"/>
      <c r="G7" s="9"/>
      <c r="H7">
        <v>5</v>
      </c>
      <c r="L7" s="11" t="s">
        <v>16</v>
      </c>
      <c r="M7" s="9">
        <v>100</v>
      </c>
      <c r="N7" s="9"/>
      <c r="O7" s="9">
        <f>M7</f>
        <v>100</v>
      </c>
      <c r="P7" s="9"/>
      <c r="Q7" s="9"/>
      <c r="R7" s="9"/>
    </row>
    <row r="8" spans="1:18" x14ac:dyDescent="0.2">
      <c r="A8" s="11" t="s">
        <v>25</v>
      </c>
      <c r="B8" s="9">
        <v>23</v>
      </c>
      <c r="C8" s="9"/>
      <c r="D8" s="9"/>
      <c r="E8" s="9"/>
      <c r="F8" s="9"/>
      <c r="G8" s="9">
        <f>B8</f>
        <v>23</v>
      </c>
      <c r="H8">
        <v>5</v>
      </c>
      <c r="L8" s="11" t="s">
        <v>25</v>
      </c>
      <c r="M8" s="9">
        <v>23</v>
      </c>
      <c r="N8" s="9"/>
      <c r="O8" s="9"/>
      <c r="P8" s="9"/>
      <c r="Q8" s="9"/>
      <c r="R8" s="9">
        <f>M8</f>
        <v>23</v>
      </c>
    </row>
    <row r="9" spans="1:18" x14ac:dyDescent="0.2">
      <c r="A9" s="11" t="s">
        <v>19</v>
      </c>
      <c r="B9" s="9" t="s">
        <v>36</v>
      </c>
      <c r="C9" s="9"/>
      <c r="D9" s="9"/>
      <c r="E9" s="17">
        <f>1417+620-330-917-150</f>
        <v>640</v>
      </c>
      <c r="F9" s="9"/>
      <c r="G9" s="9"/>
      <c r="H9">
        <v>7</v>
      </c>
      <c r="L9" s="11" t="s">
        <v>19</v>
      </c>
      <c r="M9" s="9" t="s">
        <v>36</v>
      </c>
      <c r="N9" s="9"/>
      <c r="O9" s="9"/>
      <c r="P9" s="17">
        <v>640</v>
      </c>
      <c r="Q9" s="9"/>
      <c r="R9" s="9"/>
    </row>
    <row r="10" spans="1:18" x14ac:dyDescent="0.2">
      <c r="A10" s="11" t="s">
        <v>20</v>
      </c>
      <c r="B10" s="9">
        <v>13</v>
      </c>
      <c r="C10" s="9"/>
      <c r="D10" s="9"/>
      <c r="E10" s="9"/>
      <c r="F10" s="9"/>
      <c r="G10" s="9">
        <f>B10</f>
        <v>13</v>
      </c>
      <c r="H10">
        <v>8</v>
      </c>
      <c r="L10" s="11" t="s">
        <v>20</v>
      </c>
      <c r="M10" s="9">
        <v>13</v>
      </c>
      <c r="N10" s="9"/>
      <c r="O10" s="9"/>
      <c r="P10" s="9"/>
      <c r="Q10" s="9"/>
      <c r="R10" s="9">
        <f>M10</f>
        <v>13</v>
      </c>
    </row>
    <row r="11" spans="1:18" x14ac:dyDescent="0.2">
      <c r="A11" s="11" t="s">
        <v>11</v>
      </c>
      <c r="B11" s="9" t="s">
        <v>36</v>
      </c>
      <c r="C11" s="17">
        <f>24*6/12</f>
        <v>12</v>
      </c>
      <c r="D11" s="9"/>
      <c r="E11" s="9"/>
      <c r="F11" s="9"/>
      <c r="G11" s="9"/>
      <c r="H11">
        <v>9</v>
      </c>
      <c r="L11" s="11" t="s">
        <v>196</v>
      </c>
      <c r="M11" s="9" t="s">
        <v>36</v>
      </c>
      <c r="N11" s="24">
        <f>24*6/12-12</f>
        <v>0</v>
      </c>
      <c r="O11" s="9"/>
      <c r="P11" s="9"/>
      <c r="Q11" s="9"/>
      <c r="R11" s="9"/>
    </row>
    <row r="12" spans="1:18" x14ac:dyDescent="0.2">
      <c r="A12" s="11" t="s">
        <v>13</v>
      </c>
      <c r="B12" s="9" t="s">
        <v>36</v>
      </c>
      <c r="C12" s="9"/>
      <c r="D12" s="17">
        <f>80-50</f>
        <v>30</v>
      </c>
      <c r="E12" s="9"/>
      <c r="F12" s="9"/>
      <c r="G12" s="9"/>
      <c r="H12">
        <v>9</v>
      </c>
      <c r="L12" s="11" t="s">
        <v>197</v>
      </c>
      <c r="M12" s="9" t="s">
        <v>36</v>
      </c>
      <c r="N12" s="9"/>
      <c r="O12" s="24">
        <f>80-50-30</f>
        <v>0</v>
      </c>
      <c r="P12" s="9"/>
      <c r="Q12" s="9"/>
      <c r="R12" s="9"/>
    </row>
    <row r="13" spans="1:18" x14ac:dyDescent="0.2">
      <c r="A13" s="11" t="s">
        <v>23</v>
      </c>
      <c r="B13" s="9">
        <v>23</v>
      </c>
      <c r="C13" s="9"/>
      <c r="D13" s="9"/>
      <c r="E13" s="9"/>
      <c r="F13" s="9"/>
      <c r="G13" s="9">
        <f>B13</f>
        <v>23</v>
      </c>
      <c r="H13">
        <v>10</v>
      </c>
      <c r="L13" s="11" t="s">
        <v>23</v>
      </c>
      <c r="M13" s="9">
        <v>23</v>
      </c>
      <c r="N13" s="9"/>
      <c r="O13" s="9"/>
      <c r="P13" s="9"/>
      <c r="Q13" s="9"/>
      <c r="R13" s="24">
        <f>M13+12</f>
        <v>35</v>
      </c>
    </row>
    <row r="14" spans="1:18" x14ac:dyDescent="0.2">
      <c r="A14" s="11" t="s">
        <v>2</v>
      </c>
      <c r="B14" s="9">
        <v>200</v>
      </c>
      <c r="C14" s="9">
        <f>B14</f>
        <v>200</v>
      </c>
      <c r="D14" s="9"/>
      <c r="E14" s="9"/>
      <c r="F14" s="9"/>
      <c r="G14" s="9"/>
      <c r="H14">
        <v>12</v>
      </c>
      <c r="L14" s="11" t="s">
        <v>2</v>
      </c>
      <c r="M14" s="9">
        <v>200</v>
      </c>
      <c r="N14" s="9">
        <f>M14</f>
        <v>200</v>
      </c>
      <c r="O14" s="9"/>
      <c r="P14" s="9"/>
      <c r="Q14" s="9"/>
      <c r="R14" s="9"/>
    </row>
    <row r="15" spans="1:18" x14ac:dyDescent="0.2">
      <c r="A15" s="11" t="s">
        <v>21</v>
      </c>
      <c r="B15" s="9">
        <v>14</v>
      </c>
      <c r="C15" s="9"/>
      <c r="D15" s="9"/>
      <c r="E15" s="9"/>
      <c r="F15" s="9"/>
      <c r="G15" s="9">
        <f>B15</f>
        <v>14</v>
      </c>
      <c r="H15">
        <v>12</v>
      </c>
      <c r="L15" s="11" t="s">
        <v>21</v>
      </c>
      <c r="M15" s="9">
        <v>14</v>
      </c>
      <c r="N15" s="9"/>
      <c r="O15" s="9"/>
      <c r="P15" s="9"/>
      <c r="Q15" s="9"/>
      <c r="R15" s="9">
        <f>M15</f>
        <v>14</v>
      </c>
    </row>
    <row r="16" spans="1:18" x14ac:dyDescent="0.2">
      <c r="A16" s="11" t="s">
        <v>1</v>
      </c>
      <c r="B16" s="9">
        <v>10</v>
      </c>
      <c r="C16" s="9">
        <f>B16</f>
        <v>10</v>
      </c>
      <c r="D16" s="9"/>
      <c r="E16" s="9"/>
      <c r="F16" s="9"/>
      <c r="G16" s="9"/>
      <c r="H16">
        <v>13</v>
      </c>
      <c r="L16" s="11" t="s">
        <v>1</v>
      </c>
      <c r="M16" s="9">
        <v>10</v>
      </c>
      <c r="N16" s="24">
        <f>10+(462.5+30)</f>
        <v>502.5</v>
      </c>
      <c r="O16" s="9"/>
      <c r="P16" s="9"/>
      <c r="Q16" s="9"/>
      <c r="R16" s="9"/>
    </row>
    <row r="17" spans="1:18" x14ac:dyDescent="0.2">
      <c r="A17" s="11" t="s">
        <v>22</v>
      </c>
      <c r="B17" s="9">
        <v>19</v>
      </c>
      <c r="C17" s="9"/>
      <c r="D17" s="9"/>
      <c r="E17" s="9"/>
      <c r="F17" s="9"/>
      <c r="G17" s="9">
        <f>B17</f>
        <v>19</v>
      </c>
      <c r="H17">
        <v>13</v>
      </c>
      <c r="L17" s="11" t="s">
        <v>22</v>
      </c>
      <c r="M17" s="9">
        <v>19</v>
      </c>
      <c r="N17" s="9"/>
      <c r="O17" s="9"/>
      <c r="P17" s="9"/>
      <c r="Q17" s="9"/>
      <c r="R17" s="9">
        <f>M17</f>
        <v>19</v>
      </c>
    </row>
    <row r="18" spans="1:18" x14ac:dyDescent="0.2">
      <c r="A18" s="11" t="s">
        <v>3</v>
      </c>
      <c r="B18" s="9" t="s">
        <v>36</v>
      </c>
      <c r="C18" s="18">
        <f>-(200-(800-700))*10%</f>
        <v>-10</v>
      </c>
      <c r="D18" s="9"/>
      <c r="E18" s="9"/>
      <c r="F18" s="9"/>
      <c r="G18" s="9"/>
      <c r="H18">
        <v>14</v>
      </c>
      <c r="L18" s="11" t="s">
        <v>190</v>
      </c>
      <c r="M18" s="9" t="s">
        <v>36</v>
      </c>
      <c r="N18" s="22">
        <f>-200*10%</f>
        <v>-20</v>
      </c>
      <c r="O18" s="9"/>
      <c r="P18" s="9"/>
      <c r="Q18" s="9"/>
      <c r="R18" s="9"/>
    </row>
    <row r="19" spans="1:18" x14ac:dyDescent="0.2">
      <c r="A19" s="11" t="s">
        <v>14</v>
      </c>
      <c r="B19" s="9">
        <v>70</v>
      </c>
      <c r="C19" s="9"/>
      <c r="D19" s="9">
        <f>B19</f>
        <v>70</v>
      </c>
      <c r="E19" s="9"/>
      <c r="F19" s="9"/>
      <c r="G19" s="9"/>
      <c r="H19">
        <v>16</v>
      </c>
      <c r="L19" s="11" t="s">
        <v>14</v>
      </c>
      <c r="M19" s="9">
        <v>70</v>
      </c>
      <c r="N19" s="9"/>
      <c r="O19" s="9">
        <f>M19</f>
        <v>70</v>
      </c>
      <c r="P19" s="9"/>
      <c r="Q19" s="9"/>
      <c r="R19" s="9"/>
    </row>
    <row r="20" spans="1:18" x14ac:dyDescent="0.2">
      <c r="A20" s="11" t="s">
        <v>17</v>
      </c>
      <c r="B20" s="9">
        <v>150</v>
      </c>
      <c r="C20" s="9"/>
      <c r="D20" s="9"/>
      <c r="E20" s="9">
        <f>B20</f>
        <v>150</v>
      </c>
      <c r="F20" s="9"/>
      <c r="G20" s="9"/>
      <c r="H20">
        <v>17</v>
      </c>
      <c r="L20" s="11" t="s">
        <v>17</v>
      </c>
      <c r="M20" s="9">
        <v>150</v>
      </c>
      <c r="N20" s="9"/>
      <c r="O20" s="9"/>
      <c r="P20" s="9">
        <f>M20</f>
        <v>150</v>
      </c>
      <c r="Q20" s="9"/>
      <c r="R20" s="9"/>
    </row>
    <row r="21" spans="1:18" x14ac:dyDescent="0.2">
      <c r="A21" s="11" t="s">
        <v>37</v>
      </c>
      <c r="B21" s="9">
        <v>900</v>
      </c>
      <c r="C21" s="9"/>
      <c r="D21" s="9"/>
      <c r="E21" s="9"/>
      <c r="F21" s="9">
        <f>B21</f>
        <v>900</v>
      </c>
      <c r="G21" s="9"/>
      <c r="H21">
        <v>17</v>
      </c>
      <c r="L21" s="11" t="s">
        <v>37</v>
      </c>
      <c r="M21" s="9">
        <v>900</v>
      </c>
      <c r="N21" s="9"/>
      <c r="O21" s="9"/>
      <c r="P21" s="9"/>
      <c r="Q21" s="9">
        <f>M21</f>
        <v>900</v>
      </c>
      <c r="R21" s="9"/>
    </row>
    <row r="22" spans="1:18" x14ac:dyDescent="0.2">
      <c r="A22" s="11" t="s">
        <v>9</v>
      </c>
      <c r="B22" s="9">
        <v>800</v>
      </c>
      <c r="C22" s="9">
        <f>B22</f>
        <v>800</v>
      </c>
      <c r="D22" s="9"/>
      <c r="E22" s="9"/>
      <c r="F22" s="9"/>
      <c r="G22" s="9"/>
      <c r="H22">
        <v>18</v>
      </c>
      <c r="L22" s="11" t="s">
        <v>9</v>
      </c>
      <c r="M22" s="9">
        <v>800</v>
      </c>
      <c r="N22" s="9">
        <f>M22</f>
        <v>800</v>
      </c>
      <c r="O22" s="9"/>
      <c r="P22" s="9"/>
      <c r="Q22" s="9"/>
      <c r="R22" s="9"/>
    </row>
    <row r="23" spans="1:18" x14ac:dyDescent="0.2">
      <c r="A23" s="11" t="s">
        <v>8</v>
      </c>
      <c r="B23" s="9" t="s">
        <v>36</v>
      </c>
      <c r="C23" s="18">
        <f>-500/10*(6/12)</f>
        <v>-25</v>
      </c>
      <c r="D23" s="9"/>
      <c r="E23" s="9"/>
      <c r="F23" s="9"/>
      <c r="G23" s="9"/>
      <c r="H23">
        <v>19</v>
      </c>
      <c r="L23" s="11" t="s">
        <v>193</v>
      </c>
      <c r="M23" s="9" t="s">
        <v>36</v>
      </c>
      <c r="N23" s="22">
        <f>-500/10*(6/12)-R33+37.5</f>
        <v>0</v>
      </c>
      <c r="O23" s="9"/>
      <c r="P23" s="9"/>
      <c r="Q23" s="9"/>
      <c r="R23" s="9"/>
    </row>
    <row r="24" spans="1:18" x14ac:dyDescent="0.2">
      <c r="A24" s="11" t="s">
        <v>28</v>
      </c>
      <c r="B24" s="9">
        <v>30</v>
      </c>
      <c r="C24" s="9"/>
      <c r="D24" s="9"/>
      <c r="E24" s="9"/>
      <c r="F24" s="9"/>
      <c r="G24" s="9">
        <f>B24</f>
        <v>30</v>
      </c>
      <c r="H24">
        <v>22</v>
      </c>
      <c r="L24" s="11" t="s">
        <v>28</v>
      </c>
      <c r="M24" s="9">
        <v>30</v>
      </c>
      <c r="N24" s="9"/>
      <c r="O24" s="9"/>
      <c r="P24" s="9"/>
      <c r="Q24" s="9"/>
      <c r="R24" s="9">
        <f>M24</f>
        <v>30</v>
      </c>
    </row>
    <row r="25" spans="1:18" x14ac:dyDescent="0.2">
      <c r="A25" s="11" t="s">
        <v>29</v>
      </c>
      <c r="B25" s="9">
        <v>17</v>
      </c>
      <c r="C25" s="9"/>
      <c r="D25" s="9"/>
      <c r="E25" s="9"/>
      <c r="F25" s="9">
        <f>B25</f>
        <v>17</v>
      </c>
      <c r="G25" s="9"/>
      <c r="H25">
        <v>22</v>
      </c>
      <c r="L25" s="11" t="s">
        <v>29</v>
      </c>
      <c r="M25" s="9">
        <v>17</v>
      </c>
      <c r="N25" s="9"/>
      <c r="O25" s="9"/>
      <c r="P25" s="9"/>
      <c r="Q25" s="9">
        <f>M25</f>
        <v>17</v>
      </c>
      <c r="R25" s="9"/>
    </row>
    <row r="26" spans="1:18" x14ac:dyDescent="0.2">
      <c r="A26" s="11" t="s">
        <v>15</v>
      </c>
      <c r="B26" s="9">
        <v>90</v>
      </c>
      <c r="C26" s="9"/>
      <c r="D26" s="9">
        <f>B26</f>
        <v>90</v>
      </c>
      <c r="E26" s="9"/>
      <c r="F26" s="9"/>
      <c r="G26" s="9"/>
      <c r="H26">
        <v>23</v>
      </c>
      <c r="L26" s="11" t="s">
        <v>15</v>
      </c>
      <c r="M26" s="9">
        <v>90</v>
      </c>
      <c r="N26" s="9"/>
      <c r="O26" s="9">
        <f>M26</f>
        <v>90</v>
      </c>
      <c r="P26" s="9"/>
      <c r="Q26" s="9"/>
      <c r="R26" s="9"/>
    </row>
    <row r="27" spans="1:18" x14ac:dyDescent="0.2">
      <c r="A27" s="11" t="s">
        <v>24</v>
      </c>
      <c r="B27" s="9">
        <v>40</v>
      </c>
      <c r="C27" s="9"/>
      <c r="D27" s="9"/>
      <c r="E27" s="9"/>
      <c r="F27" s="9"/>
      <c r="G27" s="9">
        <f>B27</f>
        <v>40</v>
      </c>
      <c r="H27">
        <v>23</v>
      </c>
      <c r="L27" s="11" t="s">
        <v>24</v>
      </c>
      <c r="M27" s="9">
        <v>40</v>
      </c>
      <c r="N27" s="9"/>
      <c r="O27" s="9"/>
      <c r="P27" s="9"/>
      <c r="Q27" s="9"/>
      <c r="R27" s="24">
        <v>0</v>
      </c>
    </row>
    <row r="28" spans="1:18" x14ac:dyDescent="0.2">
      <c r="A28" s="11" t="s">
        <v>7</v>
      </c>
      <c r="B28" s="9">
        <v>500</v>
      </c>
      <c r="C28" s="9">
        <f>B28</f>
        <v>500</v>
      </c>
      <c r="D28" s="9"/>
      <c r="E28" s="9"/>
      <c r="F28" s="9"/>
      <c r="G28" s="9"/>
      <c r="H28">
        <v>25</v>
      </c>
      <c r="L28" s="11" t="s">
        <v>7</v>
      </c>
      <c r="M28" s="9">
        <v>500</v>
      </c>
      <c r="N28" s="24">
        <f>500-500</f>
        <v>0</v>
      </c>
      <c r="O28" s="9"/>
      <c r="P28" s="9"/>
      <c r="Q28" s="9"/>
      <c r="R28" s="9"/>
    </row>
    <row r="29" spans="1:18" x14ac:dyDescent="0.2">
      <c r="A29" s="11" t="s">
        <v>5</v>
      </c>
      <c r="B29" s="17" t="s">
        <v>36</v>
      </c>
      <c r="C29" s="16">
        <f>-G4</f>
        <v>90</v>
      </c>
      <c r="D29" s="9"/>
      <c r="E29" s="9"/>
      <c r="F29" s="9"/>
      <c r="G29" s="9"/>
      <c r="H29">
        <v>29</v>
      </c>
      <c r="L29" s="11" t="s">
        <v>5</v>
      </c>
      <c r="M29" s="17" t="s">
        <v>36</v>
      </c>
      <c r="N29" s="16">
        <f>-R4</f>
        <v>90</v>
      </c>
      <c r="O29" s="9"/>
      <c r="P29" s="9"/>
      <c r="Q29" s="9"/>
      <c r="R29" s="9"/>
    </row>
    <row r="30" spans="1:18" x14ac:dyDescent="0.2">
      <c r="A30" s="11" t="s">
        <v>26</v>
      </c>
      <c r="B30" s="9">
        <v>18</v>
      </c>
      <c r="C30" s="9"/>
      <c r="D30" s="9"/>
      <c r="E30" s="9"/>
      <c r="F30" s="9"/>
      <c r="G30" s="9">
        <f>B30</f>
        <v>18</v>
      </c>
      <c r="H30">
        <v>29</v>
      </c>
      <c r="L30" s="11" t="s">
        <v>26</v>
      </c>
      <c r="M30" s="9">
        <v>18</v>
      </c>
      <c r="N30" s="9"/>
      <c r="O30" s="9"/>
      <c r="P30" s="9"/>
      <c r="Q30" s="9"/>
      <c r="R30" s="9">
        <f>M30</f>
        <v>18</v>
      </c>
    </row>
    <row r="31" spans="1:18" x14ac:dyDescent="0.2">
      <c r="A31" s="11" t="s">
        <v>10</v>
      </c>
      <c r="B31" s="9" t="s">
        <v>36</v>
      </c>
      <c r="C31" s="18">
        <f>-800*(1-20%)*7/28</f>
        <v>-160</v>
      </c>
      <c r="D31" s="9"/>
      <c r="E31" s="9"/>
      <c r="F31" s="9"/>
      <c r="G31" s="9"/>
      <c r="H31">
        <v>30</v>
      </c>
      <c r="L31" s="11" t="s">
        <v>194</v>
      </c>
      <c r="M31" s="9" t="s">
        <v>36</v>
      </c>
      <c r="N31" s="27">
        <f>-800*(1-20%)*7/28-R35</f>
        <v>-297.14285714285711</v>
      </c>
      <c r="O31" s="9"/>
      <c r="P31" s="9"/>
      <c r="Q31" s="9"/>
      <c r="R31" s="9"/>
    </row>
    <row r="32" spans="1:18" x14ac:dyDescent="0.2">
      <c r="A32" s="12"/>
      <c r="B32" s="10"/>
      <c r="C32" s="19"/>
      <c r="D32" s="19"/>
      <c r="E32" s="19"/>
      <c r="F32" s="19"/>
      <c r="G32" s="19"/>
      <c r="L32" s="20" t="s">
        <v>189</v>
      </c>
      <c r="M32" s="10"/>
      <c r="N32" s="19"/>
      <c r="O32" s="19"/>
      <c r="P32" s="19"/>
      <c r="Q32" s="19"/>
      <c r="R32" s="21">
        <f>-(N18-C18)</f>
        <v>10</v>
      </c>
    </row>
    <row r="33" spans="1:18" s="1" customFormat="1" x14ac:dyDescent="0.2">
      <c r="A33" s="11"/>
      <c r="B33" s="9"/>
      <c r="C33" s="9"/>
      <c r="D33" s="9"/>
      <c r="E33" s="9"/>
      <c r="F33" s="9"/>
      <c r="G33" s="9"/>
      <c r="L33" s="20" t="s">
        <v>191</v>
      </c>
      <c r="M33" s="9"/>
      <c r="N33" s="9"/>
      <c r="O33" s="9"/>
      <c r="P33" s="9"/>
      <c r="Q33" s="9"/>
      <c r="R33" s="23">
        <f>500/10*(3/12)</f>
        <v>12.5</v>
      </c>
    </row>
    <row r="34" spans="1:18" s="1" customFormat="1" x14ac:dyDescent="0.2">
      <c r="A34" s="11"/>
      <c r="B34" s="9"/>
      <c r="C34" s="9"/>
      <c r="D34" s="9"/>
      <c r="E34" s="9"/>
      <c r="F34" s="9"/>
      <c r="G34" s="9"/>
      <c r="L34" s="20" t="s">
        <v>192</v>
      </c>
      <c r="M34" s="9"/>
      <c r="N34" s="9"/>
      <c r="O34" s="9"/>
      <c r="P34" s="9"/>
      <c r="Q34" s="23">
        <v>30</v>
      </c>
      <c r="R34" s="9"/>
    </row>
    <row r="35" spans="1:18" s="1" customFormat="1" x14ac:dyDescent="0.2">
      <c r="A35" s="11"/>
      <c r="B35" s="9"/>
      <c r="C35" s="9"/>
      <c r="D35" s="9"/>
      <c r="E35" s="9"/>
      <c r="F35" s="9"/>
      <c r="G35" s="9"/>
      <c r="L35" s="20" t="s">
        <v>198</v>
      </c>
      <c r="M35" s="9"/>
      <c r="N35" s="9"/>
      <c r="O35" s="9"/>
      <c r="P35" s="9"/>
      <c r="Q35" s="9"/>
      <c r="R35" s="26">
        <f>800*(1-20%)*6/28</f>
        <v>137.14285714285714</v>
      </c>
    </row>
    <row r="36" spans="1:18" s="1" customFormat="1" x14ac:dyDescent="0.2">
      <c r="A36" s="11"/>
      <c r="B36" s="9"/>
      <c r="C36" s="9"/>
      <c r="D36" s="9"/>
      <c r="E36" s="9"/>
      <c r="F36" s="9"/>
      <c r="G36" s="9"/>
      <c r="L36" s="20" t="s">
        <v>199</v>
      </c>
      <c r="M36" s="9"/>
      <c r="N36" s="9"/>
      <c r="O36" s="9"/>
      <c r="P36" s="9"/>
      <c r="Q36" s="23">
        <f>30</f>
        <v>30</v>
      </c>
      <c r="R36" s="9"/>
    </row>
    <row r="37" spans="1:18" s="1" customFormat="1" x14ac:dyDescent="0.2">
      <c r="A37" s="11"/>
      <c r="B37" s="9"/>
      <c r="C37" s="9"/>
      <c r="D37" s="9"/>
      <c r="E37" s="9"/>
      <c r="F37" s="9"/>
      <c r="G37" s="9"/>
      <c r="L37" s="11"/>
      <c r="M37" s="9"/>
      <c r="N37" s="9"/>
      <c r="O37" s="9"/>
      <c r="P37" s="9"/>
      <c r="Q37" s="9"/>
      <c r="R37" s="9"/>
    </row>
    <row r="38" spans="1:18" s="1" customFormat="1" x14ac:dyDescent="0.2">
      <c r="A38" s="11"/>
      <c r="B38" s="9"/>
      <c r="C38" s="9"/>
      <c r="D38" s="9"/>
      <c r="E38" s="9"/>
      <c r="F38" s="9"/>
      <c r="G38" s="9"/>
      <c r="L38" s="11"/>
      <c r="M38" s="9"/>
      <c r="N38" s="9"/>
      <c r="O38" s="9"/>
      <c r="P38" s="9"/>
      <c r="Q38" s="9"/>
      <c r="R38" s="9"/>
    </row>
    <row r="39" spans="1:18" s="1" customFormat="1" x14ac:dyDescent="0.2">
      <c r="A39" s="11" t="s">
        <v>54</v>
      </c>
      <c r="B39" s="9"/>
      <c r="C39" s="9">
        <f>SUM(C2:C31)</f>
        <v>1417</v>
      </c>
      <c r="D39" s="9">
        <f>SUM(D2:D31)</f>
        <v>330</v>
      </c>
      <c r="E39" s="17">
        <f>150+640</f>
        <v>790</v>
      </c>
      <c r="F39" s="9">
        <f>SUM(F2:F31)</f>
        <v>917</v>
      </c>
      <c r="G39" s="9">
        <f>SUM(G2:G31)</f>
        <v>620</v>
      </c>
      <c r="L39" s="11" t="s">
        <v>54</v>
      </c>
      <c r="M39" s="9"/>
      <c r="N39" s="25">
        <f>SUM(N2:N31)</f>
        <v>1275.3571428571429</v>
      </c>
      <c r="O39" s="9">
        <f>SUM(O2:O31)</f>
        <v>260</v>
      </c>
      <c r="P39" s="17">
        <f>150+640</f>
        <v>790</v>
      </c>
      <c r="Q39" s="9">
        <f>SUM(Q2:Q31)</f>
        <v>917</v>
      </c>
      <c r="R39" s="9">
        <f>SUM(R2:R31)</f>
        <v>592</v>
      </c>
    </row>
    <row r="40" spans="1:18" s="1" customFormat="1" x14ac:dyDescent="0.2"/>
    <row r="41" spans="1:18" s="1" customFormat="1" x14ac:dyDescent="0.2"/>
    <row r="42" spans="1:18" s="1" customFormat="1" x14ac:dyDescent="0.2"/>
    <row r="43" spans="1:18" s="1" customFormat="1" x14ac:dyDescent="0.2"/>
    <row r="44" spans="1:18" s="1" customFormat="1" x14ac:dyDescent="0.2"/>
    <row r="45" spans="1:18" s="1" customFormat="1" x14ac:dyDescent="0.2"/>
    <row r="46" spans="1:18" s="1" customFormat="1" x14ac:dyDescent="0.2"/>
  </sheetData>
  <sortState xmlns:xlrd2="http://schemas.microsoft.com/office/spreadsheetml/2017/richdata2" ref="A2:H31">
    <sortCondition ref="H2:H3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7F01-A05A-E141-BA8E-4265B4559C54}">
  <dimension ref="A1:X90"/>
  <sheetViews>
    <sheetView rightToLeft="1" zoomScale="250" zoomScaleNormal="250" workbookViewId="0">
      <selection activeCell="A25" sqref="A25"/>
    </sheetView>
  </sheetViews>
  <sheetFormatPr baseColWidth="10" defaultRowHeight="16" x14ac:dyDescent="0.2"/>
  <cols>
    <col min="1" max="1" width="34" style="1" customWidth="1"/>
    <col min="2" max="8" width="10.83203125" style="1"/>
    <col min="9" max="9" width="33.83203125" style="1" customWidth="1"/>
    <col min="10" max="16384" width="10.83203125" style="1"/>
  </cols>
  <sheetData>
    <row r="1" spans="1:24" x14ac:dyDescent="0.2">
      <c r="A1" s="5" t="s">
        <v>55</v>
      </c>
      <c r="B1" s="5"/>
      <c r="C1" s="5"/>
      <c r="D1" s="5"/>
      <c r="E1" s="5"/>
      <c r="F1" s="5"/>
      <c r="G1" s="5"/>
      <c r="I1" s="5" t="s">
        <v>56</v>
      </c>
      <c r="J1" s="5"/>
      <c r="K1" s="5"/>
      <c r="L1" s="5"/>
      <c r="M1" s="5"/>
      <c r="N1" s="5"/>
      <c r="O1" s="5"/>
      <c r="R1" s="5" t="s">
        <v>92</v>
      </c>
      <c r="S1" s="5"/>
      <c r="T1" s="5"/>
      <c r="U1" s="5"/>
      <c r="V1" s="5"/>
      <c r="W1" s="5"/>
      <c r="X1" s="5"/>
    </row>
    <row r="2" spans="1:24" x14ac:dyDescent="0.2">
      <c r="A2" s="1" t="s">
        <v>0</v>
      </c>
      <c r="B2" s="1" t="s">
        <v>30</v>
      </c>
      <c r="C2" s="1" t="s">
        <v>31</v>
      </c>
      <c r="D2" s="1" t="s">
        <v>32</v>
      </c>
      <c r="E2" s="1" t="s">
        <v>33</v>
      </c>
      <c r="F2" s="1" t="s">
        <v>34</v>
      </c>
      <c r="G2" s="1" t="s">
        <v>35</v>
      </c>
      <c r="I2" s="1" t="s">
        <v>0</v>
      </c>
      <c r="J2" s="1" t="s">
        <v>30</v>
      </c>
      <c r="K2" s="1" t="s">
        <v>31</v>
      </c>
      <c r="L2" s="1" t="s">
        <v>32</v>
      </c>
      <c r="M2" s="1" t="s">
        <v>33</v>
      </c>
      <c r="N2" s="1" t="s">
        <v>34</v>
      </c>
      <c r="O2" s="1" t="s">
        <v>35</v>
      </c>
    </row>
    <row r="3" spans="1:24" x14ac:dyDescent="0.2">
      <c r="A3" s="1" t="s">
        <v>1</v>
      </c>
      <c r="B3" s="2">
        <v>10</v>
      </c>
      <c r="C3" s="1">
        <v>10</v>
      </c>
      <c r="I3" s="1" t="s">
        <v>1</v>
      </c>
      <c r="J3" s="2">
        <v>10</v>
      </c>
      <c r="K3" s="6">
        <f>10+492.5</f>
        <v>502.5</v>
      </c>
      <c r="R3" s="1" t="s">
        <v>93</v>
      </c>
    </row>
    <row r="4" spans="1:24" x14ac:dyDescent="0.2">
      <c r="A4" s="1" t="s">
        <v>2</v>
      </c>
      <c r="B4" s="2">
        <v>200</v>
      </c>
      <c r="C4" s="1">
        <v>200</v>
      </c>
      <c r="I4" s="1" t="s">
        <v>2</v>
      </c>
      <c r="J4" s="2">
        <v>200</v>
      </c>
      <c r="K4" s="8">
        <f>200</f>
        <v>200</v>
      </c>
    </row>
    <row r="5" spans="1:24" x14ac:dyDescent="0.2">
      <c r="A5" s="1" t="s">
        <v>3</v>
      </c>
      <c r="B5" s="2" t="s">
        <v>36</v>
      </c>
      <c r="C5" s="15">
        <v>-10</v>
      </c>
      <c r="I5" s="1" t="s">
        <v>62</v>
      </c>
      <c r="J5" s="2" t="s">
        <v>36</v>
      </c>
      <c r="K5" s="6">
        <v>-20</v>
      </c>
      <c r="R5" s="1" t="s">
        <v>37</v>
      </c>
      <c r="T5" s="1">
        <f>N31</f>
        <v>900</v>
      </c>
    </row>
    <row r="6" spans="1:24" x14ac:dyDescent="0.2">
      <c r="A6" s="1" t="s">
        <v>4</v>
      </c>
      <c r="B6" s="2">
        <v>40</v>
      </c>
      <c r="G6" s="1">
        <v>40</v>
      </c>
      <c r="I6" s="1" t="s">
        <v>4</v>
      </c>
      <c r="J6" s="2">
        <v>40</v>
      </c>
      <c r="O6" s="1">
        <v>40</v>
      </c>
      <c r="R6" s="1" t="s">
        <v>94</v>
      </c>
      <c r="T6" s="1">
        <f>-(O6+O32+O8)</f>
        <v>-430</v>
      </c>
    </row>
    <row r="7" spans="1:24" x14ac:dyDescent="0.2">
      <c r="A7" s="1" t="s">
        <v>5</v>
      </c>
      <c r="B7" s="2" t="s">
        <v>36</v>
      </c>
      <c r="C7" s="15">
        <v>90</v>
      </c>
      <c r="I7" s="1" t="s">
        <v>5</v>
      </c>
      <c r="J7" s="2" t="s">
        <v>36</v>
      </c>
      <c r="K7" s="1">
        <v>90</v>
      </c>
      <c r="R7" s="1" t="s">
        <v>95</v>
      </c>
      <c r="T7" s="1">
        <f>T5+T6</f>
        <v>470</v>
      </c>
    </row>
    <row r="8" spans="1:24" x14ac:dyDescent="0.2">
      <c r="A8" s="1" t="s">
        <v>6</v>
      </c>
      <c r="B8" s="2" t="s">
        <v>36</v>
      </c>
      <c r="G8" s="15">
        <v>-90</v>
      </c>
      <c r="I8" s="1" t="s">
        <v>6</v>
      </c>
      <c r="J8" s="2" t="s">
        <v>36</v>
      </c>
      <c r="O8" s="1">
        <v>-90</v>
      </c>
      <c r="R8" s="1" t="s">
        <v>96</v>
      </c>
      <c r="T8" s="1">
        <f>-O27</f>
        <v>-18</v>
      </c>
    </row>
    <row r="9" spans="1:24" x14ac:dyDescent="0.2">
      <c r="A9" s="1" t="s">
        <v>7</v>
      </c>
      <c r="B9" s="2">
        <v>500</v>
      </c>
      <c r="C9" s="1">
        <v>500</v>
      </c>
      <c r="I9" s="1" t="s">
        <v>7</v>
      </c>
      <c r="J9" s="2">
        <v>500</v>
      </c>
      <c r="K9" s="6">
        <v>0</v>
      </c>
      <c r="R9" s="1" t="s">
        <v>97</v>
      </c>
      <c r="T9" s="1">
        <f>-(O21+O22+O23+O24+O26+O33+O34+O36)</f>
        <v>-263.64300000000003</v>
      </c>
    </row>
    <row r="10" spans="1:24" x14ac:dyDescent="0.2">
      <c r="A10" s="1" t="s">
        <v>8</v>
      </c>
      <c r="B10" s="2" t="s">
        <v>36</v>
      </c>
      <c r="C10" s="15">
        <v>-25</v>
      </c>
      <c r="I10" s="1" t="s">
        <v>76</v>
      </c>
      <c r="J10" s="2" t="s">
        <v>36</v>
      </c>
      <c r="K10" s="6">
        <v>0</v>
      </c>
      <c r="R10" s="1" t="s">
        <v>98</v>
      </c>
      <c r="T10" s="1">
        <f>N35+N37</f>
        <v>60</v>
      </c>
    </row>
    <row r="11" spans="1:24" x14ac:dyDescent="0.2">
      <c r="A11" s="1" t="s">
        <v>9</v>
      </c>
      <c r="B11" s="2">
        <v>800</v>
      </c>
      <c r="C11" s="1">
        <v>800</v>
      </c>
      <c r="I11" s="1" t="s">
        <v>9</v>
      </c>
      <c r="J11" s="2">
        <v>800</v>
      </c>
      <c r="K11" s="1">
        <v>800</v>
      </c>
      <c r="R11" s="1" t="s">
        <v>99</v>
      </c>
      <c r="T11" s="1">
        <f>T7+T8+T9+T10</f>
        <v>248.35699999999997</v>
      </c>
    </row>
    <row r="12" spans="1:24" x14ac:dyDescent="0.2">
      <c r="A12" s="1" t="s">
        <v>10</v>
      </c>
      <c r="B12" s="2" t="s">
        <v>36</v>
      </c>
      <c r="C12" s="15">
        <v>-160</v>
      </c>
      <c r="I12" s="1" t="s">
        <v>10</v>
      </c>
      <c r="J12" s="2" t="s">
        <v>36</v>
      </c>
      <c r="K12" s="6">
        <f>-(160+137.143)</f>
        <v>-297.14300000000003</v>
      </c>
      <c r="R12" s="1" t="s">
        <v>100</v>
      </c>
      <c r="T12" s="1">
        <f>-O28</f>
        <v>-10</v>
      </c>
    </row>
    <row r="13" spans="1:24" x14ac:dyDescent="0.2">
      <c r="A13" s="1" t="s">
        <v>11</v>
      </c>
      <c r="B13" s="2" t="s">
        <v>36</v>
      </c>
      <c r="C13" s="15">
        <v>12</v>
      </c>
      <c r="I13" s="1" t="s">
        <v>83</v>
      </c>
      <c r="J13" s="2" t="s">
        <v>36</v>
      </c>
      <c r="K13" s="6">
        <f>12-12</f>
        <v>0</v>
      </c>
      <c r="R13" s="1" t="s">
        <v>101</v>
      </c>
      <c r="T13" s="1">
        <f>N30</f>
        <v>17</v>
      </c>
    </row>
    <row r="14" spans="1:24" x14ac:dyDescent="0.2">
      <c r="A14" s="1" t="s">
        <v>12</v>
      </c>
      <c r="B14" s="2" t="s">
        <v>36</v>
      </c>
      <c r="D14" s="15">
        <v>40</v>
      </c>
      <c r="I14" s="1" t="s">
        <v>87</v>
      </c>
      <c r="J14" s="2" t="s">
        <v>36</v>
      </c>
      <c r="K14" s="7"/>
      <c r="L14" s="6">
        <v>0</v>
      </c>
      <c r="R14" s="1" t="s">
        <v>102</v>
      </c>
      <c r="T14" s="1">
        <f>T11+T12+T13</f>
        <v>255.35699999999997</v>
      </c>
    </row>
    <row r="15" spans="1:24" x14ac:dyDescent="0.2">
      <c r="A15" s="1" t="s">
        <v>13</v>
      </c>
      <c r="B15" s="2" t="s">
        <v>36</v>
      </c>
      <c r="D15" s="15">
        <v>30</v>
      </c>
      <c r="I15" s="1" t="s">
        <v>13</v>
      </c>
      <c r="J15" s="2" t="s">
        <v>36</v>
      </c>
      <c r="L15" s="6">
        <v>0</v>
      </c>
      <c r="R15" s="1" t="s">
        <v>103</v>
      </c>
      <c r="T15" s="1">
        <f>-O29</f>
        <v>-100</v>
      </c>
    </row>
    <row r="16" spans="1:24" x14ac:dyDescent="0.2">
      <c r="A16" s="1" t="s">
        <v>14</v>
      </c>
      <c r="B16" s="2">
        <v>70</v>
      </c>
      <c r="D16" s="1">
        <v>70</v>
      </c>
      <c r="I16" s="1" t="s">
        <v>14</v>
      </c>
      <c r="J16" s="2">
        <v>70</v>
      </c>
      <c r="L16" s="1">
        <v>70</v>
      </c>
      <c r="R16" s="1" t="s">
        <v>104</v>
      </c>
      <c r="T16" s="1">
        <f>T14+T15</f>
        <v>155.35699999999997</v>
      </c>
    </row>
    <row r="17" spans="1:23" x14ac:dyDescent="0.2">
      <c r="A17" s="1" t="s">
        <v>15</v>
      </c>
      <c r="B17" s="2">
        <v>90</v>
      </c>
      <c r="D17" s="1">
        <v>90</v>
      </c>
      <c r="I17" s="1" t="s">
        <v>15</v>
      </c>
      <c r="J17" s="2">
        <v>90</v>
      </c>
      <c r="L17" s="1">
        <v>90</v>
      </c>
    </row>
    <row r="18" spans="1:23" x14ac:dyDescent="0.2">
      <c r="A18" s="1" t="s">
        <v>16</v>
      </c>
      <c r="B18" s="2">
        <v>100</v>
      </c>
      <c r="D18" s="1">
        <v>100</v>
      </c>
      <c r="I18" s="1" t="s">
        <v>16</v>
      </c>
      <c r="J18" s="2">
        <v>100</v>
      </c>
      <c r="L18" s="1">
        <v>100</v>
      </c>
      <c r="R18" s="1" t="s">
        <v>105</v>
      </c>
    </row>
    <row r="19" spans="1:23" x14ac:dyDescent="0.2">
      <c r="A19" s="1" t="s">
        <v>17</v>
      </c>
      <c r="B19" s="2">
        <v>150</v>
      </c>
      <c r="E19" s="1">
        <v>150</v>
      </c>
      <c r="I19" s="1" t="s">
        <v>17</v>
      </c>
      <c r="J19" s="2">
        <v>150</v>
      </c>
      <c r="M19" s="1">
        <v>150</v>
      </c>
    </row>
    <row r="20" spans="1:23" x14ac:dyDescent="0.2">
      <c r="A20" s="1" t="s">
        <v>19</v>
      </c>
      <c r="B20" s="2" t="s">
        <v>36</v>
      </c>
      <c r="E20" s="14">
        <f>C33+G33-D33-F33-E19</f>
        <v>710</v>
      </c>
      <c r="I20" s="1" t="s">
        <v>19</v>
      </c>
      <c r="J20" s="2" t="s">
        <v>36</v>
      </c>
      <c r="M20" s="5">
        <f>K38+O38-L38-N38-M19</f>
        <v>710</v>
      </c>
      <c r="R20" s="1" t="s">
        <v>31</v>
      </c>
      <c r="U20" s="1" t="s">
        <v>106</v>
      </c>
    </row>
    <row r="21" spans="1:23" x14ac:dyDescent="0.2">
      <c r="A21" s="1" t="s">
        <v>20</v>
      </c>
      <c r="B21" s="2">
        <v>13</v>
      </c>
      <c r="G21" s="1">
        <v>13</v>
      </c>
      <c r="I21" s="1" t="s">
        <v>20</v>
      </c>
      <c r="J21" s="2">
        <v>13</v>
      </c>
      <c r="O21" s="1">
        <v>13</v>
      </c>
    </row>
    <row r="22" spans="1:23" x14ac:dyDescent="0.2">
      <c r="A22" s="1" t="s">
        <v>21</v>
      </c>
      <c r="B22" s="2">
        <v>14</v>
      </c>
      <c r="G22" s="1">
        <v>14</v>
      </c>
      <c r="I22" s="1" t="s">
        <v>21</v>
      </c>
      <c r="J22" s="2">
        <v>14</v>
      </c>
      <c r="O22" s="1">
        <v>14</v>
      </c>
      <c r="R22" s="1" t="s">
        <v>107</v>
      </c>
      <c r="U22" s="1" t="s">
        <v>113</v>
      </c>
    </row>
    <row r="23" spans="1:23" x14ac:dyDescent="0.2">
      <c r="A23" s="1" t="s">
        <v>22</v>
      </c>
      <c r="B23" s="2">
        <v>19</v>
      </c>
      <c r="G23" s="1">
        <v>19</v>
      </c>
      <c r="I23" s="1" t="s">
        <v>22</v>
      </c>
      <c r="J23" s="2">
        <v>19</v>
      </c>
      <c r="O23" s="1">
        <v>19</v>
      </c>
      <c r="R23" s="1" t="s">
        <v>1</v>
      </c>
      <c r="T23" s="1">
        <f>K3</f>
        <v>502.5</v>
      </c>
      <c r="U23" s="1" t="s">
        <v>14</v>
      </c>
      <c r="W23" s="1">
        <f>L16</f>
        <v>70</v>
      </c>
    </row>
    <row r="24" spans="1:23" x14ac:dyDescent="0.2">
      <c r="A24" s="1" t="s">
        <v>23</v>
      </c>
      <c r="B24" s="2">
        <v>23</v>
      </c>
      <c r="G24" s="1">
        <v>23</v>
      </c>
      <c r="I24" s="1" t="s">
        <v>23</v>
      </c>
      <c r="J24" s="2">
        <v>23</v>
      </c>
      <c r="O24" s="6">
        <f>23+12</f>
        <v>35</v>
      </c>
      <c r="R24" s="1" t="s">
        <v>108</v>
      </c>
      <c r="T24" s="1">
        <f>K4+K5</f>
        <v>180</v>
      </c>
      <c r="U24" s="1" t="s">
        <v>16</v>
      </c>
      <c r="W24" s="1">
        <f>L18</f>
        <v>100</v>
      </c>
    </row>
    <row r="25" spans="1:23" x14ac:dyDescent="0.2">
      <c r="A25" s="1" t="s">
        <v>24</v>
      </c>
      <c r="B25" s="2">
        <v>40</v>
      </c>
      <c r="G25" s="1">
        <v>40</v>
      </c>
      <c r="I25" s="1" t="s">
        <v>24</v>
      </c>
      <c r="J25" s="2">
        <v>40</v>
      </c>
      <c r="O25" s="6">
        <v>0</v>
      </c>
      <c r="R25" s="1" t="s">
        <v>109</v>
      </c>
      <c r="T25" s="1">
        <f>K7</f>
        <v>90</v>
      </c>
      <c r="W25" s="1">
        <f>W23+W24</f>
        <v>170</v>
      </c>
    </row>
    <row r="26" spans="1:23" x14ac:dyDescent="0.2">
      <c r="A26" s="1" t="s">
        <v>25</v>
      </c>
      <c r="B26" s="2">
        <v>23</v>
      </c>
      <c r="G26" s="1">
        <v>23</v>
      </c>
      <c r="I26" s="1" t="s">
        <v>25</v>
      </c>
      <c r="J26" s="2">
        <v>23</v>
      </c>
      <c r="O26" s="1">
        <v>23</v>
      </c>
      <c r="T26" s="1">
        <f>T23+T24+T25</f>
        <v>772.5</v>
      </c>
    </row>
    <row r="27" spans="1:23" x14ac:dyDescent="0.2">
      <c r="A27" s="1" t="s">
        <v>26</v>
      </c>
      <c r="B27" s="2">
        <v>18</v>
      </c>
      <c r="G27" s="1">
        <v>18</v>
      </c>
      <c r="I27" s="1" t="s">
        <v>26</v>
      </c>
      <c r="J27" s="2">
        <v>18</v>
      </c>
      <c r="O27" s="1">
        <v>18</v>
      </c>
      <c r="U27" s="1" t="s">
        <v>114</v>
      </c>
    </row>
    <row r="28" spans="1:23" x14ac:dyDescent="0.2">
      <c r="A28" s="1" t="s">
        <v>27</v>
      </c>
      <c r="B28" s="2">
        <v>10</v>
      </c>
      <c r="G28" s="1">
        <v>10</v>
      </c>
      <c r="I28" s="1" t="s">
        <v>27</v>
      </c>
      <c r="J28" s="2">
        <v>10</v>
      </c>
      <c r="O28" s="1">
        <v>10</v>
      </c>
      <c r="R28" s="1" t="s">
        <v>110</v>
      </c>
      <c r="U28" s="1" t="s">
        <v>15</v>
      </c>
      <c r="W28" s="1">
        <f>L17</f>
        <v>90</v>
      </c>
    </row>
    <row r="29" spans="1:23" x14ac:dyDescent="0.2">
      <c r="A29" s="1" t="s">
        <v>28</v>
      </c>
      <c r="B29" s="2">
        <v>30</v>
      </c>
      <c r="G29" s="1">
        <v>100</v>
      </c>
      <c r="I29" s="1" t="s">
        <v>28</v>
      </c>
      <c r="J29" s="2">
        <v>30</v>
      </c>
      <c r="O29" s="1">
        <v>100</v>
      </c>
      <c r="R29" s="1" t="s">
        <v>111</v>
      </c>
      <c r="T29" s="1">
        <f>K11+K12</f>
        <v>502.85699999999997</v>
      </c>
    </row>
    <row r="30" spans="1:23" x14ac:dyDescent="0.2">
      <c r="A30" s="1" t="s">
        <v>29</v>
      </c>
      <c r="B30" s="2">
        <v>17</v>
      </c>
      <c r="F30" s="1">
        <v>17</v>
      </c>
      <c r="I30" s="1" t="s">
        <v>29</v>
      </c>
      <c r="J30" s="2">
        <v>17</v>
      </c>
      <c r="N30" s="1">
        <v>17</v>
      </c>
    </row>
    <row r="31" spans="1:23" x14ac:dyDescent="0.2">
      <c r="A31" s="1" t="s">
        <v>37</v>
      </c>
      <c r="B31" s="2">
        <v>900</v>
      </c>
      <c r="F31" s="1">
        <v>900</v>
      </c>
      <c r="I31" s="1" t="s">
        <v>37</v>
      </c>
      <c r="J31" s="2">
        <v>900</v>
      </c>
      <c r="N31" s="1">
        <v>900</v>
      </c>
      <c r="U31" s="1" t="s">
        <v>33</v>
      </c>
    </row>
    <row r="32" spans="1:23" x14ac:dyDescent="0.2">
      <c r="A32" s="1" t="s">
        <v>38</v>
      </c>
      <c r="B32" s="2">
        <v>480</v>
      </c>
      <c r="G32" s="1">
        <v>480</v>
      </c>
      <c r="I32" s="1" t="s">
        <v>38</v>
      </c>
      <c r="J32" s="2">
        <v>480</v>
      </c>
      <c r="O32" s="1">
        <v>480</v>
      </c>
      <c r="U32" s="1" t="s">
        <v>17</v>
      </c>
      <c r="W32" s="1">
        <f>M19</f>
        <v>150</v>
      </c>
    </row>
    <row r="33" spans="1:23" x14ac:dyDescent="0.2">
      <c r="A33" s="1" t="s">
        <v>54</v>
      </c>
      <c r="C33" s="1">
        <f>SUM(C3:C32)</f>
        <v>1417</v>
      </c>
      <c r="D33" s="1">
        <f>SUM(D3:D32)</f>
        <v>330</v>
      </c>
      <c r="E33" s="1">
        <f>SUM(E3:E32)</f>
        <v>860</v>
      </c>
      <c r="F33" s="1">
        <f>SUM(F3:F32)</f>
        <v>917</v>
      </c>
      <c r="G33" s="1">
        <f>SUM(G3:G32)</f>
        <v>690</v>
      </c>
      <c r="I33" s="1" t="s">
        <v>59</v>
      </c>
      <c r="O33" s="6">
        <f>J41</f>
        <v>10</v>
      </c>
      <c r="U33" s="1" t="s">
        <v>18</v>
      </c>
      <c r="W33" s="1">
        <f>M20+T16</f>
        <v>865.35699999999997</v>
      </c>
    </row>
    <row r="34" spans="1:23" x14ac:dyDescent="0.2">
      <c r="I34" s="1" t="s">
        <v>64</v>
      </c>
      <c r="O34" s="6">
        <f>J50</f>
        <v>12.5</v>
      </c>
      <c r="W34" s="1">
        <f>W32+W33</f>
        <v>1015.357</v>
      </c>
    </row>
    <row r="35" spans="1:23" x14ac:dyDescent="0.2">
      <c r="I35" s="1" t="s">
        <v>77</v>
      </c>
      <c r="N35" s="6">
        <v>30</v>
      </c>
      <c r="O35" s="6"/>
    </row>
    <row r="36" spans="1:23" x14ac:dyDescent="0.2">
      <c r="I36" s="1" t="s">
        <v>78</v>
      </c>
      <c r="O36" s="6">
        <f>137.143</f>
        <v>137.143</v>
      </c>
      <c r="R36" s="1" t="s">
        <v>112</v>
      </c>
      <c r="T36" s="1">
        <f>T26+T29</f>
        <v>1275.357</v>
      </c>
      <c r="U36" s="1" t="s">
        <v>115</v>
      </c>
      <c r="W36" s="1">
        <f>W25+W28+W34</f>
        <v>1275.357</v>
      </c>
    </row>
    <row r="37" spans="1:23" x14ac:dyDescent="0.2">
      <c r="I37" s="1" t="s">
        <v>91</v>
      </c>
      <c r="N37" s="6">
        <v>30</v>
      </c>
    </row>
    <row r="38" spans="1:23" x14ac:dyDescent="0.2">
      <c r="I38" s="1" t="s">
        <v>54</v>
      </c>
      <c r="K38" s="1">
        <f>SUM(K3:K37)</f>
        <v>1275.357</v>
      </c>
      <c r="L38" s="1">
        <f>SUM(L3:L37)</f>
        <v>260</v>
      </c>
      <c r="M38" s="1">
        <f>SUM(M3:M37)</f>
        <v>860</v>
      </c>
      <c r="N38" s="1">
        <f t="shared" ref="N38" si="0">SUM(N3:N37)</f>
        <v>977</v>
      </c>
      <c r="O38" s="1">
        <f>SUM(O3:O37)</f>
        <v>821.64300000000003</v>
      </c>
    </row>
    <row r="40" spans="1:23" x14ac:dyDescent="0.2">
      <c r="A40" s="1" t="s">
        <v>40</v>
      </c>
      <c r="B40" s="1">
        <f>B43-B42-B41</f>
        <v>100</v>
      </c>
      <c r="C40" s="1" t="s">
        <v>43</v>
      </c>
      <c r="D40" s="1" t="s">
        <v>44</v>
      </c>
      <c r="E40" s="1">
        <f>B40*10%</f>
        <v>10</v>
      </c>
      <c r="I40" s="1" t="s">
        <v>57</v>
      </c>
      <c r="J40" s="1">
        <f>B43*10%</f>
        <v>20</v>
      </c>
      <c r="L40" s="1" t="s">
        <v>60</v>
      </c>
      <c r="N40" s="1">
        <f>J41</f>
        <v>10</v>
      </c>
    </row>
    <row r="41" spans="1:23" x14ac:dyDescent="0.2">
      <c r="A41" s="1" t="s">
        <v>41</v>
      </c>
      <c r="B41" s="1">
        <v>800</v>
      </c>
      <c r="I41" s="1" t="s">
        <v>58</v>
      </c>
      <c r="J41" s="1">
        <f>J40-10</f>
        <v>10</v>
      </c>
      <c r="L41" s="1" t="s">
        <v>61</v>
      </c>
      <c r="N41" s="1">
        <f>N40</f>
        <v>10</v>
      </c>
    </row>
    <row r="42" spans="1:23" x14ac:dyDescent="0.2">
      <c r="A42" s="1" t="s">
        <v>42</v>
      </c>
      <c r="B42" s="1">
        <v>-700</v>
      </c>
    </row>
    <row r="43" spans="1:23" x14ac:dyDescent="0.2">
      <c r="A43" s="1" t="s">
        <v>39</v>
      </c>
      <c r="B43" s="1">
        <f>B4</f>
        <v>200</v>
      </c>
    </row>
    <row r="50" spans="1:14" x14ac:dyDescent="0.2">
      <c r="I50" s="1" t="s">
        <v>63</v>
      </c>
      <c r="J50" s="1">
        <f>500/10*0.25</f>
        <v>12.5</v>
      </c>
      <c r="L50" s="1" t="s">
        <v>65</v>
      </c>
      <c r="N50" s="1">
        <f>J50</f>
        <v>12.5</v>
      </c>
    </row>
    <row r="51" spans="1:14" x14ac:dyDescent="0.2">
      <c r="L51" s="1" t="s">
        <v>66</v>
      </c>
      <c r="N51" s="1">
        <f>N50</f>
        <v>12.5</v>
      </c>
    </row>
    <row r="53" spans="1:14" x14ac:dyDescent="0.2">
      <c r="I53" s="1" t="s">
        <v>67</v>
      </c>
    </row>
    <row r="54" spans="1:14" x14ac:dyDescent="0.2">
      <c r="A54" s="1" t="s">
        <v>45</v>
      </c>
      <c r="B54" s="1">
        <f>B9/10*0.5</f>
        <v>25</v>
      </c>
      <c r="I54" s="1" t="s">
        <v>49</v>
      </c>
      <c r="J54" s="1">
        <v>500</v>
      </c>
      <c r="L54" s="1" t="s">
        <v>72</v>
      </c>
      <c r="N54" s="1">
        <v>37.5</v>
      </c>
    </row>
    <row r="55" spans="1:14" x14ac:dyDescent="0.2">
      <c r="I55" s="1" t="s">
        <v>68</v>
      </c>
      <c r="J55" s="1">
        <f>-B54-J50</f>
        <v>-37.5</v>
      </c>
      <c r="L55" s="1" t="s">
        <v>73</v>
      </c>
      <c r="N55" s="1">
        <v>500</v>
      </c>
    </row>
    <row r="56" spans="1:14" x14ac:dyDescent="0.2">
      <c r="I56" s="1" t="s">
        <v>69</v>
      </c>
      <c r="J56" s="1">
        <f>J54+J55</f>
        <v>462.5</v>
      </c>
      <c r="L56" s="1" t="s">
        <v>74</v>
      </c>
      <c r="N56" s="1">
        <v>30</v>
      </c>
    </row>
    <row r="57" spans="1:14" x14ac:dyDescent="0.2">
      <c r="I57" s="1" t="s">
        <v>70</v>
      </c>
      <c r="J57" s="1">
        <v>30</v>
      </c>
      <c r="L57" s="1" t="s">
        <v>75</v>
      </c>
      <c r="N57" s="1">
        <v>492.5</v>
      </c>
    </row>
    <row r="58" spans="1:14" x14ac:dyDescent="0.2">
      <c r="I58" s="1" t="s">
        <v>71</v>
      </c>
      <c r="J58" s="1">
        <f>J56+J57</f>
        <v>492.5</v>
      </c>
    </row>
    <row r="62" spans="1:14" x14ac:dyDescent="0.2">
      <c r="I62" s="1" t="s">
        <v>63</v>
      </c>
      <c r="J62" s="3">
        <f>B72*6/28</f>
        <v>137.14285714285714</v>
      </c>
      <c r="L62" s="1" t="s">
        <v>65</v>
      </c>
      <c r="N62" s="3">
        <f>J62</f>
        <v>137.14285714285714</v>
      </c>
    </row>
    <row r="63" spans="1:14" x14ac:dyDescent="0.2">
      <c r="L63" s="1" t="s">
        <v>79</v>
      </c>
      <c r="N63" s="3">
        <f>N62</f>
        <v>137.14285714285714</v>
      </c>
    </row>
    <row r="67" spans="1:14" x14ac:dyDescent="0.2">
      <c r="A67" s="1" t="s">
        <v>46</v>
      </c>
    </row>
    <row r="68" spans="1:14" x14ac:dyDescent="0.2">
      <c r="A68" s="1" t="s">
        <v>47</v>
      </c>
      <c r="B68" s="1">
        <f>7*8/2</f>
        <v>28</v>
      </c>
    </row>
    <row r="69" spans="1:14" x14ac:dyDescent="0.2">
      <c r="A69" s="1" t="s">
        <v>48</v>
      </c>
      <c r="B69" s="1">
        <v>7</v>
      </c>
    </row>
    <row r="70" spans="1:14" x14ac:dyDescent="0.2">
      <c r="A70" s="1" t="s">
        <v>49</v>
      </c>
      <c r="B70" s="1">
        <f>B11</f>
        <v>800</v>
      </c>
    </row>
    <row r="71" spans="1:14" x14ac:dyDescent="0.2">
      <c r="A71" s="1" t="s">
        <v>50</v>
      </c>
      <c r="B71" s="1">
        <f>B70*20%</f>
        <v>160</v>
      </c>
    </row>
    <row r="72" spans="1:14" x14ac:dyDescent="0.2">
      <c r="A72" s="1" t="s">
        <v>51</v>
      </c>
      <c r="B72" s="1">
        <f>B70-B71</f>
        <v>640</v>
      </c>
    </row>
    <row r="73" spans="1:14" x14ac:dyDescent="0.2">
      <c r="A73" s="1" t="s">
        <v>52</v>
      </c>
      <c r="B73" s="4">
        <f>B72*B69/B68</f>
        <v>160</v>
      </c>
    </row>
    <row r="76" spans="1:14" x14ac:dyDescent="0.2">
      <c r="I76" s="1" t="s">
        <v>80</v>
      </c>
      <c r="J76" s="1">
        <v>12</v>
      </c>
      <c r="L76" s="1" t="s">
        <v>81</v>
      </c>
      <c r="N76" s="1">
        <v>12</v>
      </c>
    </row>
    <row r="77" spans="1:14" x14ac:dyDescent="0.2">
      <c r="L77" s="1" t="s">
        <v>82</v>
      </c>
      <c r="N77" s="1">
        <v>12</v>
      </c>
    </row>
    <row r="81" spans="1:14" x14ac:dyDescent="0.2">
      <c r="I81" s="1" t="s">
        <v>84</v>
      </c>
      <c r="J81" s="1">
        <v>0</v>
      </c>
      <c r="L81" s="1" t="s">
        <v>85</v>
      </c>
      <c r="N81" s="1">
        <v>40</v>
      </c>
    </row>
    <row r="82" spans="1:14" x14ac:dyDescent="0.2">
      <c r="L82" s="1" t="s">
        <v>86</v>
      </c>
      <c r="N82" s="1">
        <v>40</v>
      </c>
    </row>
    <row r="86" spans="1:14" x14ac:dyDescent="0.2">
      <c r="I86" s="1" t="s">
        <v>88</v>
      </c>
      <c r="J86" s="1">
        <f>30</f>
        <v>30</v>
      </c>
      <c r="L86" s="1" t="s">
        <v>89</v>
      </c>
      <c r="N86" s="1">
        <v>30</v>
      </c>
    </row>
    <row r="87" spans="1:14" x14ac:dyDescent="0.2">
      <c r="L87" s="1" t="s">
        <v>90</v>
      </c>
      <c r="N87" s="1">
        <v>30</v>
      </c>
    </row>
    <row r="90" spans="1:14" x14ac:dyDescent="0.2">
      <c r="A90" s="1" t="s">
        <v>53</v>
      </c>
      <c r="B90" s="1">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4A2F3-A1EF-4248-A3FE-048992E758BE}">
  <dimension ref="A1:H119"/>
  <sheetViews>
    <sheetView rightToLeft="1" zoomScale="200" workbookViewId="0">
      <selection activeCell="A99" sqref="A99"/>
    </sheetView>
  </sheetViews>
  <sheetFormatPr baseColWidth="10" defaultRowHeight="16" x14ac:dyDescent="0.2"/>
  <cols>
    <col min="1" max="16384" width="10.83203125" style="1"/>
  </cols>
  <sheetData>
    <row r="1" spans="1:8" x14ac:dyDescent="0.2">
      <c r="A1" s="5" t="s">
        <v>116</v>
      </c>
      <c r="B1" s="5"/>
      <c r="C1" s="5"/>
      <c r="D1" s="5"/>
      <c r="E1" s="5"/>
      <c r="F1" s="5"/>
      <c r="G1" s="5"/>
      <c r="H1" s="5"/>
    </row>
    <row r="3" spans="1:8" x14ac:dyDescent="0.2">
      <c r="A3" s="1">
        <v>1</v>
      </c>
      <c r="B3" s="1" t="s">
        <v>75</v>
      </c>
      <c r="C3" s="1">
        <v>320</v>
      </c>
    </row>
    <row r="4" spans="1:8" x14ac:dyDescent="0.2">
      <c r="B4" s="1" t="s">
        <v>117</v>
      </c>
      <c r="C4" s="1">
        <f>C3</f>
        <v>320</v>
      </c>
    </row>
    <row r="8" spans="1:8" x14ac:dyDescent="0.2">
      <c r="A8" s="1">
        <v>2</v>
      </c>
      <c r="B8" s="1" t="s">
        <v>118</v>
      </c>
      <c r="D8" s="1">
        <v>200</v>
      </c>
    </row>
    <row r="9" spans="1:8" x14ac:dyDescent="0.2">
      <c r="B9" s="1" t="s">
        <v>119</v>
      </c>
      <c r="D9" s="1">
        <v>200</v>
      </c>
    </row>
    <row r="13" spans="1:8" x14ac:dyDescent="0.2">
      <c r="A13" s="1">
        <v>3</v>
      </c>
      <c r="B13" s="1" t="s">
        <v>75</v>
      </c>
      <c r="D13" s="1">
        <v>140</v>
      </c>
    </row>
    <row r="14" spans="1:8" x14ac:dyDescent="0.2">
      <c r="B14" s="1" t="s">
        <v>120</v>
      </c>
      <c r="D14" s="1">
        <v>140</v>
      </c>
    </row>
    <row r="17" spans="1:4" x14ac:dyDescent="0.2">
      <c r="A17" s="1">
        <v>4</v>
      </c>
      <c r="B17" s="1" t="s">
        <v>121</v>
      </c>
      <c r="D17" s="1">
        <f>D14*10%</f>
        <v>14</v>
      </c>
    </row>
    <row r="18" spans="1:4" x14ac:dyDescent="0.2">
      <c r="B18" s="1" t="s">
        <v>119</v>
      </c>
      <c r="D18" s="1">
        <f>D17</f>
        <v>14</v>
      </c>
    </row>
    <row r="23" spans="1:4" x14ac:dyDescent="0.2">
      <c r="A23" s="1">
        <v>5</v>
      </c>
      <c r="B23" s="1" t="s">
        <v>122</v>
      </c>
      <c r="D23" s="1">
        <v>100</v>
      </c>
    </row>
    <row r="24" spans="1:4" x14ac:dyDescent="0.2">
      <c r="B24" s="1" t="s">
        <v>75</v>
      </c>
      <c r="D24" s="1">
        <v>200</v>
      </c>
    </row>
    <row r="25" spans="1:4" x14ac:dyDescent="0.2">
      <c r="B25" s="1" t="s">
        <v>128</v>
      </c>
      <c r="D25" s="1">
        <v>300</v>
      </c>
    </row>
    <row r="29" spans="1:4" x14ac:dyDescent="0.2">
      <c r="A29" s="1">
        <v>6</v>
      </c>
      <c r="B29" s="1" t="s">
        <v>123</v>
      </c>
      <c r="D29" s="1">
        <v>12</v>
      </c>
    </row>
    <row r="30" spans="1:4" x14ac:dyDescent="0.2">
      <c r="B30" s="1" t="s">
        <v>119</v>
      </c>
      <c r="D30" s="1">
        <v>12</v>
      </c>
    </row>
    <row r="33" spans="1:4" x14ac:dyDescent="0.2">
      <c r="A33" s="1">
        <v>7</v>
      </c>
      <c r="B33" s="1" t="s">
        <v>124</v>
      </c>
      <c r="D33" s="1">
        <v>40</v>
      </c>
    </row>
    <row r="34" spans="1:4" x14ac:dyDescent="0.2">
      <c r="B34" s="1" t="s">
        <v>119</v>
      </c>
      <c r="D34" s="1">
        <v>40</v>
      </c>
    </row>
    <row r="38" spans="1:4" x14ac:dyDescent="0.2">
      <c r="A38" s="1">
        <v>8</v>
      </c>
      <c r="B38" s="1" t="s">
        <v>75</v>
      </c>
      <c r="D38" s="1">
        <v>30</v>
      </c>
    </row>
    <row r="39" spans="1:4" x14ac:dyDescent="0.2">
      <c r="B39" s="1" t="s">
        <v>125</v>
      </c>
      <c r="D39" s="1">
        <v>30</v>
      </c>
    </row>
    <row r="42" spans="1:4" x14ac:dyDescent="0.2">
      <c r="A42" s="1">
        <v>9</v>
      </c>
      <c r="B42" s="1" t="s">
        <v>75</v>
      </c>
      <c r="D42" s="1">
        <v>12</v>
      </c>
    </row>
    <row r="43" spans="1:4" x14ac:dyDescent="0.2">
      <c r="B43" s="1" t="s">
        <v>125</v>
      </c>
      <c r="D43" s="1">
        <v>10</v>
      </c>
    </row>
    <row r="44" spans="1:4" x14ac:dyDescent="0.2">
      <c r="B44" s="1" t="s">
        <v>126</v>
      </c>
      <c r="D44" s="1">
        <v>2</v>
      </c>
    </row>
    <row r="46" spans="1:4" x14ac:dyDescent="0.2">
      <c r="A46" s="1">
        <v>10</v>
      </c>
      <c r="B46" s="1" t="s">
        <v>127</v>
      </c>
      <c r="D46" s="1">
        <v>5</v>
      </c>
    </row>
    <row r="47" spans="1:4" x14ac:dyDescent="0.2">
      <c r="B47" s="1" t="s">
        <v>119</v>
      </c>
      <c r="D47" s="1">
        <v>5</v>
      </c>
    </row>
    <row r="49" spans="1:8" x14ac:dyDescent="0.2">
      <c r="A49" s="5" t="s">
        <v>129</v>
      </c>
      <c r="B49" s="5"/>
      <c r="C49" s="5"/>
      <c r="D49" s="5"/>
      <c r="E49" s="5"/>
      <c r="F49" s="5"/>
      <c r="G49" s="5"/>
      <c r="H49" s="5"/>
    </row>
    <row r="51" spans="1:8" x14ac:dyDescent="0.2">
      <c r="A51" s="1" t="s">
        <v>130</v>
      </c>
      <c r="B51" s="1" t="s">
        <v>131</v>
      </c>
      <c r="D51" s="1" t="s">
        <v>132</v>
      </c>
      <c r="E51" s="1" t="s">
        <v>135</v>
      </c>
      <c r="F51" s="1" t="s">
        <v>133</v>
      </c>
      <c r="H51" s="1" t="s">
        <v>134</v>
      </c>
    </row>
    <row r="52" spans="1:8" x14ac:dyDescent="0.2">
      <c r="A52" s="1">
        <v>2020</v>
      </c>
      <c r="B52" s="1" t="s">
        <v>136</v>
      </c>
      <c r="D52" s="1">
        <f>1000*200</f>
        <v>200000</v>
      </c>
      <c r="E52" s="1">
        <f>200/500</f>
        <v>0.4</v>
      </c>
      <c r="F52" s="1" t="s">
        <v>137</v>
      </c>
      <c r="H52" s="1" t="s">
        <v>139</v>
      </c>
    </row>
    <row r="53" spans="1:8" x14ac:dyDescent="0.2">
      <c r="F53" s="1" t="s">
        <v>138</v>
      </c>
    </row>
    <row r="56" spans="1:8" x14ac:dyDescent="0.2">
      <c r="A56" s="1">
        <v>2021</v>
      </c>
      <c r="B56" s="1" t="s">
        <v>140</v>
      </c>
      <c r="D56" s="1">
        <f>1000*100</f>
        <v>100000</v>
      </c>
      <c r="E56" s="1">
        <f>300/500</f>
        <v>0.6</v>
      </c>
      <c r="F56" s="1" t="s">
        <v>144</v>
      </c>
      <c r="H56" s="1" t="s">
        <v>147</v>
      </c>
    </row>
    <row r="57" spans="1:8" x14ac:dyDescent="0.2">
      <c r="B57" s="1" t="s">
        <v>141</v>
      </c>
      <c r="F57" s="1" t="s">
        <v>145</v>
      </c>
    </row>
    <row r="58" spans="1:8" x14ac:dyDescent="0.2">
      <c r="F58" s="1" t="s">
        <v>146</v>
      </c>
    </row>
    <row r="60" spans="1:8" x14ac:dyDescent="0.2">
      <c r="A60" s="1">
        <v>2022</v>
      </c>
      <c r="B60" s="1" t="s">
        <v>142</v>
      </c>
      <c r="D60" s="1">
        <f>1000*150</f>
        <v>150000</v>
      </c>
      <c r="E60" s="1">
        <f>450/500</f>
        <v>0.9</v>
      </c>
      <c r="F60" s="1" t="s">
        <v>148</v>
      </c>
      <c r="H60" s="1" t="s">
        <v>150</v>
      </c>
    </row>
    <row r="61" spans="1:8" x14ac:dyDescent="0.2">
      <c r="B61" s="1" t="s">
        <v>143</v>
      </c>
      <c r="F61" s="1" t="s">
        <v>149</v>
      </c>
    </row>
    <row r="64" spans="1:8" x14ac:dyDescent="0.2">
      <c r="A64" s="1">
        <v>2023</v>
      </c>
      <c r="B64" s="1" t="s">
        <v>136</v>
      </c>
      <c r="D64" s="1">
        <f>1000*50</f>
        <v>50000</v>
      </c>
      <c r="E64" s="1">
        <f>500/500</f>
        <v>1</v>
      </c>
      <c r="F64" s="1" t="s">
        <v>151</v>
      </c>
      <c r="H64" s="1" t="s">
        <v>136</v>
      </c>
    </row>
    <row r="65" spans="1:8" x14ac:dyDescent="0.2">
      <c r="F65" s="1" t="s">
        <v>152</v>
      </c>
    </row>
    <row r="67" spans="1:8" x14ac:dyDescent="0.2">
      <c r="A67" s="5" t="s">
        <v>153</v>
      </c>
      <c r="B67" s="5"/>
      <c r="C67" s="5"/>
      <c r="D67" s="5"/>
      <c r="E67" s="5"/>
      <c r="F67" s="5"/>
      <c r="G67" s="5"/>
      <c r="H67" s="5"/>
    </row>
    <row r="69" spans="1:8" x14ac:dyDescent="0.2">
      <c r="A69" s="1" t="s">
        <v>161</v>
      </c>
    </row>
    <row r="70" spans="1:8" x14ac:dyDescent="0.2">
      <c r="A70" s="1" t="s">
        <v>159</v>
      </c>
    </row>
    <row r="71" spans="1:8" x14ac:dyDescent="0.2">
      <c r="A71" s="1" t="s">
        <v>160</v>
      </c>
    </row>
    <row r="72" spans="1:8" x14ac:dyDescent="0.2">
      <c r="A72" s="1" t="s">
        <v>166</v>
      </c>
    </row>
    <row r="74" spans="1:8" x14ac:dyDescent="0.2">
      <c r="C74" s="1" t="s">
        <v>154</v>
      </c>
      <c r="E74" s="1" t="s">
        <v>157</v>
      </c>
      <c r="G74" s="1" t="s">
        <v>158</v>
      </c>
    </row>
    <row r="75" spans="1:8" x14ac:dyDescent="0.2">
      <c r="C75" s="1" t="s">
        <v>155</v>
      </c>
      <c r="D75" s="1" t="s">
        <v>156</v>
      </c>
      <c r="E75" s="1" t="s">
        <v>155</v>
      </c>
      <c r="F75" s="1" t="s">
        <v>156</v>
      </c>
      <c r="G75" s="1" t="s">
        <v>155</v>
      </c>
      <c r="H75" s="1" t="s">
        <v>156</v>
      </c>
    </row>
    <row r="76" spans="1:8" x14ac:dyDescent="0.2">
      <c r="A76" s="1" t="s">
        <v>168</v>
      </c>
      <c r="C76" s="1">
        <v>950</v>
      </c>
    </row>
    <row r="77" spans="1:8" x14ac:dyDescent="0.2">
      <c r="A77" s="1" t="s">
        <v>162</v>
      </c>
      <c r="D77" s="1">
        <v>60</v>
      </c>
    </row>
    <row r="78" spans="1:8" x14ac:dyDescent="0.2">
      <c r="A78" s="1" t="s">
        <v>163</v>
      </c>
      <c r="D78" s="1">
        <v>660</v>
      </c>
    </row>
    <row r="79" spans="1:8" x14ac:dyDescent="0.2">
      <c r="A79" s="1" t="s">
        <v>165</v>
      </c>
      <c r="F79" s="1">
        <f>F80</f>
        <v>18.400000000000002</v>
      </c>
      <c r="G79" s="1">
        <f>F79</f>
        <v>18.400000000000002</v>
      </c>
    </row>
    <row r="80" spans="1:8" x14ac:dyDescent="0.2">
      <c r="A80" s="1" t="s">
        <v>164</v>
      </c>
      <c r="C80" s="1">
        <f>C76-D78-D77</f>
        <v>230</v>
      </c>
      <c r="F80" s="1">
        <f>C80*8%</f>
        <v>18.400000000000002</v>
      </c>
      <c r="G80" s="1">
        <f>G79</f>
        <v>18.400000000000002</v>
      </c>
    </row>
    <row r="81" spans="1:7" x14ac:dyDescent="0.2">
      <c r="A81" s="1" t="s">
        <v>167</v>
      </c>
      <c r="C81" s="1">
        <f>880-440</f>
        <v>440</v>
      </c>
    </row>
    <row r="82" spans="1:7" x14ac:dyDescent="0.2">
      <c r="A82" s="1" t="s">
        <v>169</v>
      </c>
      <c r="D82" s="1">
        <v>115</v>
      </c>
    </row>
    <row r="83" spans="1:7" x14ac:dyDescent="0.2">
      <c r="A83" s="1" t="s">
        <v>170</v>
      </c>
      <c r="D83" s="1">
        <v>33</v>
      </c>
      <c r="E83" s="1">
        <v>33</v>
      </c>
    </row>
    <row r="84" spans="1:7" x14ac:dyDescent="0.2">
      <c r="A84" s="1" t="s">
        <v>172</v>
      </c>
      <c r="F84" s="1">
        <f>F85+E83-F80</f>
        <v>54.271999999999991</v>
      </c>
      <c r="G84" s="1">
        <f>F84</f>
        <v>54.271999999999991</v>
      </c>
    </row>
    <row r="85" spans="1:7" x14ac:dyDescent="0.2">
      <c r="A85" s="1" t="s">
        <v>171</v>
      </c>
      <c r="C85" s="1">
        <f>C80+C81-D82-D83</f>
        <v>522</v>
      </c>
      <c r="F85" s="1">
        <f>C85*80%*7%+C85*20%*10%</f>
        <v>39.672000000000004</v>
      </c>
      <c r="G85" s="1">
        <f>G84</f>
        <v>54.271999999999991</v>
      </c>
    </row>
    <row r="87" spans="1:7" x14ac:dyDescent="0.2">
      <c r="A87" s="1" t="s">
        <v>173</v>
      </c>
    </row>
    <row r="89" spans="1:7" x14ac:dyDescent="0.2">
      <c r="A89" s="1" t="s">
        <v>174</v>
      </c>
      <c r="C89" s="13">
        <v>44196</v>
      </c>
      <c r="D89" s="13">
        <v>44561</v>
      </c>
    </row>
    <row r="90" spans="1:7" x14ac:dyDescent="0.2">
      <c r="A90" s="1" t="s">
        <v>154</v>
      </c>
      <c r="C90" s="1">
        <f>C80</f>
        <v>230</v>
      </c>
      <c r="D90" s="1">
        <f>C85</f>
        <v>522</v>
      </c>
    </row>
    <row r="91" spans="1:7" x14ac:dyDescent="0.2">
      <c r="A91" s="1" t="s">
        <v>157</v>
      </c>
      <c r="C91" s="1">
        <f>-F80</f>
        <v>-18.400000000000002</v>
      </c>
      <c r="D91" s="1">
        <f>-F85</f>
        <v>-39.672000000000004</v>
      </c>
    </row>
    <row r="92" spans="1:7" x14ac:dyDescent="0.2">
      <c r="A92" s="1" t="s">
        <v>108</v>
      </c>
      <c r="C92" s="1">
        <f>C90+C91</f>
        <v>211.6</v>
      </c>
      <c r="D92" s="1">
        <f>D90+D91</f>
        <v>482.32799999999997</v>
      </c>
    </row>
    <row r="94" spans="1:7" x14ac:dyDescent="0.2">
      <c r="A94" s="1" t="s">
        <v>175</v>
      </c>
      <c r="C94" s="13">
        <v>44196</v>
      </c>
      <c r="D94" s="13">
        <v>44561</v>
      </c>
    </row>
    <row r="95" spans="1:7" x14ac:dyDescent="0.2">
      <c r="A95" s="1" t="s">
        <v>158</v>
      </c>
      <c r="C95" s="1">
        <f>G79</f>
        <v>18.400000000000002</v>
      </c>
      <c r="D95" s="1">
        <f>G84</f>
        <v>54.271999999999991</v>
      </c>
    </row>
    <row r="97" spans="1:8" x14ac:dyDescent="0.2">
      <c r="A97" s="5" t="s">
        <v>176</v>
      </c>
      <c r="B97" s="5"/>
      <c r="C97" s="5"/>
      <c r="D97" s="5"/>
      <c r="E97" s="5"/>
      <c r="F97" s="5"/>
      <c r="G97" s="5"/>
      <c r="H97" s="5"/>
    </row>
    <row r="98" spans="1:8" x14ac:dyDescent="0.2">
      <c r="A98" s="1" t="s">
        <v>188</v>
      </c>
    </row>
    <row r="99" spans="1:8" x14ac:dyDescent="0.2">
      <c r="D99" s="1" t="s">
        <v>179</v>
      </c>
    </row>
    <row r="100" spans="1:8" x14ac:dyDescent="0.2">
      <c r="D100" s="1" t="s">
        <v>180</v>
      </c>
    </row>
    <row r="101" spans="1:8" x14ac:dyDescent="0.2">
      <c r="D101" s="1" t="s">
        <v>181</v>
      </c>
    </row>
    <row r="102" spans="1:8" x14ac:dyDescent="0.2">
      <c r="B102" s="13">
        <v>44926</v>
      </c>
      <c r="C102" s="13">
        <v>45291</v>
      </c>
      <c r="D102" s="13">
        <v>45536</v>
      </c>
      <c r="E102" s="13">
        <v>45657</v>
      </c>
    </row>
    <row r="103" spans="1:8" x14ac:dyDescent="0.2">
      <c r="A103" s="1" t="s">
        <v>49</v>
      </c>
      <c r="B103" s="1">
        <f>750+90+30</f>
        <v>870</v>
      </c>
      <c r="C103" s="1">
        <f>B103</f>
        <v>870</v>
      </c>
      <c r="D103" s="1">
        <f>C103</f>
        <v>870</v>
      </c>
      <c r="E103" s="1">
        <v>0</v>
      </c>
    </row>
    <row r="104" spans="1:8" x14ac:dyDescent="0.2">
      <c r="A104" s="1" t="s">
        <v>177</v>
      </c>
      <c r="B104" s="3">
        <f>B107</f>
        <v>133.33333333333334</v>
      </c>
      <c r="C104" s="3">
        <f>B104+C107</f>
        <v>373.33333333333337</v>
      </c>
      <c r="D104" s="1">
        <f>C104+D107</f>
        <v>520</v>
      </c>
      <c r="E104" s="1">
        <v>0</v>
      </c>
    </row>
    <row r="105" spans="1:8" x14ac:dyDescent="0.2">
      <c r="A105" s="1" t="s">
        <v>69</v>
      </c>
      <c r="B105" s="3">
        <f>B103-B104</f>
        <v>736.66666666666663</v>
      </c>
      <c r="C105" s="3">
        <f>C103-C104</f>
        <v>496.66666666666663</v>
      </c>
      <c r="D105" s="1">
        <f>D103-D104</f>
        <v>350</v>
      </c>
      <c r="E105" s="1">
        <f>E103-E104</f>
        <v>0</v>
      </c>
    </row>
    <row r="107" spans="1:8" x14ac:dyDescent="0.2">
      <c r="A107" s="1" t="s">
        <v>178</v>
      </c>
      <c r="B107" s="3">
        <f>C117</f>
        <v>133.33333333333334</v>
      </c>
      <c r="C107" s="1">
        <f>C118</f>
        <v>240</v>
      </c>
      <c r="D107" s="3">
        <f>C119</f>
        <v>146.66666666666666</v>
      </c>
      <c r="E107" s="3">
        <f>D107</f>
        <v>146.66666666666666</v>
      </c>
    </row>
    <row r="108" spans="1:8" x14ac:dyDescent="0.2">
      <c r="A108" s="1" t="s">
        <v>70</v>
      </c>
      <c r="E108" s="1">
        <f>430-D105</f>
        <v>80</v>
      </c>
    </row>
    <row r="110" spans="1:8" x14ac:dyDescent="0.2">
      <c r="A110" s="1" t="s">
        <v>63</v>
      </c>
    </row>
    <row r="111" spans="1:8" x14ac:dyDescent="0.2">
      <c r="A111" s="1" t="s">
        <v>182</v>
      </c>
      <c r="C111" s="1">
        <f>5*6/2</f>
        <v>15</v>
      </c>
    </row>
    <row r="112" spans="1:8" x14ac:dyDescent="0.2">
      <c r="A112" s="1" t="s">
        <v>183</v>
      </c>
      <c r="C112" s="13">
        <v>44743</v>
      </c>
    </row>
    <row r="113" spans="1:3" x14ac:dyDescent="0.2">
      <c r="A113" s="1" t="s">
        <v>49</v>
      </c>
      <c r="C113" s="1">
        <v>870</v>
      </c>
    </row>
    <row r="114" spans="1:3" x14ac:dyDescent="0.2">
      <c r="A114" s="1" t="s">
        <v>184</v>
      </c>
      <c r="C114" s="1">
        <v>70</v>
      </c>
    </row>
    <row r="115" spans="1:3" x14ac:dyDescent="0.2">
      <c r="A115" s="1" t="s">
        <v>51</v>
      </c>
      <c r="C115" s="1">
        <f>C113-C114</f>
        <v>800</v>
      </c>
    </row>
    <row r="117" spans="1:3" x14ac:dyDescent="0.2">
      <c r="A117" s="1" t="s">
        <v>185</v>
      </c>
      <c r="C117" s="1">
        <f>C115*(5*6/12)/C111</f>
        <v>133.33333333333334</v>
      </c>
    </row>
    <row r="118" spans="1:3" x14ac:dyDescent="0.2">
      <c r="A118" s="1" t="s">
        <v>186</v>
      </c>
      <c r="C118" s="1">
        <f>C115*(5*6/12+4*6/12)/C111</f>
        <v>240</v>
      </c>
    </row>
    <row r="119" spans="1:3" x14ac:dyDescent="0.2">
      <c r="A119" s="1" t="s">
        <v>187</v>
      </c>
      <c r="C119" s="1">
        <f>C115*(4*6/12+3*3/12)/C111</f>
        <v>146.66666666666666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פתרון משותף בכיתה</vt:lpstr>
      <vt:lpstr>פתרון מלא א</vt:lpstr>
      <vt:lpstr>פתרון מלא 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2024-03-16T16:00:46Z</dcterms:created>
  <dcterms:modified xsi:type="dcterms:W3CDTF">2025-01-06T12:52:39Z</dcterms:modified>
</cp:coreProperties>
</file>