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https://yvcac-my.sharepoint.com/personal/shayt_yvc_ac_il/Documents/YVC - Intro ACC/2024 A/Final Exam Moed B/"/>
    </mc:Choice>
  </mc:AlternateContent>
  <xr:revisionPtr revIDLastSave="1205" documentId="8_{C3A7FFE3-D8DC-ED4B-ABA7-424D4237B4BF}" xr6:coauthVersionLast="47" xr6:coauthVersionMax="47" xr10:uidLastSave="{2694E0C1-064B-1549-9A4B-AC0AB40CE48A}"/>
  <bookViews>
    <workbookView xWindow="25800" yWindow="0" windowWidth="25400" windowHeight="32000" activeTab="1" xr2:uid="{BCBCED09-8878-6945-AEF5-81685299901C}"/>
  </bookViews>
  <sheets>
    <sheet name="פתרון מלא א" sheetId="1" r:id="rId1"/>
    <sheet name="פתרון מלא ב"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3" i="3" l="1"/>
  <c r="C114" i="3"/>
  <c r="C113" i="3"/>
  <c r="C112" i="3"/>
  <c r="C109" i="3"/>
  <c r="C108" i="3"/>
  <c r="C106" i="3"/>
  <c r="B98" i="3"/>
  <c r="F80" i="3"/>
  <c r="E78" i="3"/>
  <c r="C76" i="3"/>
  <c r="F75" i="3"/>
  <c r="D43" i="3"/>
  <c r="D47" i="3" s="1"/>
  <c r="D30" i="3"/>
  <c r="D28" i="3"/>
  <c r="D31" i="3" s="1"/>
  <c r="D25" i="3"/>
  <c r="D20" i="3"/>
  <c r="D17" i="3"/>
  <c r="D18" i="3" s="1"/>
  <c r="D14" i="3"/>
  <c r="D15" i="3" s="1"/>
  <c r="D3" i="3"/>
  <c r="D4" i="3" s="1"/>
  <c r="W39" i="1"/>
  <c r="W36" i="1"/>
  <c r="W35" i="1"/>
  <c r="W31" i="1"/>
  <c r="W26" i="1"/>
  <c r="W25" i="1"/>
  <c r="W24" i="1"/>
  <c r="T32" i="1"/>
  <c r="T28" i="1"/>
  <c r="T26" i="1"/>
  <c r="T27" i="1"/>
  <c r="T25" i="1"/>
  <c r="T24" i="1"/>
  <c r="T16" i="1"/>
  <c r="T15" i="1"/>
  <c r="T13" i="1"/>
  <c r="T12" i="1"/>
  <c r="T10" i="1"/>
  <c r="T9" i="1"/>
  <c r="T8" i="1"/>
  <c r="T6" i="1"/>
  <c r="T5" i="1"/>
  <c r="M19" i="1"/>
  <c r="O38" i="1"/>
  <c r="N38" i="1"/>
  <c r="M38" i="1"/>
  <c r="L38" i="1"/>
  <c r="K38" i="1"/>
  <c r="O23" i="1"/>
  <c r="J66" i="1"/>
  <c r="J65" i="1"/>
  <c r="J61" i="1"/>
  <c r="J62" i="1" s="1"/>
  <c r="K13" i="1"/>
  <c r="K12" i="1"/>
  <c r="O34" i="1"/>
  <c r="N57" i="1"/>
  <c r="N58" i="1" s="1"/>
  <c r="J57" i="1"/>
  <c r="K3" i="1"/>
  <c r="K9" i="1"/>
  <c r="J53" i="1"/>
  <c r="J49" i="1"/>
  <c r="J54" i="1" s="1"/>
  <c r="J55" i="1" s="1"/>
  <c r="N33" i="1" s="1"/>
  <c r="K5" i="1"/>
  <c r="J46" i="1"/>
  <c r="B74" i="1"/>
  <c r="B67" i="1"/>
  <c r="B68" i="1" s="1"/>
  <c r="C10" i="1" s="1"/>
  <c r="B60" i="1"/>
  <c r="C7" i="1" s="1"/>
  <c r="G8" i="1" s="1"/>
  <c r="B52" i="1"/>
  <c r="G6" i="1" s="1"/>
  <c r="B42" i="1"/>
  <c r="B44" i="1" s="1"/>
  <c r="B40" i="1"/>
  <c r="G30" i="1"/>
  <c r="F29" i="1"/>
  <c r="F28" i="1"/>
  <c r="F31" i="1" s="1"/>
  <c r="G27" i="1"/>
  <c r="G26" i="1"/>
  <c r="G25" i="1"/>
  <c r="G24" i="1"/>
  <c r="G23" i="1"/>
  <c r="G22" i="1"/>
  <c r="G21" i="1"/>
  <c r="G20" i="1"/>
  <c r="E18" i="1"/>
  <c r="D17" i="1"/>
  <c r="D16" i="1"/>
  <c r="D15" i="1"/>
  <c r="C11" i="1"/>
  <c r="B71" i="1" s="1"/>
  <c r="B72" i="1" s="1"/>
  <c r="C9" i="1"/>
  <c r="C4" i="1"/>
  <c r="C3" i="1"/>
  <c r="E100" i="3"/>
  <c r="C110" i="3"/>
  <c r="C98" i="3"/>
  <c r="C75" i="3"/>
  <c r="F74" i="3" s="1"/>
  <c r="G74" i="3" s="1"/>
  <c r="G75" i="3" s="1"/>
  <c r="B108" i="1"/>
  <c r="B109" i="1" s="1"/>
  <c r="B106" i="1"/>
  <c r="B92" i="1"/>
  <c r="C102" i="3" l="1"/>
  <c r="O35" i="1"/>
  <c r="N48" i="1"/>
  <c r="B78" i="1"/>
  <c r="C12" i="1" s="1"/>
  <c r="D31" i="1"/>
  <c r="O32" i="1"/>
  <c r="B46" i="1"/>
  <c r="C5" i="1" s="1"/>
  <c r="J44" i="1" s="1"/>
  <c r="J45" i="1" s="1"/>
  <c r="N44" i="1" s="1"/>
  <c r="N45" i="1" s="1"/>
  <c r="G31" i="1"/>
  <c r="T7" i="1"/>
  <c r="D98" i="3"/>
  <c r="D102" i="3"/>
  <c r="E102" i="3" s="1"/>
  <c r="B102" i="3"/>
  <c r="B99" i="3" s="1"/>
  <c r="C85" i="3"/>
  <c r="C86" i="3"/>
  <c r="C80" i="3"/>
  <c r="C90" i="3"/>
  <c r="B110" i="1"/>
  <c r="N49" i="1" l="1"/>
  <c r="K10" i="1"/>
  <c r="C31" i="1"/>
  <c r="E19" i="1" s="1"/>
  <c r="E31" i="1" s="1"/>
  <c r="O31" i="1"/>
  <c r="B100" i="3"/>
  <c r="C99" i="3"/>
  <c r="D85" i="3"/>
  <c r="C87" i="3"/>
  <c r="B111" i="1"/>
  <c r="T39" i="1" l="1"/>
  <c r="D99" i="3"/>
  <c r="D100" i="3" s="1"/>
  <c r="C100" i="3"/>
  <c r="F79" i="3"/>
  <c r="G79" i="3" s="1"/>
  <c r="D86" i="3"/>
  <c r="D87" i="3" s="1"/>
  <c r="T11" i="1"/>
  <c r="T14" i="1" s="1"/>
  <c r="D90" i="3" l="1"/>
  <c r="G80" i="3"/>
  <c r="W37" i="1"/>
</calcChain>
</file>

<file path=xl/sharedStrings.xml><?xml version="1.0" encoding="utf-8"?>
<sst xmlns="http://schemas.openxmlformats.org/spreadsheetml/2006/main" count="310" uniqueCount="216">
  <si>
    <t>סעיף</t>
  </si>
  <si>
    <t>מזומן</t>
  </si>
  <si>
    <t>לקוחות</t>
  </si>
  <si>
    <t>הפרשה לחובות מסופקים ליום 1.1.2023</t>
  </si>
  <si>
    <t>מלאי ליום 1.1.2023</t>
  </si>
  <si>
    <t xml:space="preserve">מלאי ליום 31.12.2023 - מאזן </t>
  </si>
  <si>
    <t>מלאי ליום 31.12.2023 - רווח והפסד</t>
  </si>
  <si>
    <t>מחשבי Macbook (עלות)</t>
  </si>
  <si>
    <t>מחשבי Macbook - פחת נצבר 1.1.2023</t>
  </si>
  <si>
    <t>הוצאות ניקיון מראש 1.1.2023</t>
  </si>
  <si>
    <t>הוצאות שכר דירה לשלם 1.1.2023</t>
  </si>
  <si>
    <t>הלוואות לזמן קצר</t>
  </si>
  <si>
    <t>הלוואות לזמן ארוך</t>
  </si>
  <si>
    <t>ספקים</t>
  </si>
  <si>
    <t>הון מניות</t>
  </si>
  <si>
    <t>עודפים</t>
  </si>
  <si>
    <t>עודפים 1.1.2023</t>
  </si>
  <si>
    <t>הוצאות חשמל</t>
  </si>
  <si>
    <t>שכר טרחת עורכי דין</t>
  </si>
  <si>
    <t>הוצאות טלפון</t>
  </si>
  <si>
    <t>הוצאות שכר דירה</t>
  </si>
  <si>
    <t>הוצאות שכר - הנהלה</t>
  </si>
  <si>
    <t>הוצאות שכר - שיווק ומכירות</t>
  </si>
  <si>
    <t>הוצאות ריבית</t>
  </si>
  <si>
    <t>הוצאות מס</t>
  </si>
  <si>
    <t>הכנסות ריבית</t>
  </si>
  <si>
    <t>סכום כספי</t>
  </si>
  <si>
    <t>נכסים</t>
  </si>
  <si>
    <t>התחייבויות</t>
  </si>
  <si>
    <t>הון עצמי</t>
  </si>
  <si>
    <t>הכנסות</t>
  </si>
  <si>
    <t>הוצאות</t>
  </si>
  <si>
    <t>?</t>
  </si>
  <si>
    <t>מכירות</t>
  </si>
  <si>
    <t>קניות</t>
  </si>
  <si>
    <t>הלח״מ י״פ</t>
  </si>
  <si>
    <t>פחת נצבר י״פ</t>
  </si>
  <si>
    <t>פחת נצבר י״פ:</t>
  </si>
  <si>
    <t>סכום ספרות:</t>
  </si>
  <si>
    <t>ספרה ב-2022:</t>
  </si>
  <si>
    <t>עלות</t>
  </si>
  <si>
    <t>שייר</t>
  </si>
  <si>
    <t>בסיס הפחת</t>
  </si>
  <si>
    <t>הוצ׳ פחת 2022 = פחנ״צ 1.1.2023</t>
  </si>
  <si>
    <t>הכנסות מראש י״פ</t>
  </si>
  <si>
    <t>סה״כ</t>
  </si>
  <si>
    <t>לפני תיקונים</t>
  </si>
  <si>
    <t>אחרי תיקונים</t>
  </si>
  <si>
    <t>הוצאות הלח״מ (חדש)</t>
  </si>
  <si>
    <t>ח׳ הוצאות הלח״מ</t>
  </si>
  <si>
    <t>ז׳ הלח״מ</t>
  </si>
  <si>
    <t xml:space="preserve">הפרשה לחובות מסופקים </t>
  </si>
  <si>
    <t>הוצאות פחת:</t>
  </si>
  <si>
    <t>ערך ספרים</t>
  </si>
  <si>
    <t>ז׳ רווח הון</t>
  </si>
  <si>
    <t>ח׳ מזומן</t>
  </si>
  <si>
    <t>ח׳ הוצאות ניקיון</t>
  </si>
  <si>
    <t>ז׳ הוצאות ניקיון מראש</t>
  </si>
  <si>
    <t>הוצאות ניקיון מראש</t>
  </si>
  <si>
    <t>ח׳ הוצאות שכר דירה לשלם</t>
  </si>
  <si>
    <t>ז׳ הוצאות שכר דירה</t>
  </si>
  <si>
    <t>הוצאות שכר דירה לשלם</t>
  </si>
  <si>
    <t>דוחות כספיים</t>
  </si>
  <si>
    <t>עלות המכר</t>
  </si>
  <si>
    <t>רווח גולמי</t>
  </si>
  <si>
    <t>הוצאות מכירה ושיווק</t>
  </si>
  <si>
    <t>הוצאות הנהלה וכלליות</t>
  </si>
  <si>
    <t>הכנסות אחרות</t>
  </si>
  <si>
    <t>רווח תפעולי</t>
  </si>
  <si>
    <t>הוצאות מימון</t>
  </si>
  <si>
    <t>הכנסות מימון</t>
  </si>
  <si>
    <t>רווח לפני מסים על ההכנסה</t>
  </si>
  <si>
    <t>רווח נקי</t>
  </si>
  <si>
    <t>התחייבויות והון עצמי</t>
  </si>
  <si>
    <t>נכסים שוטפים</t>
  </si>
  <si>
    <t>לקוחות, נטו</t>
  </si>
  <si>
    <t>מלאי</t>
  </si>
  <si>
    <t>נכסים לא שוטפים</t>
  </si>
  <si>
    <t>רכוש קבוע, נטו</t>
  </si>
  <si>
    <t>סך הנכסים</t>
  </si>
  <si>
    <t>התחייבויות שוטפות</t>
  </si>
  <si>
    <t>התחייבויות לא שוטפות</t>
  </si>
  <si>
    <t>סך ההתחייבויות וההון</t>
  </si>
  <si>
    <t>ז׳ הון מניות</t>
  </si>
  <si>
    <t>ז׳ מזומן</t>
  </si>
  <si>
    <t>ז׳ הלוואות לזמן ארוך</t>
  </si>
  <si>
    <t>ח׳ הלוואות לזמן ארוך</t>
  </si>
  <si>
    <t>ח׳ לקוחות</t>
  </si>
  <si>
    <t>ז׳ הכנסות ריבית</t>
  </si>
  <si>
    <t>ח׳ הוצאות מסים על ההכנסה</t>
  </si>
  <si>
    <t>שאלה 2</t>
  </si>
  <si>
    <t>שנה</t>
  </si>
  <si>
    <t>פקודה הנה״ח</t>
  </si>
  <si>
    <t>פקודת התאמה</t>
  </si>
  <si>
    <t>יתרת חתך</t>
  </si>
  <si>
    <t>אין</t>
  </si>
  <si>
    <t>שאלה 3</t>
  </si>
  <si>
    <t>לקוחות, ברוטו</t>
  </si>
  <si>
    <t>חובה</t>
  </si>
  <si>
    <t>זכות</t>
  </si>
  <si>
    <t>הלח״מ</t>
  </si>
  <si>
    <t>הוצאות הלח״מ</t>
  </si>
  <si>
    <t>התקבלו גם פתרונות שפירטו בצורה מלאה יותר את ההשפעה של ערכים ברוטו לרבות עסקאות במזומן כל עוד</t>
  </si>
  <si>
    <t>המשמעות היא יתרות סגירה זהות.</t>
  </si>
  <si>
    <t>להלן ניתוח העסקאות המקוצר המתבסס על בידוד ההשפעות על יתרת הלקוחות ברוטו.</t>
  </si>
  <si>
    <t>שנת 2020 - זיכוי לקוחות</t>
  </si>
  <si>
    <t>שנת 2020 - גבייה מלקוחות</t>
  </si>
  <si>
    <t>יתרה 31.12.2020</t>
  </si>
  <si>
    <t>שנת 2020 - הוצ׳ הלח״מ</t>
  </si>
  <si>
    <t>כמו כן התקבלו פתרונות שהפרידו לכרטיסים נפרדים ולא ריכזו אותם זה לצד זה.</t>
  </si>
  <si>
    <t>שנת 2021 - שירות באשראי</t>
  </si>
  <si>
    <t>שנת 2020 - שירות באשראי</t>
  </si>
  <si>
    <t>שנת 2021 - גבייה מלקוחות</t>
  </si>
  <si>
    <t>שנת 2021 - חוב אבוד</t>
  </si>
  <si>
    <t>יתרה 31.12.2021</t>
  </si>
  <si>
    <t>שנת 2021 - הוצאות הלח״מ</t>
  </si>
  <si>
    <t>ריכוז המענה:</t>
  </si>
  <si>
    <t>א.</t>
  </si>
  <si>
    <t>ב.</t>
  </si>
  <si>
    <t>שאלה 4</t>
  </si>
  <si>
    <t>פחת נצבר</t>
  </si>
  <si>
    <t>הוצאות פחת</t>
  </si>
  <si>
    <t>עמודת עזר</t>
  </si>
  <si>
    <t>לא</t>
  </si>
  <si>
    <t>לדיווח</t>
  </si>
  <si>
    <t>סכום ספרות</t>
  </si>
  <si>
    <t>תחילת הפחתה</t>
  </si>
  <si>
    <t>שייר / גרט</t>
  </si>
  <si>
    <t>פחת 2022</t>
  </si>
  <si>
    <t>פחת 2023</t>
  </si>
  <si>
    <t>פחת 2024</t>
  </si>
  <si>
    <t>הערכים באלפי ש״ח:</t>
  </si>
  <si>
    <t>כורסאות</t>
  </si>
  <si>
    <t>כורסאות - פחת נצבר 1.1.2023</t>
  </si>
  <si>
    <t>לקוחות לתחילת שנה:</t>
  </si>
  <si>
    <t>פילוח:</t>
  </si>
  <si>
    <t>לקוח בקשיים</t>
  </si>
  <si>
    <t>שיעור הלח״מ</t>
  </si>
  <si>
    <t>סך הלח״מ לקוח בקשיים</t>
  </si>
  <si>
    <t>יתר הלקוחות</t>
  </si>
  <si>
    <t>סך הלח״מ לקוחות אחרים-תחילת שנה</t>
  </si>
  <si>
    <t>סה״כ יתרת פתיחה הלח״מ</t>
  </si>
  <si>
    <t>הסברים נוספים וחישובי עזר:</t>
  </si>
  <si>
    <t>מלאי ליום 31.12.2022 = 1.1.2023</t>
  </si>
  <si>
    <t>שווי מימוש נטו</t>
  </si>
  <si>
    <t>הנמוך מביניהם - מלאי פתיחה</t>
  </si>
  <si>
    <t>התקבלה הן פרשנות שסיווגה את מלאי הפתיחה לנכסים ואז מיינה במסגרת התיקונים להוצאות, והן פרשנות שסיווגה ישירות</t>
  </si>
  <si>
    <t>את מלאי הפתיחה להוצאות.</t>
  </si>
  <si>
    <t>מלאי ליום 31.12.2023</t>
  </si>
  <si>
    <t>הנמוך מביניהם - מלאי סגירה</t>
  </si>
  <si>
    <t>תקופת הפחתה</t>
  </si>
  <si>
    <t>שיטה</t>
  </si>
  <si>
    <t>קו ישר</t>
  </si>
  <si>
    <t>שנים: 1.10.2021-1.1.2023</t>
  </si>
  <si>
    <t>פחת נצבר 1.1.2023</t>
  </si>
  <si>
    <t>מחשבי מקבוק - פחת נצבר 1.1.2023</t>
  </si>
  <si>
    <t>שנות הפחתה</t>
  </si>
  <si>
    <t>שנת 2020 - ייחוס ספרה</t>
  </si>
  <si>
    <t>שנת 2021 - ייחוס ספרה</t>
  </si>
  <si>
    <t>שנת 2022 - ייחוס ספרה</t>
  </si>
  <si>
    <t>פחת נצבר ל-31.12.2022 = 1.1.2023</t>
  </si>
  <si>
    <t xml:space="preserve">כל הסכום שולם ב-31.12.2022, טרם נצרך. לכן כל הסכום מהווה הוצאה מראש ליום 1.1.2023. </t>
  </si>
  <si>
    <t xml:space="preserve">יתרה זו ליום 1.1.2023 היא בגין דצמבר 2022 בסכום נתון של 2 א׳ ש״ח. </t>
  </si>
  <si>
    <t>עדכונים 2023:</t>
  </si>
  <si>
    <t>הלח״מ י״ס</t>
  </si>
  <si>
    <t>הוצ׳ הלח״מ</t>
  </si>
  <si>
    <t>הוצאות פחת לשנה שלמה - כורסאות</t>
  </si>
  <si>
    <t>ח׳ הוצאות פחת (כורסאות)</t>
  </si>
  <si>
    <t>ז׳ פחנ״צ (כורסאות)</t>
  </si>
  <si>
    <t>הוצאות פחת (כורסאות) חדש</t>
  </si>
  <si>
    <t>מכירת כורסאות:</t>
  </si>
  <si>
    <t>ז׳ כורסאות (עלות)</t>
  </si>
  <si>
    <t>ח׳ פחנ״צ (כורסאות)</t>
  </si>
  <si>
    <t>רווח הון ממכירת כורסאות חדש</t>
  </si>
  <si>
    <t>הוצאות פחת מקבוקים</t>
  </si>
  <si>
    <t>ח׳ הוצאות פחת (מקבוק)</t>
  </si>
  <si>
    <t>ז׳ פחנ״צ (מקבוק)</t>
  </si>
  <si>
    <t>הוצאות פחת (מקבוקים) חדש</t>
  </si>
  <si>
    <t>ניצול ניקיון מראש:</t>
  </si>
  <si>
    <t>הוצאות ניקיון חדש</t>
  </si>
  <si>
    <t>תיקון בגין שכר דירה לשלם:</t>
  </si>
  <si>
    <t xml:space="preserve">כורסאות - פחת נצבר </t>
  </si>
  <si>
    <t>מחשבי Macbook - פחת נצבר</t>
  </si>
  <si>
    <t xml:space="preserve">הוצאות ניקיון מראש </t>
  </si>
  <si>
    <t xml:space="preserve">הוצאות שכר דירה לשלם </t>
  </si>
  <si>
    <t>מסים על ההכנסה</t>
  </si>
  <si>
    <t>דוח רווח והפסד לשנת 2023 (אלפי ש״ח מעוגלים):</t>
  </si>
  <si>
    <t>הוצאות מראש / חייבים</t>
  </si>
  <si>
    <t>הדוח על המצב הכספי ליום 31.12.2023 (אלפי ש״ח מעוגלים)</t>
  </si>
  <si>
    <t>ח׳ קניות</t>
  </si>
  <si>
    <t>ז׳ ספקים</t>
  </si>
  <si>
    <t>ח׳ הוצאות ריבית</t>
  </si>
  <si>
    <t>ז׳ מכירות</t>
  </si>
  <si>
    <t>ח׳ הוצאות טלפון</t>
  </si>
  <si>
    <t>ח׳ פיקדון לזמן ארוך</t>
  </si>
  <si>
    <t>ז׳ פיקדון לזמן ארוך</t>
  </si>
  <si>
    <t>ח׳ מכונות</t>
  </si>
  <si>
    <t>שאלה 1 - פקודות יומן: ערכים באלפי ש״ח</t>
  </si>
  <si>
    <t>ח׳ הוצאות ביטוח 36</t>
  </si>
  <si>
    <t>ז׳ מזומן 36</t>
  </si>
  <si>
    <t>סך הוצאה</t>
  </si>
  <si>
    <t>ח׳ הוצאות מראש 24</t>
  </si>
  <si>
    <t>ז׳ הוצאות ביטוח 24</t>
  </si>
  <si>
    <t>הוצאות מראש 24</t>
  </si>
  <si>
    <t>ז׳ הוצאות מראש 12</t>
  </si>
  <si>
    <t>ח׳ הוצאות ביטוח 12</t>
  </si>
  <si>
    <t>הוצאות מראש 12</t>
  </si>
  <si>
    <t>הערכים באלפי ש״ח</t>
  </si>
  <si>
    <t>ח׳ הוצאות ביטוח 14.4</t>
  </si>
  <si>
    <t>ח׳ הוצאות ביטוח 28.8</t>
  </si>
  <si>
    <t>ז׳ מזומן 28.8</t>
  </si>
  <si>
    <t>ז׳ הוצאות לשלם 14.4</t>
  </si>
  <si>
    <t>הוצאות לשלם 14.4</t>
  </si>
  <si>
    <t>ח׳ הוצאות לשלם 14.4</t>
  </si>
  <si>
    <t>ז׳ הוצאות ביטוח 14.4</t>
  </si>
  <si>
    <t>הפסד הון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</si>
</sst>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2"/>
      <color theme="1"/>
      <name val="Aptos Narrow"/>
      <family val="2"/>
      <scheme val="minor"/>
    </font>
    <font>
      <sz val="12"/>
      <color theme="1"/>
      <name val="David"/>
    </font>
    <font>
      <b/>
      <sz val="12"/>
      <color rgb="FFFF0000"/>
      <name val="David"/>
    </font>
  </fonts>
  <fills count="5">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7" tint="0.59999389629810485"/>
        <bgColor indexed="64"/>
      </patternFill>
    </fill>
  </fills>
  <borders count="2">
    <border>
      <left/>
      <right/>
      <top/>
      <bottom/>
      <diagonal/>
    </border>
    <border>
      <left/>
      <right/>
      <top style="thin">
        <color auto="1"/>
      </top>
      <bottom style="dashed">
        <color auto="1"/>
      </bottom>
      <diagonal/>
    </border>
  </borders>
  <cellStyleXfs count="1">
    <xf numFmtId="0" fontId="0" fillId="0" borderId="0"/>
  </cellStyleXfs>
  <cellXfs count="20">
    <xf numFmtId="0" fontId="0" fillId="0" borderId="0" xfId="0"/>
    <xf numFmtId="0" fontId="1" fillId="0" borderId="0" xfId="0" applyFont="1"/>
    <xf numFmtId="0" fontId="1" fillId="0" borderId="0" xfId="0" applyFont="1" applyAlignment="1">
      <alignment horizontal="center"/>
    </xf>
    <xf numFmtId="164" fontId="1" fillId="0" borderId="0" xfId="0" applyNumberFormat="1" applyFont="1"/>
    <xf numFmtId="1" fontId="1" fillId="0" borderId="0" xfId="0" applyNumberFormat="1" applyFont="1"/>
    <xf numFmtId="0" fontId="1" fillId="2" borderId="0" xfId="0" applyFont="1" applyFill="1"/>
    <xf numFmtId="0" fontId="2" fillId="0" borderId="0" xfId="0" applyFont="1"/>
    <xf numFmtId="14" fontId="1" fillId="0" borderId="0" xfId="0" applyNumberFormat="1" applyFont="1"/>
    <xf numFmtId="0" fontId="1" fillId="3" borderId="0" xfId="0" applyFont="1" applyFill="1"/>
    <xf numFmtId="0" fontId="1" fillId="0" borderId="1" xfId="0" applyFont="1" applyBorder="1"/>
    <xf numFmtId="9" fontId="1" fillId="0" borderId="0" xfId="0" applyNumberFormat="1" applyFont="1"/>
    <xf numFmtId="164" fontId="1" fillId="2" borderId="0" xfId="0" applyNumberFormat="1" applyFont="1" applyFill="1"/>
    <xf numFmtId="0" fontId="1" fillId="4" borderId="0" xfId="0" applyFont="1" applyFill="1"/>
    <xf numFmtId="164" fontId="1" fillId="4" borderId="0" xfId="0" applyNumberFormat="1" applyFont="1" applyFill="1"/>
    <xf numFmtId="3" fontId="1" fillId="0" borderId="0" xfId="0" applyNumberFormat="1" applyFont="1"/>
    <xf numFmtId="3" fontId="1" fillId="0" borderId="1" xfId="0" applyNumberFormat="1" applyFont="1" applyBorder="1"/>
    <xf numFmtId="37" fontId="1" fillId="0" borderId="0" xfId="0" applyNumberFormat="1" applyFont="1"/>
    <xf numFmtId="37" fontId="1" fillId="0" borderId="1" xfId="0" applyNumberFormat="1" applyFont="1" applyBorder="1"/>
    <xf numFmtId="0" fontId="1" fillId="0" borderId="0" xfId="0" applyFont="1" applyBorder="1"/>
    <xf numFmtId="2"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413489</xdr:colOff>
      <xdr:row>87</xdr:row>
      <xdr:rowOff>1</xdr:rowOff>
    </xdr:from>
    <xdr:to>
      <xdr:col>6</xdr:col>
      <xdr:colOff>775291</xdr:colOff>
      <xdr:row>90</xdr:row>
      <xdr:rowOff>132908</xdr:rowOff>
    </xdr:to>
    <xdr:sp macro="" textlink="">
      <xdr:nvSpPr>
        <xdr:cNvPr id="5" name="TextBox 4">
          <a:extLst>
            <a:ext uri="{FF2B5EF4-FFF2-40B4-BE49-F238E27FC236}">
              <a16:creationId xmlns:a16="http://schemas.microsoft.com/office/drawing/2014/main" id="{478D9BC3-D595-8313-0684-3E512658F679}"/>
            </a:ext>
          </a:extLst>
        </xdr:cNvPr>
        <xdr:cNvSpPr txBox="1"/>
      </xdr:nvSpPr>
      <xdr:spPr>
        <a:xfrm>
          <a:off x="13543449825" y="10130466"/>
          <a:ext cx="7088372" cy="75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3. המכונה לחימום נקניק</a:t>
          </a:r>
          <a:r>
            <a:rPr lang="he-IL" sz="1100" baseline="0"/>
            <a:t> נרכשה ב-1.7.2022. היא מופחתת על פני 10 שנים בשיטת הקו הישר, ללא ערך שייר. בתאריך 1.4.2023 נמכרה המכונה כך שרווח ההון שנוצר במכירה הסתכם ב-30 אלפי ש״ח. טרם ניתן ביטוי לפעולת המכירה בדיווחים הכספיים הנתונים בשאלה. </a:t>
          </a:r>
          <a:endParaRPr lang="en-US" sz="1100"/>
        </a:p>
      </xdr:txBody>
    </xdr:sp>
    <xdr:clientData/>
  </xdr:twoCellAnchor>
  <xdr:twoCellAnchor>
    <xdr:from>
      <xdr:col>0</xdr:col>
      <xdr:colOff>391339</xdr:colOff>
      <xdr:row>98</xdr:row>
      <xdr:rowOff>177209</xdr:rowOff>
    </xdr:from>
    <xdr:to>
      <xdr:col>6</xdr:col>
      <xdr:colOff>502094</xdr:colOff>
      <xdr:row>103</xdr:row>
      <xdr:rowOff>81222</xdr:rowOff>
    </xdr:to>
    <xdr:sp macro="" textlink="">
      <xdr:nvSpPr>
        <xdr:cNvPr id="6" name="TextBox 5">
          <a:extLst>
            <a:ext uri="{FF2B5EF4-FFF2-40B4-BE49-F238E27FC236}">
              <a16:creationId xmlns:a16="http://schemas.microsoft.com/office/drawing/2014/main" id="{166CC549-5388-A99F-A9D7-18C4BFEAC0A4}"/>
            </a:ext>
          </a:extLst>
        </xdr:cNvPr>
        <xdr:cNvSpPr txBox="1"/>
      </xdr:nvSpPr>
      <xdr:spPr>
        <a:xfrm>
          <a:off x="13545472964" y="12581860"/>
          <a:ext cx="6837325" cy="9377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4. מחשבי ה- </a:t>
          </a:r>
          <a:r>
            <a:rPr lang="en-US" sz="1100"/>
            <a:t>Macbook</a:t>
          </a:r>
          <a:r>
            <a:rPr lang="he-IL" sz="1100"/>
            <a:t> נרשכו ב-1.1.2022 והם מופחתים בשיטת סכום ספרות השנים היורד (סס״י)</a:t>
          </a:r>
          <a:r>
            <a:rPr lang="he-IL" sz="1100" baseline="0"/>
            <a:t> במשך 7 שנים. ערך השייר / הגרט המוגדר למחשבים אלו הוא בשיעור של 20% מעלותם. </a:t>
          </a:r>
          <a:endParaRPr lang="en-US" sz="1100"/>
        </a:p>
      </xdr:txBody>
    </xdr:sp>
    <xdr:clientData/>
  </xdr:twoCellAnchor>
  <xdr:twoCellAnchor>
    <xdr:from>
      <xdr:col>0</xdr:col>
      <xdr:colOff>280582</xdr:colOff>
      <xdr:row>112</xdr:row>
      <xdr:rowOff>147675</xdr:rowOff>
    </xdr:from>
    <xdr:to>
      <xdr:col>6</xdr:col>
      <xdr:colOff>642384</xdr:colOff>
      <xdr:row>116</xdr:row>
      <xdr:rowOff>73839</xdr:rowOff>
    </xdr:to>
    <xdr:sp macro="" textlink="">
      <xdr:nvSpPr>
        <xdr:cNvPr id="7" name="TextBox 6">
          <a:extLst>
            <a:ext uri="{FF2B5EF4-FFF2-40B4-BE49-F238E27FC236}">
              <a16:creationId xmlns:a16="http://schemas.microsoft.com/office/drawing/2014/main" id="{1C16A802-F1E4-95D0-324B-3ED466178C5D}"/>
            </a:ext>
          </a:extLst>
        </xdr:cNvPr>
        <xdr:cNvSpPr txBox="1"/>
      </xdr:nvSpPr>
      <xdr:spPr>
        <a:xfrm>
          <a:off x="13543582732" y="14206280"/>
          <a:ext cx="7088372" cy="75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5. ב-1.7.2022 שילמה החברה עבור הוצאות ניקיון לשנה סכום של 24 אלפי ש״ח,</a:t>
          </a:r>
          <a:r>
            <a:rPr lang="he-IL" sz="1100" baseline="0"/>
            <a:t> כלומר עבור התקופה 1.7.2022 - 1.7.2023. בהנהלת החשבונות לא העניקו ביטוי כלשהו לעדכון השפעות ההסכם הנ״ל על הדיווחים הכספיים של שנת 2023. כמו כן שילמה החברה במזומן בעד הוצאות ניקיון למחצית השנה הנותרת. </a:t>
          </a:r>
          <a:endParaRPr lang="en-US" sz="1100"/>
        </a:p>
      </xdr:txBody>
    </xdr:sp>
    <xdr:clientData/>
  </xdr:twoCellAnchor>
  <xdr:twoCellAnchor>
    <xdr:from>
      <xdr:col>0</xdr:col>
      <xdr:colOff>273198</xdr:colOff>
      <xdr:row>118</xdr:row>
      <xdr:rowOff>7384</xdr:rowOff>
    </xdr:from>
    <xdr:to>
      <xdr:col>6</xdr:col>
      <xdr:colOff>635000</xdr:colOff>
      <xdr:row>121</xdr:row>
      <xdr:rowOff>140292</xdr:rowOff>
    </xdr:to>
    <xdr:sp macro="" textlink="">
      <xdr:nvSpPr>
        <xdr:cNvPr id="8" name="TextBox 7">
          <a:extLst>
            <a:ext uri="{FF2B5EF4-FFF2-40B4-BE49-F238E27FC236}">
              <a16:creationId xmlns:a16="http://schemas.microsoft.com/office/drawing/2014/main" id="{2D5DF791-7A14-7951-7B96-B9ADFE9691A7}"/>
            </a:ext>
          </a:extLst>
        </xdr:cNvPr>
        <xdr:cNvSpPr txBox="1"/>
      </xdr:nvSpPr>
      <xdr:spPr>
        <a:xfrm>
          <a:off x="13543590116" y="15306454"/>
          <a:ext cx="7088372" cy="75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6. ב-1.1.2022</a:t>
          </a:r>
          <a:r>
            <a:rPr lang="he-IL" sz="1100" baseline="0"/>
            <a:t> חתמה החברה על הסכם לפיו תשכור מבנה משרדים לשנה אחת, עד ל-31.12.2022, כאשר החשבונית תופק והסכום ישולם במהלך שנת 2023. סכום ההסדר לשנה שלמה הוא 40 אלפי ש״ח. בשנת 2023 שולם הסכום בפועל ומנהל החשבונות רשם את הפקודה (באלפי ש״ח): חובה הוצאות שכירות 40, זכות מזומן 40. </a:t>
          </a:r>
          <a:endParaRPr lang="en-US" sz="1100"/>
        </a:p>
      </xdr:txBody>
    </xdr:sp>
    <xdr:clientData/>
  </xdr:twoCellAnchor>
  <xdr:twoCellAnchor>
    <xdr:from>
      <xdr:col>0</xdr:col>
      <xdr:colOff>273198</xdr:colOff>
      <xdr:row>122</xdr:row>
      <xdr:rowOff>118139</xdr:rowOff>
    </xdr:from>
    <xdr:to>
      <xdr:col>6</xdr:col>
      <xdr:colOff>635000</xdr:colOff>
      <xdr:row>126</xdr:row>
      <xdr:rowOff>44303</xdr:rowOff>
    </xdr:to>
    <xdr:sp macro="" textlink="">
      <xdr:nvSpPr>
        <xdr:cNvPr id="9" name="TextBox 8">
          <a:extLst>
            <a:ext uri="{FF2B5EF4-FFF2-40B4-BE49-F238E27FC236}">
              <a16:creationId xmlns:a16="http://schemas.microsoft.com/office/drawing/2014/main" id="{89ED666B-14E8-71DD-86D7-56A3BB2BC651}"/>
            </a:ext>
          </a:extLst>
        </xdr:cNvPr>
        <xdr:cNvSpPr txBox="1"/>
      </xdr:nvSpPr>
      <xdr:spPr>
        <a:xfrm>
          <a:off x="13543590116" y="16244186"/>
          <a:ext cx="7088372" cy="75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7. ב-1.1.2022 החברה חתמה על הסכם למתן שירותי ייעוץ לחברה אחרת לפי שעות. החברה זוקפת הכנסות משירות לסעיף הכנסות אחרות</a:t>
          </a:r>
          <a:r>
            <a:rPr lang="he-IL" sz="1100" baseline="0"/>
            <a:t> בדוח רווח והפסד. בסך הכל סיפקה החברה 1,000 שעות ייעוץ בתעריף של 50 ש״ח לשעה במהלך 2022 אך לפי תנאי ההסדר קיבלה במהלך השנה סכום של 80 אלפי ש״ח (חלק מהסכום עבור ייעוץ בשנה העוקבת). במהלך שנת 2023 סופקו כל יתר שעות הייעוץ בהתאם לתמורה שנתקבלה, אך לא ניתן ביטוי כלשהו לפעולה זו בדיווחים לעיל. </a:t>
          </a:r>
          <a:endParaRPr lang="en-US" sz="1100"/>
        </a:p>
      </xdr:txBody>
    </xdr:sp>
    <xdr:clientData/>
  </xdr:twoCellAnchor>
  <xdr:twoCellAnchor>
    <xdr:from>
      <xdr:col>0</xdr:col>
      <xdr:colOff>273198</xdr:colOff>
      <xdr:row>129</xdr:row>
      <xdr:rowOff>7383</xdr:rowOff>
    </xdr:from>
    <xdr:to>
      <xdr:col>6</xdr:col>
      <xdr:colOff>635000</xdr:colOff>
      <xdr:row>132</xdr:row>
      <xdr:rowOff>140291</xdr:rowOff>
    </xdr:to>
    <xdr:sp macro="" textlink="">
      <xdr:nvSpPr>
        <xdr:cNvPr id="10" name="TextBox 9">
          <a:extLst>
            <a:ext uri="{FF2B5EF4-FFF2-40B4-BE49-F238E27FC236}">
              <a16:creationId xmlns:a16="http://schemas.microsoft.com/office/drawing/2014/main" id="{7F4FDA00-B435-7736-BB7B-F7F776FD4D5A}"/>
            </a:ext>
          </a:extLst>
        </xdr:cNvPr>
        <xdr:cNvSpPr txBox="1"/>
      </xdr:nvSpPr>
      <xdr:spPr>
        <a:xfrm>
          <a:off x="13545340058" y="18821104"/>
          <a:ext cx="7088372" cy="75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8. החברה זוקפת הוצאות שאין להן</a:t>
          </a:r>
          <a:r>
            <a:rPr lang="he-IL" sz="1100" baseline="0"/>
            <a:t> שיוך ברור לפעילות ספציפית להוצאות הנהלה וכלליות.</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A7F01-A05A-E141-BA8E-4265B4559C54}">
  <dimension ref="A1:X128"/>
  <sheetViews>
    <sheetView rightToLeft="1" topLeftCell="E1" zoomScale="131" workbookViewId="0">
      <selection activeCell="L36" sqref="L36"/>
    </sheetView>
  </sheetViews>
  <sheetFormatPr baseColWidth="10" defaultRowHeight="16" x14ac:dyDescent="0.2"/>
  <cols>
    <col min="1" max="1" width="34" style="1" customWidth="1"/>
    <col min="2" max="8" width="10.83203125" style="1"/>
    <col min="9" max="9" width="33.83203125" style="1" customWidth="1"/>
    <col min="10" max="16384" width="10.83203125" style="1"/>
  </cols>
  <sheetData>
    <row r="1" spans="1:24" x14ac:dyDescent="0.2">
      <c r="A1" s="5" t="s">
        <v>46</v>
      </c>
      <c r="B1" s="5"/>
      <c r="C1" s="5"/>
      <c r="D1" s="5"/>
      <c r="E1" s="5"/>
      <c r="F1" s="5"/>
      <c r="G1" s="5"/>
      <c r="I1" s="5" t="s">
        <v>47</v>
      </c>
      <c r="J1" s="5"/>
      <c r="K1" s="5"/>
      <c r="L1" s="5"/>
      <c r="M1" s="5"/>
      <c r="N1" s="5"/>
      <c r="O1" s="5"/>
      <c r="R1" s="5" t="s">
        <v>62</v>
      </c>
      <c r="S1" s="5"/>
      <c r="T1" s="5"/>
      <c r="U1" s="5"/>
      <c r="V1" s="5"/>
      <c r="W1" s="5"/>
      <c r="X1" s="5"/>
    </row>
    <row r="2" spans="1:24" x14ac:dyDescent="0.2">
      <c r="A2" s="1" t="s">
        <v>0</v>
      </c>
      <c r="B2" s="1" t="s">
        <v>26</v>
      </c>
      <c r="C2" s="1" t="s">
        <v>27</v>
      </c>
      <c r="D2" s="1" t="s">
        <v>28</v>
      </c>
      <c r="E2" s="1" t="s">
        <v>29</v>
      </c>
      <c r="F2" s="1" t="s">
        <v>30</v>
      </c>
      <c r="G2" s="1" t="s">
        <v>31</v>
      </c>
      <c r="I2" s="1" t="s">
        <v>0</v>
      </c>
      <c r="J2" s="1" t="s">
        <v>26</v>
      </c>
      <c r="K2" s="1" t="s">
        <v>27</v>
      </c>
      <c r="L2" s="1" t="s">
        <v>28</v>
      </c>
      <c r="M2" s="1" t="s">
        <v>29</v>
      </c>
      <c r="N2" s="1" t="s">
        <v>30</v>
      </c>
      <c r="O2" s="1" t="s">
        <v>31</v>
      </c>
    </row>
    <row r="3" spans="1:24" x14ac:dyDescent="0.2">
      <c r="A3" s="1" t="s">
        <v>1</v>
      </c>
      <c r="B3" s="2">
        <v>15</v>
      </c>
      <c r="C3" s="1">
        <f>B3</f>
        <v>15</v>
      </c>
      <c r="I3" s="1" t="s">
        <v>1</v>
      </c>
      <c r="J3" s="2">
        <v>15</v>
      </c>
      <c r="K3" s="12">
        <f>15+J52</f>
        <v>255</v>
      </c>
      <c r="R3" s="1" t="s">
        <v>186</v>
      </c>
    </row>
    <row r="4" spans="1:24" x14ac:dyDescent="0.2">
      <c r="A4" s="1" t="s">
        <v>2</v>
      </c>
      <c r="B4" s="2">
        <v>280</v>
      </c>
      <c r="C4" s="1">
        <f>B4</f>
        <v>280</v>
      </c>
      <c r="I4" s="1" t="s">
        <v>2</v>
      </c>
      <c r="J4" s="2">
        <v>280</v>
      </c>
      <c r="K4" s="1">
        <v>280</v>
      </c>
    </row>
    <row r="5" spans="1:24" x14ac:dyDescent="0.2">
      <c r="A5" s="1" t="s">
        <v>3</v>
      </c>
      <c r="B5" s="2" t="s">
        <v>32</v>
      </c>
      <c r="C5" s="5">
        <f>-B46</f>
        <v>-9</v>
      </c>
      <c r="I5" s="1" t="s">
        <v>51</v>
      </c>
      <c r="J5" s="2" t="s">
        <v>32</v>
      </c>
      <c r="K5" s="12">
        <f>-J46</f>
        <v>-22.400000000000002</v>
      </c>
      <c r="R5" s="1" t="s">
        <v>33</v>
      </c>
      <c r="T5" s="14">
        <f>N29</f>
        <v>780</v>
      </c>
    </row>
    <row r="6" spans="1:24" x14ac:dyDescent="0.2">
      <c r="A6" s="1" t="s">
        <v>4</v>
      </c>
      <c r="B6" s="2" t="s">
        <v>32</v>
      </c>
      <c r="G6" s="5">
        <f>B52</f>
        <v>53</v>
      </c>
      <c r="I6" s="1" t="s">
        <v>4</v>
      </c>
      <c r="J6" s="2" t="s">
        <v>32</v>
      </c>
      <c r="O6" s="5">
        <v>53</v>
      </c>
      <c r="R6" s="1" t="s">
        <v>63</v>
      </c>
      <c r="T6" s="14">
        <f>-(O6+O30+O8)</f>
        <v>-143</v>
      </c>
    </row>
    <row r="7" spans="1:24" x14ac:dyDescent="0.2">
      <c r="A7" s="1" t="s">
        <v>5</v>
      </c>
      <c r="B7" s="2" t="s">
        <v>32</v>
      </c>
      <c r="C7" s="5">
        <f>B60</f>
        <v>130</v>
      </c>
      <c r="I7" s="1" t="s">
        <v>5</v>
      </c>
      <c r="J7" s="2" t="s">
        <v>32</v>
      </c>
      <c r="K7" s="5">
        <v>130</v>
      </c>
      <c r="R7" s="1" t="s">
        <v>64</v>
      </c>
      <c r="T7" s="15">
        <f>T5+T6</f>
        <v>637</v>
      </c>
    </row>
    <row r="8" spans="1:24" x14ac:dyDescent="0.2">
      <c r="A8" s="1" t="s">
        <v>6</v>
      </c>
      <c r="B8" s="2" t="s">
        <v>32</v>
      </c>
      <c r="G8" s="5">
        <f>-C7</f>
        <v>-130</v>
      </c>
      <c r="I8" s="1" t="s">
        <v>6</v>
      </c>
      <c r="J8" s="2" t="s">
        <v>32</v>
      </c>
      <c r="O8" s="5">
        <v>-130</v>
      </c>
      <c r="R8" s="1" t="s">
        <v>65</v>
      </c>
      <c r="T8" s="14">
        <f>-O25</f>
        <v>-19</v>
      </c>
    </row>
    <row r="9" spans="1:24" x14ac:dyDescent="0.2">
      <c r="A9" s="1" t="s">
        <v>132</v>
      </c>
      <c r="B9" s="2">
        <v>500</v>
      </c>
      <c r="C9" s="1">
        <f>B9</f>
        <v>500</v>
      </c>
      <c r="I9" s="1" t="s">
        <v>132</v>
      </c>
      <c r="J9" s="2">
        <v>500</v>
      </c>
      <c r="K9" s="12">
        <f>500/2</f>
        <v>250</v>
      </c>
      <c r="R9" s="1" t="s">
        <v>66</v>
      </c>
      <c r="T9" s="14">
        <f>-O20-O21-O22-O23-O24-O31-O32-O34-O35</f>
        <v>-443.61428571428576</v>
      </c>
    </row>
    <row r="10" spans="1:24" x14ac:dyDescent="0.2">
      <c r="A10" s="1" t="s">
        <v>133</v>
      </c>
      <c r="B10" s="2" t="s">
        <v>32</v>
      </c>
      <c r="C10" s="5">
        <f>-B68</f>
        <v>-129.375</v>
      </c>
      <c r="I10" s="1" t="s">
        <v>181</v>
      </c>
      <c r="J10" s="2" t="s">
        <v>32</v>
      </c>
      <c r="K10" s="12">
        <f>(-129.375-N48)/2</f>
        <v>-93.4375</v>
      </c>
      <c r="R10" s="1" t="s">
        <v>67</v>
      </c>
      <c r="T10" s="14">
        <f>N33</f>
        <v>83.4375</v>
      </c>
    </row>
    <row r="11" spans="1:24" x14ac:dyDescent="0.2">
      <c r="A11" s="1" t="s">
        <v>7</v>
      </c>
      <c r="B11" s="2">
        <v>1500</v>
      </c>
      <c r="C11" s="1">
        <f>B11</f>
        <v>1500</v>
      </c>
      <c r="I11" s="1" t="s">
        <v>7</v>
      </c>
      <c r="J11" s="2">
        <v>1500</v>
      </c>
      <c r="K11" s="1">
        <v>1500</v>
      </c>
      <c r="R11" s="1" t="s">
        <v>68</v>
      </c>
      <c r="T11" s="15">
        <f>T7+T8+T9+T10</f>
        <v>257.82321428571424</v>
      </c>
    </row>
    <row r="12" spans="1:24" x14ac:dyDescent="0.2">
      <c r="A12" s="1" t="s">
        <v>8</v>
      </c>
      <c r="B12" s="2" t="s">
        <v>32</v>
      </c>
      <c r="C12" s="11">
        <f>-B78</f>
        <v>-723.21428571428578</v>
      </c>
      <c r="I12" s="1" t="s">
        <v>182</v>
      </c>
      <c r="J12" s="2" t="s">
        <v>32</v>
      </c>
      <c r="K12" s="13">
        <f>-723.214285714286-N57</f>
        <v>-883.92857142857179</v>
      </c>
      <c r="R12" s="1" t="s">
        <v>69</v>
      </c>
      <c r="T12" s="14">
        <f>-O26</f>
        <v>-42</v>
      </c>
    </row>
    <row r="13" spans="1:24" x14ac:dyDescent="0.2">
      <c r="A13" s="1" t="s">
        <v>9</v>
      </c>
      <c r="B13" s="2" t="s">
        <v>32</v>
      </c>
      <c r="C13" s="5">
        <v>80</v>
      </c>
      <c r="I13" s="1" t="s">
        <v>183</v>
      </c>
      <c r="J13" s="2" t="s">
        <v>32</v>
      </c>
      <c r="K13" s="12">
        <f>80/2</f>
        <v>40</v>
      </c>
      <c r="R13" s="1" t="s">
        <v>70</v>
      </c>
      <c r="T13" s="14">
        <f>N28</f>
        <v>10</v>
      </c>
    </row>
    <row r="14" spans="1:24" x14ac:dyDescent="0.2">
      <c r="A14" s="1" t="s">
        <v>10</v>
      </c>
      <c r="B14" s="2" t="s">
        <v>32</v>
      </c>
      <c r="D14" s="5">
        <v>2</v>
      </c>
      <c r="I14" s="1" t="s">
        <v>184</v>
      </c>
      <c r="J14" s="2" t="s">
        <v>32</v>
      </c>
      <c r="L14" s="12">
        <v>0</v>
      </c>
      <c r="R14" s="1" t="s">
        <v>71</v>
      </c>
      <c r="T14" s="15">
        <f>T11+T12+T13</f>
        <v>225.82321428571424</v>
      </c>
    </row>
    <row r="15" spans="1:24" x14ac:dyDescent="0.2">
      <c r="A15" s="1" t="s">
        <v>11</v>
      </c>
      <c r="B15" s="2">
        <v>98</v>
      </c>
      <c r="D15" s="1">
        <f>B15</f>
        <v>98</v>
      </c>
      <c r="I15" s="1" t="s">
        <v>11</v>
      </c>
      <c r="J15" s="2">
        <v>98</v>
      </c>
      <c r="L15" s="1">
        <v>98</v>
      </c>
      <c r="R15" s="1" t="s">
        <v>185</v>
      </c>
      <c r="T15" s="14">
        <f>-O27</f>
        <v>-53</v>
      </c>
    </row>
    <row r="16" spans="1:24" x14ac:dyDescent="0.2">
      <c r="A16" s="1" t="s">
        <v>12</v>
      </c>
      <c r="B16" s="2">
        <v>100</v>
      </c>
      <c r="D16" s="1">
        <f>B16</f>
        <v>100</v>
      </c>
      <c r="I16" s="1" t="s">
        <v>12</v>
      </c>
      <c r="J16" s="2">
        <v>100</v>
      </c>
      <c r="L16" s="1">
        <v>100</v>
      </c>
      <c r="R16" s="1" t="s">
        <v>72</v>
      </c>
      <c r="T16" s="15">
        <f>T14+T15</f>
        <v>172.82321428571424</v>
      </c>
    </row>
    <row r="17" spans="1:23" x14ac:dyDescent="0.2">
      <c r="A17" s="1" t="s">
        <v>13</v>
      </c>
      <c r="B17" s="2">
        <v>120</v>
      </c>
      <c r="D17" s="1">
        <f>B17</f>
        <v>120</v>
      </c>
      <c r="I17" s="1" t="s">
        <v>13</v>
      </c>
      <c r="J17" s="2">
        <v>120</v>
      </c>
      <c r="L17" s="1">
        <v>120</v>
      </c>
    </row>
    <row r="18" spans="1:23" x14ac:dyDescent="0.2">
      <c r="A18" s="1" t="s">
        <v>14</v>
      </c>
      <c r="B18" s="2">
        <v>130</v>
      </c>
      <c r="E18" s="1">
        <f>B18</f>
        <v>130</v>
      </c>
      <c r="I18" s="1" t="s">
        <v>14</v>
      </c>
      <c r="J18" s="2">
        <v>130</v>
      </c>
      <c r="M18" s="1">
        <v>130</v>
      </c>
    </row>
    <row r="19" spans="1:23" x14ac:dyDescent="0.2">
      <c r="A19" s="1" t="s">
        <v>16</v>
      </c>
      <c r="B19" s="2" t="s">
        <v>32</v>
      </c>
      <c r="E19" s="8">
        <f>C31-D31-E18-(F31-G31)</f>
        <v>834.41071428571422</v>
      </c>
      <c r="I19" s="1" t="s">
        <v>16</v>
      </c>
      <c r="J19" s="2" t="s">
        <v>32</v>
      </c>
      <c r="M19" s="8">
        <f>E19</f>
        <v>834.41071428571422</v>
      </c>
      <c r="R19" s="1" t="s">
        <v>188</v>
      </c>
    </row>
    <row r="20" spans="1:23" x14ac:dyDescent="0.2">
      <c r="A20" s="1" t="s">
        <v>17</v>
      </c>
      <c r="B20" s="2">
        <v>72</v>
      </c>
      <c r="G20" s="1">
        <f t="shared" ref="G20:G27" si="0">B20</f>
        <v>72</v>
      </c>
      <c r="I20" s="1" t="s">
        <v>17</v>
      </c>
      <c r="J20" s="2">
        <v>72</v>
      </c>
      <c r="O20" s="1">
        <v>72</v>
      </c>
    </row>
    <row r="21" spans="1:23" x14ac:dyDescent="0.2">
      <c r="A21" s="1" t="s">
        <v>18</v>
      </c>
      <c r="B21" s="2">
        <v>19</v>
      </c>
      <c r="G21" s="1">
        <f t="shared" si="0"/>
        <v>19</v>
      </c>
      <c r="I21" s="1" t="s">
        <v>18</v>
      </c>
      <c r="J21" s="2">
        <v>19</v>
      </c>
      <c r="O21" s="1">
        <v>19</v>
      </c>
      <c r="R21" s="1" t="s">
        <v>27</v>
      </c>
      <c r="U21" s="1" t="s">
        <v>73</v>
      </c>
    </row>
    <row r="22" spans="1:23" x14ac:dyDescent="0.2">
      <c r="A22" s="1" t="s">
        <v>19</v>
      </c>
      <c r="B22" s="2">
        <v>43</v>
      </c>
      <c r="G22" s="1">
        <f t="shared" si="0"/>
        <v>43</v>
      </c>
      <c r="I22" s="1" t="s">
        <v>19</v>
      </c>
      <c r="J22" s="2">
        <v>43</v>
      </c>
      <c r="O22" s="1">
        <v>43</v>
      </c>
    </row>
    <row r="23" spans="1:23" x14ac:dyDescent="0.2">
      <c r="A23" s="1" t="s">
        <v>20</v>
      </c>
      <c r="B23" s="2">
        <v>17</v>
      </c>
      <c r="G23" s="1">
        <f t="shared" si="0"/>
        <v>17</v>
      </c>
      <c r="I23" s="1" t="s">
        <v>20</v>
      </c>
      <c r="J23" s="2">
        <v>17</v>
      </c>
      <c r="O23" s="12">
        <f>17-2</f>
        <v>15</v>
      </c>
      <c r="R23" s="1" t="s">
        <v>74</v>
      </c>
      <c r="U23" s="1" t="s">
        <v>80</v>
      </c>
    </row>
    <row r="24" spans="1:23" x14ac:dyDescent="0.2">
      <c r="A24" s="1" t="s">
        <v>21</v>
      </c>
      <c r="B24" s="2">
        <v>23</v>
      </c>
      <c r="G24" s="1">
        <f t="shared" si="0"/>
        <v>23</v>
      </c>
      <c r="I24" s="1" t="s">
        <v>21</v>
      </c>
      <c r="J24" s="2">
        <v>23</v>
      </c>
      <c r="O24" s="1">
        <v>23</v>
      </c>
      <c r="R24" s="1" t="s">
        <v>1</v>
      </c>
      <c r="T24" s="16">
        <f>K3</f>
        <v>255</v>
      </c>
      <c r="U24" s="1" t="s">
        <v>11</v>
      </c>
      <c r="W24" s="16">
        <f>L15</f>
        <v>98</v>
      </c>
    </row>
    <row r="25" spans="1:23" x14ac:dyDescent="0.2">
      <c r="A25" s="1" t="s">
        <v>22</v>
      </c>
      <c r="B25" s="2">
        <v>19</v>
      </c>
      <c r="G25" s="1">
        <f t="shared" si="0"/>
        <v>19</v>
      </c>
      <c r="I25" s="1" t="s">
        <v>22</v>
      </c>
      <c r="J25" s="2">
        <v>19</v>
      </c>
      <c r="O25" s="1">
        <v>19</v>
      </c>
      <c r="R25" s="1" t="s">
        <v>2</v>
      </c>
      <c r="T25" s="16">
        <f>K4+K5</f>
        <v>257.60000000000002</v>
      </c>
      <c r="U25" s="1" t="s">
        <v>13</v>
      </c>
      <c r="W25" s="16">
        <f>L17</f>
        <v>120</v>
      </c>
    </row>
    <row r="26" spans="1:23" x14ac:dyDescent="0.2">
      <c r="A26" s="1" t="s">
        <v>23</v>
      </c>
      <c r="B26" s="2">
        <v>42</v>
      </c>
      <c r="G26" s="1">
        <f t="shared" si="0"/>
        <v>42</v>
      </c>
      <c r="I26" s="1" t="s">
        <v>23</v>
      </c>
      <c r="J26" s="2">
        <v>42</v>
      </c>
      <c r="O26" s="1">
        <v>42</v>
      </c>
      <c r="R26" s="1" t="s">
        <v>187</v>
      </c>
      <c r="T26" s="16">
        <f>K13</f>
        <v>40</v>
      </c>
      <c r="W26" s="17">
        <f>W24+W25</f>
        <v>218</v>
      </c>
    </row>
    <row r="27" spans="1:23" x14ac:dyDescent="0.2">
      <c r="A27" s="1" t="s">
        <v>24</v>
      </c>
      <c r="B27" s="2">
        <v>53</v>
      </c>
      <c r="G27" s="1">
        <f t="shared" si="0"/>
        <v>53</v>
      </c>
      <c r="I27" s="1" t="s">
        <v>24</v>
      </c>
      <c r="J27" s="2">
        <v>53</v>
      </c>
      <c r="O27" s="1">
        <v>53</v>
      </c>
      <c r="R27" s="1" t="s">
        <v>76</v>
      </c>
      <c r="T27" s="16">
        <f>K7</f>
        <v>130</v>
      </c>
      <c r="W27" s="16"/>
    </row>
    <row r="28" spans="1:23" x14ac:dyDescent="0.2">
      <c r="A28" s="1" t="s">
        <v>25</v>
      </c>
      <c r="B28" s="2">
        <v>10</v>
      </c>
      <c r="F28" s="1">
        <f>B28</f>
        <v>10</v>
      </c>
      <c r="I28" s="1" t="s">
        <v>25</v>
      </c>
      <c r="J28" s="2">
        <v>10</v>
      </c>
      <c r="N28" s="1">
        <v>10</v>
      </c>
      <c r="T28" s="17">
        <f>SUM(T24:T27)</f>
        <v>682.6</v>
      </c>
      <c r="W28" s="16"/>
    </row>
    <row r="29" spans="1:23" x14ac:dyDescent="0.2">
      <c r="A29" s="1" t="s">
        <v>33</v>
      </c>
      <c r="B29" s="2">
        <v>780</v>
      </c>
      <c r="F29" s="1">
        <f>B29</f>
        <v>780</v>
      </c>
      <c r="I29" s="1" t="s">
        <v>33</v>
      </c>
      <c r="J29" s="2">
        <v>780</v>
      </c>
      <c r="N29" s="1">
        <v>780</v>
      </c>
      <c r="T29" s="16"/>
      <c r="W29" s="16"/>
    </row>
    <row r="30" spans="1:23" x14ac:dyDescent="0.2">
      <c r="A30" s="1" t="s">
        <v>34</v>
      </c>
      <c r="B30" s="2">
        <v>220</v>
      </c>
      <c r="G30" s="1">
        <f>B30</f>
        <v>220</v>
      </c>
      <c r="I30" s="1" t="s">
        <v>34</v>
      </c>
      <c r="J30" s="2">
        <v>220</v>
      </c>
      <c r="O30" s="1">
        <v>220</v>
      </c>
      <c r="T30" s="16"/>
      <c r="U30" s="1" t="s">
        <v>81</v>
      </c>
      <c r="W30" s="16"/>
    </row>
    <row r="31" spans="1:23" x14ac:dyDescent="0.2">
      <c r="A31" s="1" t="s">
        <v>45</v>
      </c>
      <c r="B31" s="2" t="s">
        <v>45</v>
      </c>
      <c r="C31" s="9">
        <f>SUM(C3:C30)</f>
        <v>1643.4107142857142</v>
      </c>
      <c r="D31" s="9">
        <f>SUM(D3:D30)</f>
        <v>320</v>
      </c>
      <c r="E31" s="9">
        <f>SUM(E3:E30)</f>
        <v>964.41071428571422</v>
      </c>
      <c r="F31" s="9">
        <f>SUM(F3:F30)</f>
        <v>790</v>
      </c>
      <c r="G31" s="9">
        <f>SUM(G3:G30)</f>
        <v>431</v>
      </c>
      <c r="I31" s="1" t="s">
        <v>48</v>
      </c>
      <c r="O31" s="12">
        <f>J45</f>
        <v>13.400000000000002</v>
      </c>
      <c r="R31" s="1" t="s">
        <v>77</v>
      </c>
      <c r="T31" s="16"/>
      <c r="U31" s="1" t="s">
        <v>12</v>
      </c>
      <c r="W31" s="16">
        <f>L16</f>
        <v>100</v>
      </c>
    </row>
    <row r="32" spans="1:23" x14ac:dyDescent="0.2">
      <c r="I32" s="1" t="s">
        <v>169</v>
      </c>
      <c r="O32" s="12">
        <f>N48</f>
        <v>57.5</v>
      </c>
      <c r="R32" s="1" t="s">
        <v>78</v>
      </c>
      <c r="T32" s="16">
        <f>K9+K10+K11+K12</f>
        <v>772.63392857142821</v>
      </c>
      <c r="W32" s="16"/>
    </row>
    <row r="33" spans="1:23" x14ac:dyDescent="0.2">
      <c r="I33" s="1" t="s">
        <v>173</v>
      </c>
      <c r="N33" s="12">
        <f>J55</f>
        <v>83.4375</v>
      </c>
      <c r="T33" s="16"/>
      <c r="W33" s="16"/>
    </row>
    <row r="34" spans="1:23" x14ac:dyDescent="0.2">
      <c r="A34" s="1" t="s">
        <v>142</v>
      </c>
      <c r="I34" s="1" t="s">
        <v>177</v>
      </c>
      <c r="O34" s="12">
        <f>N57</f>
        <v>160.71428571428572</v>
      </c>
      <c r="T34" s="16"/>
      <c r="U34" s="1" t="s">
        <v>29</v>
      </c>
      <c r="W34" s="16"/>
    </row>
    <row r="35" spans="1:23" x14ac:dyDescent="0.2">
      <c r="I35" s="1" t="s">
        <v>179</v>
      </c>
      <c r="N35" s="6"/>
      <c r="O35" s="12">
        <f>J61</f>
        <v>40</v>
      </c>
      <c r="T35" s="16"/>
      <c r="U35" s="1" t="s">
        <v>14</v>
      </c>
      <c r="W35" s="16">
        <f>M18</f>
        <v>130</v>
      </c>
    </row>
    <row r="36" spans="1:23" x14ac:dyDescent="0.2">
      <c r="A36" s="1" t="s">
        <v>134</v>
      </c>
      <c r="B36" s="1">
        <v>100</v>
      </c>
      <c r="O36" s="6"/>
      <c r="T36" s="16"/>
      <c r="U36" s="1" t="s">
        <v>15</v>
      </c>
      <c r="W36" s="16">
        <f>M19+T16</f>
        <v>1007.2339285714285</v>
      </c>
    </row>
    <row r="37" spans="1:23" x14ac:dyDescent="0.2">
      <c r="A37" s="1" t="s">
        <v>135</v>
      </c>
      <c r="N37" s="6"/>
      <c r="T37" s="16"/>
      <c r="W37" s="17">
        <f>W35+W36</f>
        <v>1137.2339285714284</v>
      </c>
    </row>
    <row r="38" spans="1:23" x14ac:dyDescent="0.2">
      <c r="A38" s="1" t="s">
        <v>136</v>
      </c>
      <c r="B38" s="1">
        <v>40</v>
      </c>
      <c r="I38" s="1" t="s">
        <v>45</v>
      </c>
      <c r="K38" s="1">
        <f>SUM(K3:K37)</f>
        <v>1455.2339285714281</v>
      </c>
      <c r="L38" s="1">
        <f>SUM(L3:L37)</f>
        <v>318</v>
      </c>
      <c r="M38" s="1">
        <f>SUM(M3:M37)</f>
        <v>964.41071428571422</v>
      </c>
      <c r="N38" s="1">
        <f>SUM(N3:N37)</f>
        <v>873.4375</v>
      </c>
      <c r="O38" s="1">
        <f>SUM(O3:O37)</f>
        <v>700.61428571428564</v>
      </c>
      <c r="T38" s="16"/>
      <c r="W38" s="16"/>
    </row>
    <row r="39" spans="1:23" x14ac:dyDescent="0.2">
      <c r="A39" s="1" t="s">
        <v>137</v>
      </c>
      <c r="B39" s="10">
        <v>0.15</v>
      </c>
      <c r="R39" s="1" t="s">
        <v>79</v>
      </c>
      <c r="T39" s="17">
        <f>T28+T32</f>
        <v>1455.2339285714284</v>
      </c>
      <c r="U39" s="1" t="s">
        <v>82</v>
      </c>
      <c r="W39" s="17">
        <f>W26+W31+W37</f>
        <v>1455.2339285714284</v>
      </c>
    </row>
    <row r="40" spans="1:23" x14ac:dyDescent="0.2">
      <c r="A40" s="1" t="s">
        <v>138</v>
      </c>
      <c r="B40" s="1">
        <f>B38*B39</f>
        <v>6</v>
      </c>
    </row>
    <row r="42" spans="1:23" x14ac:dyDescent="0.2">
      <c r="A42" s="1" t="s">
        <v>139</v>
      </c>
      <c r="B42" s="1">
        <f>B36-B38</f>
        <v>60</v>
      </c>
      <c r="I42" s="1" t="s">
        <v>163</v>
      </c>
    </row>
    <row r="43" spans="1:23" x14ac:dyDescent="0.2">
      <c r="A43" s="1" t="s">
        <v>137</v>
      </c>
      <c r="B43" s="10">
        <v>0.05</v>
      </c>
    </row>
    <row r="44" spans="1:23" x14ac:dyDescent="0.2">
      <c r="A44" s="1" t="s">
        <v>140</v>
      </c>
      <c r="B44" s="1">
        <f>B42*B43</f>
        <v>3</v>
      </c>
      <c r="I44" s="1" t="s">
        <v>35</v>
      </c>
      <c r="J44" s="1">
        <f>-C5</f>
        <v>9</v>
      </c>
      <c r="L44" s="1" t="s">
        <v>49</v>
      </c>
      <c r="N44" s="1">
        <f>J45</f>
        <v>13.400000000000002</v>
      </c>
    </row>
    <row r="45" spans="1:23" x14ac:dyDescent="0.2">
      <c r="I45" s="1" t="s">
        <v>165</v>
      </c>
      <c r="J45" s="12">
        <f>J46-J44</f>
        <v>13.400000000000002</v>
      </c>
      <c r="L45" s="1" t="s">
        <v>50</v>
      </c>
      <c r="N45" s="1">
        <f>N44</f>
        <v>13.400000000000002</v>
      </c>
    </row>
    <row r="46" spans="1:23" x14ac:dyDescent="0.2">
      <c r="A46" s="1" t="s">
        <v>141</v>
      </c>
      <c r="B46" s="5">
        <f>B40+B44</f>
        <v>9</v>
      </c>
      <c r="I46" s="1" t="s">
        <v>164</v>
      </c>
      <c r="J46" s="12">
        <f>K4*8%</f>
        <v>22.400000000000002</v>
      </c>
    </row>
    <row r="48" spans="1:23" x14ac:dyDescent="0.2">
      <c r="L48" s="1" t="s">
        <v>167</v>
      </c>
      <c r="N48" s="1">
        <f>J49</f>
        <v>57.5</v>
      </c>
    </row>
    <row r="49" spans="1:14" x14ac:dyDescent="0.2">
      <c r="A49" s="1" t="s">
        <v>143</v>
      </c>
      <c r="I49" s="1" t="s">
        <v>166</v>
      </c>
      <c r="J49" s="1">
        <f>(B63-B64)/B65</f>
        <v>57.5</v>
      </c>
      <c r="L49" s="1" t="s">
        <v>168</v>
      </c>
      <c r="N49" s="1">
        <f>N48</f>
        <v>57.5</v>
      </c>
    </row>
    <row r="50" spans="1:14" x14ac:dyDescent="0.2">
      <c r="A50" s="1" t="s">
        <v>40</v>
      </c>
      <c r="B50" s="1">
        <v>63</v>
      </c>
    </row>
    <row r="51" spans="1:14" x14ac:dyDescent="0.2">
      <c r="A51" s="1" t="s">
        <v>144</v>
      </c>
      <c r="B51" s="1">
        <v>53</v>
      </c>
      <c r="I51" s="1" t="s">
        <v>170</v>
      </c>
    </row>
    <row r="52" spans="1:14" x14ac:dyDescent="0.2">
      <c r="A52" s="1" t="s">
        <v>145</v>
      </c>
      <c r="B52" s="5">
        <f>MIN(B50:B51)</f>
        <v>53</v>
      </c>
      <c r="I52" s="1" t="s">
        <v>55</v>
      </c>
      <c r="J52" s="1">
        <v>240</v>
      </c>
    </row>
    <row r="53" spans="1:14" x14ac:dyDescent="0.2">
      <c r="I53" s="1" t="s">
        <v>171</v>
      </c>
      <c r="J53" s="1">
        <f>500/2</f>
        <v>250</v>
      </c>
    </row>
    <row r="54" spans="1:14" x14ac:dyDescent="0.2">
      <c r="A54" s="1" t="s">
        <v>146</v>
      </c>
      <c r="I54" s="1" t="s">
        <v>172</v>
      </c>
      <c r="J54" s="1">
        <f>(J49+B68)/2</f>
        <v>93.4375</v>
      </c>
    </row>
    <row r="55" spans="1:14" x14ac:dyDescent="0.2">
      <c r="A55" s="1" t="s">
        <v>147</v>
      </c>
      <c r="I55" s="1" t="s">
        <v>54</v>
      </c>
      <c r="J55" s="1">
        <f>J52+J54-J53</f>
        <v>83.4375</v>
      </c>
    </row>
    <row r="57" spans="1:14" x14ac:dyDescent="0.2">
      <c r="A57" s="1" t="s">
        <v>148</v>
      </c>
      <c r="I57" s="1" t="s">
        <v>174</v>
      </c>
      <c r="J57" s="1">
        <f>(B71-B72)/B74*(4)</f>
        <v>160.71428571428572</v>
      </c>
      <c r="L57" s="1" t="s">
        <v>175</v>
      </c>
      <c r="N57" s="1">
        <f>J57</f>
        <v>160.71428571428572</v>
      </c>
    </row>
    <row r="58" spans="1:14" x14ac:dyDescent="0.2">
      <c r="A58" s="1" t="s">
        <v>40</v>
      </c>
      <c r="B58" s="1">
        <v>130</v>
      </c>
      <c r="L58" s="1" t="s">
        <v>176</v>
      </c>
      <c r="N58" s="1">
        <f>N57</f>
        <v>160.71428571428572</v>
      </c>
    </row>
    <row r="59" spans="1:14" x14ac:dyDescent="0.2">
      <c r="A59" s="1" t="s">
        <v>144</v>
      </c>
      <c r="B59" s="1">
        <v>138</v>
      </c>
    </row>
    <row r="60" spans="1:14" x14ac:dyDescent="0.2">
      <c r="A60" s="1" t="s">
        <v>149</v>
      </c>
      <c r="B60" s="5">
        <f>MIN(B58:B59)</f>
        <v>130</v>
      </c>
      <c r="I60" s="1" t="s">
        <v>178</v>
      </c>
    </row>
    <row r="61" spans="1:14" x14ac:dyDescent="0.2">
      <c r="I61" s="1" t="s">
        <v>56</v>
      </c>
      <c r="J61" s="1">
        <f>C13/2</f>
        <v>40</v>
      </c>
    </row>
    <row r="62" spans="1:14" x14ac:dyDescent="0.2">
      <c r="A62" s="1" t="s">
        <v>133</v>
      </c>
      <c r="I62" s="1" t="s">
        <v>57</v>
      </c>
      <c r="J62" s="1">
        <f>J61</f>
        <v>40</v>
      </c>
    </row>
    <row r="63" spans="1:14" x14ac:dyDescent="0.2">
      <c r="A63" s="1" t="s">
        <v>40</v>
      </c>
      <c r="B63" s="1">
        <v>500</v>
      </c>
    </row>
    <row r="64" spans="1:14" x14ac:dyDescent="0.2">
      <c r="A64" s="1" t="s">
        <v>127</v>
      </c>
      <c r="B64" s="1">
        <v>40</v>
      </c>
      <c r="I64" s="1" t="s">
        <v>180</v>
      </c>
    </row>
    <row r="65" spans="1:10" x14ac:dyDescent="0.2">
      <c r="A65" s="1" t="s">
        <v>150</v>
      </c>
      <c r="B65" s="1">
        <v>8</v>
      </c>
      <c r="I65" s="1" t="s">
        <v>59</v>
      </c>
      <c r="J65" s="1">
        <f>D14</f>
        <v>2</v>
      </c>
    </row>
    <row r="66" spans="1:10" x14ac:dyDescent="0.2">
      <c r="A66" s="1" t="s">
        <v>151</v>
      </c>
      <c r="B66" s="1" t="s">
        <v>152</v>
      </c>
      <c r="I66" s="1" t="s">
        <v>60</v>
      </c>
      <c r="J66" s="1">
        <f>J65</f>
        <v>2</v>
      </c>
    </row>
    <row r="67" spans="1:10" x14ac:dyDescent="0.2">
      <c r="A67" s="1" t="s">
        <v>153</v>
      </c>
      <c r="B67" s="1">
        <f>2+3/12</f>
        <v>2.25</v>
      </c>
    </row>
    <row r="68" spans="1:10" x14ac:dyDescent="0.2">
      <c r="A68" s="1" t="s">
        <v>154</v>
      </c>
      <c r="B68" s="5">
        <f>(B63-B64)/B65*B67</f>
        <v>129.375</v>
      </c>
    </row>
    <row r="70" spans="1:10" x14ac:dyDescent="0.2">
      <c r="A70" s="1" t="s">
        <v>155</v>
      </c>
    </row>
    <row r="71" spans="1:10" x14ac:dyDescent="0.2">
      <c r="A71" s="1" t="s">
        <v>40</v>
      </c>
      <c r="B71" s="1">
        <f>C11</f>
        <v>1500</v>
      </c>
    </row>
    <row r="72" spans="1:10" x14ac:dyDescent="0.2">
      <c r="A72" s="1" t="s">
        <v>127</v>
      </c>
      <c r="B72" s="1">
        <f>B71*25%</f>
        <v>375</v>
      </c>
    </row>
    <row r="73" spans="1:10" x14ac:dyDescent="0.2">
      <c r="A73" s="1" t="s">
        <v>156</v>
      </c>
      <c r="B73" s="1">
        <v>7</v>
      </c>
    </row>
    <row r="74" spans="1:10" x14ac:dyDescent="0.2">
      <c r="A74" s="1" t="s">
        <v>125</v>
      </c>
      <c r="B74" s="1">
        <f>7*8/2</f>
        <v>28</v>
      </c>
    </row>
    <row r="75" spans="1:10" x14ac:dyDescent="0.2">
      <c r="A75" s="1" t="s">
        <v>157</v>
      </c>
      <c r="B75" s="1">
        <v>7</v>
      </c>
    </row>
    <row r="76" spans="1:10" x14ac:dyDescent="0.2">
      <c r="A76" s="1" t="s">
        <v>158</v>
      </c>
      <c r="B76" s="1">
        <v>6</v>
      </c>
    </row>
    <row r="77" spans="1:10" x14ac:dyDescent="0.2">
      <c r="A77" s="1" t="s">
        <v>159</v>
      </c>
      <c r="B77" s="1">
        <v>5</v>
      </c>
    </row>
    <row r="78" spans="1:10" x14ac:dyDescent="0.2">
      <c r="A78" s="1" t="s">
        <v>160</v>
      </c>
      <c r="B78" s="11">
        <f>(B71-B72)/B74*(B75+B76+B77)</f>
        <v>723.21428571428578</v>
      </c>
    </row>
    <row r="80" spans="1:10" x14ac:dyDescent="0.2">
      <c r="A80" s="1" t="s">
        <v>58</v>
      </c>
    </row>
    <row r="81" spans="1:2" x14ac:dyDescent="0.2">
      <c r="A81" s="1" t="s">
        <v>161</v>
      </c>
    </row>
    <row r="83" spans="1:2" x14ac:dyDescent="0.2">
      <c r="A83" s="1" t="s">
        <v>61</v>
      </c>
    </row>
    <row r="84" spans="1:2" x14ac:dyDescent="0.2">
      <c r="A84" s="1" t="s">
        <v>162</v>
      </c>
    </row>
    <row r="92" spans="1:2" x14ac:dyDescent="0.2">
      <c r="A92" s="1" t="s">
        <v>36</v>
      </c>
      <c r="B92" s="1">
        <f>B9/10*0.5</f>
        <v>25</v>
      </c>
    </row>
    <row r="99" spans="1:14" x14ac:dyDescent="0.2">
      <c r="J99" s="3"/>
      <c r="N99" s="3"/>
    </row>
    <row r="100" spans="1:14" x14ac:dyDescent="0.2">
      <c r="N100" s="3"/>
    </row>
    <row r="105" spans="1:14" x14ac:dyDescent="0.2">
      <c r="A105" s="1" t="s">
        <v>37</v>
      </c>
    </row>
    <row r="106" spans="1:14" x14ac:dyDescent="0.2">
      <c r="A106" s="1" t="s">
        <v>38</v>
      </c>
      <c r="B106" s="1">
        <f>7*8/2</f>
        <v>28</v>
      </c>
    </row>
    <row r="107" spans="1:14" x14ac:dyDescent="0.2">
      <c r="A107" s="1" t="s">
        <v>39</v>
      </c>
      <c r="B107" s="1">
        <v>7</v>
      </c>
    </row>
    <row r="108" spans="1:14" x14ac:dyDescent="0.2">
      <c r="A108" s="1" t="s">
        <v>40</v>
      </c>
      <c r="B108" s="1">
        <f>B11</f>
        <v>1500</v>
      </c>
    </row>
    <row r="109" spans="1:14" x14ac:dyDescent="0.2">
      <c r="A109" s="1" t="s">
        <v>41</v>
      </c>
      <c r="B109" s="1">
        <f>B108*20%</f>
        <v>300</v>
      </c>
    </row>
    <row r="110" spans="1:14" x14ac:dyDescent="0.2">
      <c r="A110" s="1" t="s">
        <v>42</v>
      </c>
      <c r="B110" s="1">
        <f>B108-B109</f>
        <v>1200</v>
      </c>
    </row>
    <row r="111" spans="1:14" x14ac:dyDescent="0.2">
      <c r="A111" s="1" t="s">
        <v>43</v>
      </c>
      <c r="B111" s="4">
        <f>B110*B107/B106</f>
        <v>300</v>
      </c>
    </row>
    <row r="128" spans="1:2" x14ac:dyDescent="0.2">
      <c r="A128" s="1" t="s">
        <v>44</v>
      </c>
      <c r="B128" s="1">
        <v>30</v>
      </c>
    </row>
  </sheetData>
  <pageMargins left="0.7" right="0.7" top="0.75" bottom="0.75" header="0.3" footer="0.3"/>
  <ignoredErrors>
    <ignoredError sqref="C10" formula="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4A2F3-A1EF-4248-A3FE-048992E758BE}">
  <dimension ref="A1:I114"/>
  <sheetViews>
    <sheetView rightToLeft="1" tabSelected="1" zoomScale="200" workbookViewId="0">
      <selection activeCell="F100" sqref="F100"/>
    </sheetView>
  </sheetViews>
  <sheetFormatPr baseColWidth="10" defaultRowHeight="16" x14ac:dyDescent="0.2"/>
  <cols>
    <col min="1" max="16384" width="10.83203125" style="1"/>
  </cols>
  <sheetData>
    <row r="1" spans="1:8" x14ac:dyDescent="0.2">
      <c r="A1" s="5" t="s">
        <v>197</v>
      </c>
      <c r="B1" s="5"/>
      <c r="C1" s="5"/>
      <c r="D1" s="5"/>
      <c r="E1" s="5"/>
      <c r="F1" s="5"/>
      <c r="G1" s="5"/>
      <c r="H1" s="5"/>
    </row>
    <row r="3" spans="1:8" x14ac:dyDescent="0.2">
      <c r="A3" s="1">
        <v>1</v>
      </c>
      <c r="B3" s="1" t="s">
        <v>55</v>
      </c>
      <c r="D3" s="1">
        <f>150*3</f>
        <v>450</v>
      </c>
    </row>
    <row r="4" spans="1:8" x14ac:dyDescent="0.2">
      <c r="B4" s="1" t="s">
        <v>83</v>
      </c>
      <c r="D4" s="1">
        <f>D3</f>
        <v>450</v>
      </c>
    </row>
    <row r="6" spans="1:8" x14ac:dyDescent="0.2">
      <c r="A6" s="1">
        <v>2</v>
      </c>
      <c r="B6" s="1" t="s">
        <v>189</v>
      </c>
      <c r="D6" s="1">
        <v>40</v>
      </c>
    </row>
    <row r="7" spans="1:8" x14ac:dyDescent="0.2">
      <c r="B7" s="1" t="s">
        <v>84</v>
      </c>
      <c r="D7" s="1">
        <v>20</v>
      </c>
    </row>
    <row r="8" spans="1:8" x14ac:dyDescent="0.2">
      <c r="B8" s="1" t="s">
        <v>190</v>
      </c>
      <c r="D8" s="1">
        <v>20</v>
      </c>
    </row>
    <row r="10" spans="1:8" x14ac:dyDescent="0.2">
      <c r="A10" s="1">
        <v>3</v>
      </c>
      <c r="B10" s="1" t="s">
        <v>55</v>
      </c>
      <c r="D10" s="1">
        <v>100</v>
      </c>
    </row>
    <row r="11" spans="1:8" x14ac:dyDescent="0.2">
      <c r="B11" s="1" t="s">
        <v>85</v>
      </c>
      <c r="D11" s="1">
        <v>100</v>
      </c>
    </row>
    <row r="14" spans="1:8" x14ac:dyDescent="0.2">
      <c r="A14" s="1">
        <v>4</v>
      </c>
      <c r="B14" s="1" t="s">
        <v>86</v>
      </c>
      <c r="D14" s="1">
        <f>D11*25%</f>
        <v>25</v>
      </c>
    </row>
    <row r="15" spans="1:8" x14ac:dyDescent="0.2">
      <c r="B15" s="1" t="s">
        <v>84</v>
      </c>
      <c r="D15" s="1">
        <f>D14</f>
        <v>25</v>
      </c>
    </row>
    <row r="17" spans="1:4" x14ac:dyDescent="0.2">
      <c r="B17" s="1" t="s">
        <v>191</v>
      </c>
      <c r="D17" s="1">
        <f>3%*D11</f>
        <v>3</v>
      </c>
    </row>
    <row r="18" spans="1:4" x14ac:dyDescent="0.2">
      <c r="B18" s="1" t="s">
        <v>84</v>
      </c>
      <c r="D18" s="1">
        <f>D17</f>
        <v>3</v>
      </c>
    </row>
    <row r="20" spans="1:4" x14ac:dyDescent="0.2">
      <c r="A20" s="1">
        <v>5</v>
      </c>
      <c r="B20" s="1" t="s">
        <v>87</v>
      </c>
      <c r="D20" s="1">
        <f>D22-D21</f>
        <v>120</v>
      </c>
    </row>
    <row r="21" spans="1:4" x14ac:dyDescent="0.2">
      <c r="B21" s="1" t="s">
        <v>55</v>
      </c>
      <c r="D21" s="1">
        <v>330</v>
      </c>
    </row>
    <row r="22" spans="1:4" x14ac:dyDescent="0.2">
      <c r="B22" s="1" t="s">
        <v>192</v>
      </c>
      <c r="D22" s="1">
        <v>450</v>
      </c>
    </row>
    <row r="24" spans="1:4" x14ac:dyDescent="0.2">
      <c r="A24" s="1">
        <v>6</v>
      </c>
      <c r="B24" s="1" t="s">
        <v>193</v>
      </c>
      <c r="D24" s="1">
        <v>18</v>
      </c>
    </row>
    <row r="25" spans="1:4" x14ac:dyDescent="0.2">
      <c r="B25" s="1" t="s">
        <v>84</v>
      </c>
      <c r="D25" s="1">
        <f>D24</f>
        <v>18</v>
      </c>
    </row>
    <row r="27" spans="1:4" x14ac:dyDescent="0.2">
      <c r="A27" s="1">
        <v>7</v>
      </c>
      <c r="B27" s="1" t="s">
        <v>194</v>
      </c>
      <c r="D27" s="1">
        <v>78</v>
      </c>
    </row>
    <row r="28" spans="1:4" x14ac:dyDescent="0.2">
      <c r="B28" s="1" t="s">
        <v>84</v>
      </c>
      <c r="D28" s="1">
        <f>D27</f>
        <v>78</v>
      </c>
    </row>
    <row r="30" spans="1:4" x14ac:dyDescent="0.2">
      <c r="A30" s="1">
        <v>8</v>
      </c>
      <c r="B30" s="1" t="s">
        <v>55</v>
      </c>
      <c r="D30" s="1">
        <f>84</f>
        <v>84</v>
      </c>
    </row>
    <row r="31" spans="1:4" x14ac:dyDescent="0.2">
      <c r="B31" s="1" t="s">
        <v>195</v>
      </c>
      <c r="D31" s="1">
        <f>D28</f>
        <v>78</v>
      </c>
    </row>
    <row r="32" spans="1:4" x14ac:dyDescent="0.2">
      <c r="B32" s="1" t="s">
        <v>88</v>
      </c>
      <c r="D32" s="1">
        <v>6</v>
      </c>
    </row>
    <row r="34" spans="1:8" x14ac:dyDescent="0.2">
      <c r="A34" s="1">
        <v>9</v>
      </c>
      <c r="B34" s="1" t="s">
        <v>89</v>
      </c>
      <c r="D34" s="1">
        <v>5</v>
      </c>
    </row>
    <row r="35" spans="1:8" x14ac:dyDescent="0.2">
      <c r="B35" s="1" t="s">
        <v>84</v>
      </c>
      <c r="D35" s="1">
        <v>5</v>
      </c>
    </row>
    <row r="37" spans="1:8" x14ac:dyDescent="0.2">
      <c r="A37" s="1">
        <v>10</v>
      </c>
      <c r="B37" s="1" t="s">
        <v>196</v>
      </c>
      <c r="D37" s="1">
        <v>55</v>
      </c>
    </row>
    <row r="38" spans="1:8" x14ac:dyDescent="0.2">
      <c r="B38" s="1" t="s">
        <v>84</v>
      </c>
      <c r="D38" s="1">
        <v>55</v>
      </c>
    </row>
    <row r="40" spans="1:8" x14ac:dyDescent="0.2">
      <c r="A40" s="5" t="s">
        <v>90</v>
      </c>
      <c r="B40" s="5" t="s">
        <v>207</v>
      </c>
      <c r="C40" s="5"/>
      <c r="D40" s="5"/>
      <c r="E40" s="5"/>
      <c r="F40" s="5"/>
      <c r="G40" s="5"/>
      <c r="H40" s="5"/>
    </row>
    <row r="42" spans="1:8" x14ac:dyDescent="0.2">
      <c r="A42" s="1" t="s">
        <v>91</v>
      </c>
      <c r="B42" s="1" t="s">
        <v>92</v>
      </c>
      <c r="D42" s="1" t="s">
        <v>200</v>
      </c>
      <c r="F42" s="1" t="s">
        <v>93</v>
      </c>
      <c r="H42" s="1" t="s">
        <v>94</v>
      </c>
    </row>
    <row r="43" spans="1:8" x14ac:dyDescent="0.2">
      <c r="A43" s="1">
        <v>2022</v>
      </c>
      <c r="B43" s="1" t="s">
        <v>198</v>
      </c>
      <c r="D43" s="1">
        <f>36/3</f>
        <v>12</v>
      </c>
      <c r="F43" s="1" t="s">
        <v>201</v>
      </c>
      <c r="H43" s="1" t="s">
        <v>203</v>
      </c>
    </row>
    <row r="44" spans="1:8" x14ac:dyDescent="0.2">
      <c r="B44" s="1" t="s">
        <v>199</v>
      </c>
      <c r="F44" s="1" t="s">
        <v>202</v>
      </c>
    </row>
    <row r="47" spans="1:8" x14ac:dyDescent="0.2">
      <c r="A47" s="1">
        <v>2023</v>
      </c>
      <c r="B47" s="1" t="s">
        <v>95</v>
      </c>
      <c r="D47" s="1">
        <f>D43</f>
        <v>12</v>
      </c>
      <c r="F47" s="1" t="s">
        <v>205</v>
      </c>
      <c r="H47" s="1" t="s">
        <v>206</v>
      </c>
    </row>
    <row r="48" spans="1:8" x14ac:dyDescent="0.2">
      <c r="F48" s="1" t="s">
        <v>204</v>
      </c>
    </row>
    <row r="49" spans="1:9" x14ac:dyDescent="0.2">
      <c r="A49" s="6"/>
    </row>
    <row r="50" spans="1:9" x14ac:dyDescent="0.2">
      <c r="A50" s="18">
        <v>2024</v>
      </c>
      <c r="B50" s="18" t="s">
        <v>95</v>
      </c>
      <c r="C50" s="18"/>
      <c r="D50" s="18">
        <v>12</v>
      </c>
      <c r="E50" s="18"/>
      <c r="F50" s="18" t="s">
        <v>205</v>
      </c>
      <c r="G50" s="18"/>
      <c r="H50" s="18" t="s">
        <v>95</v>
      </c>
      <c r="I50" s="18"/>
    </row>
    <row r="51" spans="1:9" x14ac:dyDescent="0.2">
      <c r="A51" s="18"/>
      <c r="B51" s="18"/>
      <c r="C51" s="18"/>
      <c r="D51" s="18"/>
      <c r="E51" s="18"/>
      <c r="F51" s="18" t="s">
        <v>204</v>
      </c>
      <c r="G51" s="18"/>
      <c r="H51" s="18"/>
      <c r="I51" s="18"/>
    </row>
    <row r="52" spans="1:9" x14ac:dyDescent="0.2">
      <c r="A52" s="18"/>
      <c r="B52" s="18"/>
      <c r="C52" s="18"/>
      <c r="D52" s="18"/>
      <c r="E52" s="18"/>
      <c r="F52" s="18"/>
      <c r="G52" s="18"/>
      <c r="H52" s="18"/>
      <c r="I52" s="18"/>
    </row>
    <row r="53" spans="1:9" x14ac:dyDescent="0.2">
      <c r="A53" s="18"/>
      <c r="B53" s="18"/>
      <c r="C53" s="18"/>
      <c r="D53" s="18"/>
      <c r="E53" s="18"/>
      <c r="F53" s="18"/>
      <c r="G53" s="18"/>
      <c r="H53" s="18"/>
      <c r="I53" s="18"/>
    </row>
    <row r="54" spans="1:9" x14ac:dyDescent="0.2">
      <c r="A54" s="18">
        <v>2025</v>
      </c>
      <c r="B54" s="18" t="s">
        <v>95</v>
      </c>
      <c r="C54" s="18"/>
      <c r="D54" s="18">
        <v>14.4</v>
      </c>
      <c r="E54" s="18"/>
      <c r="F54" s="18" t="s">
        <v>208</v>
      </c>
      <c r="G54" s="18"/>
      <c r="H54" s="18" t="s">
        <v>212</v>
      </c>
      <c r="I54" s="18"/>
    </row>
    <row r="55" spans="1:9" x14ac:dyDescent="0.2">
      <c r="A55" s="18"/>
      <c r="B55" s="18"/>
      <c r="C55" s="18"/>
      <c r="D55" s="18"/>
      <c r="E55" s="18"/>
      <c r="F55" s="18" t="s">
        <v>211</v>
      </c>
      <c r="G55" s="18"/>
      <c r="H55" s="18"/>
      <c r="I55" s="18"/>
    </row>
    <row r="57" spans="1:9" x14ac:dyDescent="0.2">
      <c r="A57" s="1">
        <v>2026</v>
      </c>
      <c r="B57" s="1" t="s">
        <v>209</v>
      </c>
      <c r="D57" s="1">
        <v>14.4</v>
      </c>
      <c r="F57" s="1" t="s">
        <v>213</v>
      </c>
      <c r="H57" s="1" t="s">
        <v>95</v>
      </c>
    </row>
    <row r="58" spans="1:9" x14ac:dyDescent="0.2">
      <c r="B58" s="1" t="s">
        <v>210</v>
      </c>
      <c r="F58" s="1" t="s">
        <v>214</v>
      </c>
    </row>
    <row r="62" spans="1:9" x14ac:dyDescent="0.2">
      <c r="A62" s="5" t="s">
        <v>96</v>
      </c>
      <c r="B62" s="5"/>
      <c r="C62" s="5"/>
      <c r="D62" s="5"/>
      <c r="E62" s="5"/>
      <c r="F62" s="5"/>
      <c r="G62" s="5"/>
      <c r="H62" s="5"/>
    </row>
    <row r="64" spans="1:9" x14ac:dyDescent="0.2">
      <c r="A64" s="1" t="s">
        <v>104</v>
      </c>
    </row>
    <row r="65" spans="1:8" x14ac:dyDescent="0.2">
      <c r="A65" s="1" t="s">
        <v>102</v>
      </c>
    </row>
    <row r="66" spans="1:8" x14ac:dyDescent="0.2">
      <c r="A66" s="1" t="s">
        <v>103</v>
      </c>
    </row>
    <row r="67" spans="1:8" x14ac:dyDescent="0.2">
      <c r="A67" s="1" t="s">
        <v>109</v>
      </c>
    </row>
    <row r="69" spans="1:8" x14ac:dyDescent="0.2">
      <c r="C69" s="1" t="s">
        <v>97</v>
      </c>
      <c r="E69" s="1" t="s">
        <v>100</v>
      </c>
      <c r="G69" s="1" t="s">
        <v>101</v>
      </c>
    </row>
    <row r="70" spans="1:8" x14ac:dyDescent="0.2">
      <c r="C70" s="1" t="s">
        <v>98</v>
      </c>
      <c r="D70" s="1" t="s">
        <v>99</v>
      </c>
      <c r="E70" s="1" t="s">
        <v>98</v>
      </c>
      <c r="F70" s="1" t="s">
        <v>99</v>
      </c>
      <c r="G70" s="1" t="s">
        <v>98</v>
      </c>
      <c r="H70" s="1" t="s">
        <v>99</v>
      </c>
    </row>
    <row r="71" spans="1:8" x14ac:dyDescent="0.2">
      <c r="A71" s="1" t="s">
        <v>111</v>
      </c>
      <c r="C71" s="1">
        <v>1800</v>
      </c>
    </row>
    <row r="72" spans="1:8" x14ac:dyDescent="0.2">
      <c r="A72" s="1" t="s">
        <v>105</v>
      </c>
      <c r="D72" s="1">
        <v>170</v>
      </c>
    </row>
    <row r="73" spans="1:8" x14ac:dyDescent="0.2">
      <c r="A73" s="1" t="s">
        <v>106</v>
      </c>
      <c r="D73" s="1">
        <v>440</v>
      </c>
    </row>
    <row r="74" spans="1:8" x14ac:dyDescent="0.2">
      <c r="A74" s="1" t="s">
        <v>108</v>
      </c>
      <c r="F74" s="1">
        <f>F75</f>
        <v>166.60000000000002</v>
      </c>
      <c r="G74" s="1">
        <f>F74</f>
        <v>166.60000000000002</v>
      </c>
    </row>
    <row r="75" spans="1:8" x14ac:dyDescent="0.2">
      <c r="A75" s="1" t="s">
        <v>107</v>
      </c>
      <c r="C75" s="1">
        <f>C71-D73-D72</f>
        <v>1190</v>
      </c>
      <c r="F75" s="1">
        <f>C75*14%</f>
        <v>166.60000000000002</v>
      </c>
      <c r="G75" s="1">
        <f>G74</f>
        <v>166.60000000000002</v>
      </c>
    </row>
    <row r="76" spans="1:8" x14ac:dyDescent="0.2">
      <c r="A76" s="1" t="s">
        <v>110</v>
      </c>
      <c r="C76" s="1">
        <f>920-390</f>
        <v>530</v>
      </c>
    </row>
    <row r="77" spans="1:8" x14ac:dyDescent="0.2">
      <c r="A77" s="1" t="s">
        <v>112</v>
      </c>
      <c r="D77" s="1">
        <v>410</v>
      </c>
    </row>
    <row r="78" spans="1:8" x14ac:dyDescent="0.2">
      <c r="A78" s="1" t="s">
        <v>113</v>
      </c>
      <c r="D78" s="1">
        <v>14</v>
      </c>
      <c r="E78" s="1">
        <f>D78</f>
        <v>14</v>
      </c>
    </row>
    <row r="79" spans="1:8" x14ac:dyDescent="0.2">
      <c r="A79" s="1" t="s">
        <v>115</v>
      </c>
      <c r="F79" s="1">
        <f>F80+E78-F75</f>
        <v>52.167999999999978</v>
      </c>
      <c r="G79" s="1">
        <f>F79</f>
        <v>52.167999999999978</v>
      </c>
    </row>
    <row r="80" spans="1:8" x14ac:dyDescent="0.2">
      <c r="A80" s="1" t="s">
        <v>114</v>
      </c>
      <c r="C80" s="1">
        <f>C75+C76-D77-D78</f>
        <v>1296</v>
      </c>
      <c r="F80" s="1">
        <f>C80*70%*14%+C80*30%*20%</f>
        <v>204.768</v>
      </c>
      <c r="G80" s="1">
        <f>G79</f>
        <v>52.167999999999978</v>
      </c>
    </row>
    <row r="82" spans="1:8" x14ac:dyDescent="0.2">
      <c r="A82" s="1" t="s">
        <v>116</v>
      </c>
    </row>
    <row r="84" spans="1:8" x14ac:dyDescent="0.2">
      <c r="A84" s="1" t="s">
        <v>117</v>
      </c>
      <c r="C84" s="7">
        <v>44196</v>
      </c>
      <c r="D84" s="7">
        <v>44561</v>
      </c>
    </row>
    <row r="85" spans="1:8" x14ac:dyDescent="0.2">
      <c r="A85" s="1" t="s">
        <v>97</v>
      </c>
      <c r="C85" s="1">
        <f>C75</f>
        <v>1190</v>
      </c>
      <c r="D85" s="1">
        <f>C80</f>
        <v>1296</v>
      </c>
    </row>
    <row r="86" spans="1:8" x14ac:dyDescent="0.2">
      <c r="A86" s="1" t="s">
        <v>100</v>
      </c>
      <c r="C86" s="1">
        <f>-F75</f>
        <v>-166.60000000000002</v>
      </c>
      <c r="D86" s="1">
        <f>-F80</f>
        <v>-204.768</v>
      </c>
    </row>
    <row r="87" spans="1:8" x14ac:dyDescent="0.2">
      <c r="A87" s="1" t="s">
        <v>75</v>
      </c>
      <c r="C87" s="1">
        <f>C85+C86</f>
        <v>1023.4</v>
      </c>
      <c r="D87" s="1">
        <f>D85+D86</f>
        <v>1091.232</v>
      </c>
    </row>
    <row r="89" spans="1:8" x14ac:dyDescent="0.2">
      <c r="A89" s="1" t="s">
        <v>118</v>
      </c>
      <c r="C89" s="7">
        <v>44196</v>
      </c>
      <c r="D89" s="7">
        <v>44561</v>
      </c>
    </row>
    <row r="90" spans="1:8" x14ac:dyDescent="0.2">
      <c r="A90" s="1" t="s">
        <v>101</v>
      </c>
      <c r="C90" s="1">
        <f>G74</f>
        <v>166.60000000000002</v>
      </c>
      <c r="D90" s="1">
        <f>G79</f>
        <v>52.167999999999978</v>
      </c>
    </row>
    <row r="92" spans="1:8" x14ac:dyDescent="0.2">
      <c r="A92" s="5" t="s">
        <v>119</v>
      </c>
      <c r="B92" s="5"/>
      <c r="C92" s="5"/>
      <c r="D92" s="5"/>
      <c r="E92" s="5"/>
      <c r="F92" s="5"/>
      <c r="G92" s="5"/>
      <c r="H92" s="5"/>
    </row>
    <row r="93" spans="1:8" x14ac:dyDescent="0.2">
      <c r="A93" s="1" t="s">
        <v>131</v>
      </c>
    </row>
    <row r="94" spans="1:8" x14ac:dyDescent="0.2">
      <c r="D94" s="1" t="s">
        <v>122</v>
      </c>
    </row>
    <row r="95" spans="1:8" x14ac:dyDescent="0.2">
      <c r="D95" s="1" t="s">
        <v>123</v>
      </c>
    </row>
    <row r="96" spans="1:8" x14ac:dyDescent="0.2">
      <c r="D96" s="1" t="s">
        <v>124</v>
      </c>
    </row>
    <row r="97" spans="1:5" x14ac:dyDescent="0.2">
      <c r="B97" s="7">
        <v>44926</v>
      </c>
      <c r="C97" s="7">
        <v>45291</v>
      </c>
      <c r="D97" s="7">
        <v>45536</v>
      </c>
      <c r="E97" s="7">
        <v>45657</v>
      </c>
    </row>
    <row r="98" spans="1:5" x14ac:dyDescent="0.2">
      <c r="A98" s="1" t="s">
        <v>40</v>
      </c>
      <c r="B98" s="1">
        <f>800+140+50+40</f>
        <v>1030</v>
      </c>
      <c r="C98" s="1">
        <f>B98</f>
        <v>1030</v>
      </c>
      <c r="D98" s="1">
        <f>C98</f>
        <v>1030</v>
      </c>
      <c r="E98" s="1">
        <v>0</v>
      </c>
    </row>
    <row r="99" spans="1:5" x14ac:dyDescent="0.2">
      <c r="A99" s="1" t="s">
        <v>120</v>
      </c>
      <c r="B99" s="19">
        <f>B102</f>
        <v>57.222222222222221</v>
      </c>
      <c r="C99" s="19">
        <f>B99+C102</f>
        <v>221.73611111111109</v>
      </c>
      <c r="D99" s="19">
        <f>C99+D102</f>
        <v>343.33333333333331</v>
      </c>
      <c r="E99" s="4">
        <v>0</v>
      </c>
    </row>
    <row r="100" spans="1:5" x14ac:dyDescent="0.2">
      <c r="A100" s="1" t="s">
        <v>53</v>
      </c>
      <c r="B100" s="19">
        <f>B98-B99</f>
        <v>972.77777777777783</v>
      </c>
      <c r="C100" s="19">
        <f>C98-C99</f>
        <v>808.26388888888891</v>
      </c>
      <c r="D100" s="19">
        <f>D98-D99</f>
        <v>686.66666666666674</v>
      </c>
      <c r="E100" s="4">
        <f>E98-E99</f>
        <v>0</v>
      </c>
    </row>
    <row r="101" spans="1:5" x14ac:dyDescent="0.2">
      <c r="B101" s="19"/>
      <c r="C101" s="19"/>
      <c r="D101" s="19"/>
      <c r="E101" s="19"/>
    </row>
    <row r="102" spans="1:5" x14ac:dyDescent="0.2">
      <c r="A102" s="1" t="s">
        <v>121</v>
      </c>
      <c r="B102" s="19">
        <f>C112</f>
        <v>57.222222222222221</v>
      </c>
      <c r="C102" s="19">
        <f>C113</f>
        <v>164.51388888888886</v>
      </c>
      <c r="D102" s="19">
        <f>C114</f>
        <v>121.59722222222223</v>
      </c>
      <c r="E102" s="19">
        <f>D102</f>
        <v>121.59722222222223</v>
      </c>
    </row>
    <row r="103" spans="1:5" x14ac:dyDescent="0.2">
      <c r="A103" s="1" t="s">
        <v>215</v>
      </c>
      <c r="E103" s="1">
        <f>30%*D100</f>
        <v>206.00000000000003</v>
      </c>
    </row>
    <row r="105" spans="1:5" x14ac:dyDescent="0.2">
      <c r="A105" s="1" t="s">
        <v>52</v>
      </c>
    </row>
    <row r="106" spans="1:5" x14ac:dyDescent="0.2">
      <c r="A106" s="1" t="s">
        <v>125</v>
      </c>
      <c r="C106" s="1">
        <f>8*9/2</f>
        <v>36</v>
      </c>
    </row>
    <row r="107" spans="1:5" x14ac:dyDescent="0.2">
      <c r="A107" s="1" t="s">
        <v>126</v>
      </c>
      <c r="C107" s="7">
        <v>44805</v>
      </c>
    </row>
    <row r="108" spans="1:5" x14ac:dyDescent="0.2">
      <c r="A108" s="1" t="s">
        <v>40</v>
      </c>
      <c r="C108" s="1">
        <f>B98</f>
        <v>1030</v>
      </c>
    </row>
    <row r="109" spans="1:5" x14ac:dyDescent="0.2">
      <c r="A109" s="1" t="s">
        <v>127</v>
      </c>
      <c r="C109" s="1">
        <f>C108*25%</f>
        <v>257.5</v>
      </c>
    </row>
    <row r="110" spans="1:5" x14ac:dyDescent="0.2">
      <c r="A110" s="1" t="s">
        <v>42</v>
      </c>
      <c r="C110" s="1">
        <f>C108-C109</f>
        <v>772.5</v>
      </c>
    </row>
    <row r="112" spans="1:5" x14ac:dyDescent="0.2">
      <c r="A112" s="1" t="s">
        <v>128</v>
      </c>
      <c r="C112" s="19">
        <f>C110*(8*4/12)/C106</f>
        <v>57.222222222222221</v>
      </c>
    </row>
    <row r="113" spans="1:3" x14ac:dyDescent="0.2">
      <c r="A113" s="1" t="s">
        <v>129</v>
      </c>
      <c r="C113" s="19">
        <f>C110*(8*8/12+7*4/12)/C106</f>
        <v>164.51388888888886</v>
      </c>
    </row>
    <row r="114" spans="1:3" x14ac:dyDescent="0.2">
      <c r="A114" s="1" t="s">
        <v>130</v>
      </c>
      <c r="C114" s="19">
        <f>C110*(7*8/12+6*2/12)/C106</f>
        <v>121.59722222222223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פתרון מלא א</vt:lpstr>
      <vt:lpstr>פתרון מלא ב</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Shay Tsaban</dc:creator>
  <cp:lastModifiedBy>Shay Tsaban</cp:lastModifiedBy>
  <dcterms:created xsi:type="dcterms:W3CDTF">2024-03-16T16:00:46Z</dcterms:created>
  <dcterms:modified xsi:type="dcterms:W3CDTF">2024-04-07T18:39:35Z</dcterms:modified>
</cp:coreProperties>
</file>