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haytsaban/Documents/Ruppin - ACC/"/>
    </mc:Choice>
  </mc:AlternateContent>
  <xr:revisionPtr revIDLastSave="0" documentId="13_ncr:1_{AB713E4F-DAE5-624F-AE2D-66978BB9953E}" xr6:coauthVersionLast="47" xr6:coauthVersionMax="47" xr10:uidLastSave="{00000000-0000-0000-0000-000000000000}"/>
  <bookViews>
    <workbookView xWindow="0" yWindow="500" windowWidth="51200" windowHeight="29580" firstSheet="9" activeTab="15" xr2:uid="{87F96319-F2AB-7A42-8160-C24334AB91E7}"/>
  </bookViews>
  <sheets>
    <sheet name="הרצאה 1" sheetId="1" r:id="rId1"/>
    <sheet name="הרצאה 2" sheetId="2" r:id="rId2"/>
    <sheet name="הסברים להרצאה 2" sheetId="3" r:id="rId3"/>
    <sheet name="3 - הרצאה" sheetId="4" r:id="rId4"/>
    <sheet name="3 - תרגול נוסף" sheetId="5" r:id="rId5"/>
    <sheet name="4 נכסים שוטפים" sheetId="7" r:id="rId6"/>
    <sheet name="4 - מטלה לאחר המפגש" sheetId="6" r:id="rId7"/>
    <sheet name="5 - המשך לקוחות" sheetId="8" r:id="rId8"/>
    <sheet name="6 - אמצע סמסטר" sheetId="9" r:id="rId9"/>
    <sheet name="7 - המשך רכוש קבוע" sheetId="10" r:id="rId10"/>
    <sheet name="8 - הון עצמי" sheetId="11" r:id="rId11"/>
    <sheet name="9 - מגוון תרגילים" sheetId="12" r:id="rId12"/>
    <sheet name="10 - חזרה למבחן חלק א" sheetId="13" r:id="rId13"/>
    <sheet name="11 - חזרה למבחן חלק ב" sheetId="14" r:id="rId14"/>
    <sheet name="12 - חזרה למבחן חלק ב" sheetId="15" r:id="rId15"/>
    <sheet name="13 - חזרה למבחן חלק ג" sheetId="16" r:id="rId16"/>
  </sheets>
  <externalReferences>
    <externalReference r:id="rId1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57" i="16" l="1"/>
  <c r="Q160" i="16"/>
  <c r="Q158" i="16"/>
  <c r="P145" i="16"/>
  <c r="P143" i="16"/>
  <c r="P142" i="16"/>
  <c r="P141" i="16"/>
  <c r="P140" i="16"/>
  <c r="P139" i="16"/>
  <c r="P138" i="16"/>
  <c r="P137" i="16"/>
  <c r="P136" i="16"/>
  <c r="P135" i="16"/>
  <c r="P134" i="16"/>
  <c r="T144" i="16"/>
  <c r="T143" i="16"/>
  <c r="T142" i="16"/>
  <c r="T152" i="16"/>
  <c r="T150" i="16"/>
  <c r="T149" i="16"/>
  <c r="T148" i="16"/>
  <c r="T141" i="16"/>
  <c r="T138" i="16"/>
  <c r="T137" i="16"/>
  <c r="T136" i="16"/>
  <c r="T135" i="16"/>
  <c r="L151" i="16"/>
  <c r="L152" i="16"/>
  <c r="L154" i="16"/>
  <c r="L145" i="16"/>
  <c r="L144" i="16"/>
  <c r="L140" i="16"/>
  <c r="L138" i="16"/>
  <c r="L137" i="16"/>
  <c r="H154" i="16"/>
  <c r="H146" i="16"/>
  <c r="H145" i="16"/>
  <c r="H144" i="16"/>
  <c r="H141" i="16"/>
  <c r="H138" i="16"/>
  <c r="F168" i="15"/>
  <c r="F167" i="15"/>
  <c r="F166" i="15"/>
  <c r="D168" i="15"/>
  <c r="D167" i="15"/>
  <c r="G181" i="15"/>
  <c r="G179" i="15"/>
  <c r="G180" i="15"/>
  <c r="G177" i="15"/>
  <c r="D166" i="15"/>
  <c r="E168" i="15"/>
  <c r="E167" i="15"/>
  <c r="D173" i="15"/>
  <c r="E166" i="15"/>
  <c r="H153" i="15"/>
  <c r="H152" i="15"/>
  <c r="K161" i="15"/>
  <c r="K160" i="15"/>
  <c r="G146" i="15"/>
  <c r="G145" i="15"/>
  <c r="G144" i="15"/>
  <c r="G143" i="15"/>
  <c r="G142" i="15"/>
  <c r="G52" i="15"/>
  <c r="F52" i="15"/>
  <c r="E52" i="15"/>
  <c r="D52" i="15"/>
  <c r="C52" i="15"/>
  <c r="B52" i="15"/>
  <c r="G51" i="15"/>
  <c r="H51" i="15" s="1"/>
  <c r="H50" i="15"/>
  <c r="E48" i="15"/>
  <c r="D48" i="15"/>
  <c r="C48" i="15"/>
  <c r="B48" i="15"/>
  <c r="F47" i="15"/>
  <c r="D47" i="15"/>
  <c r="F46" i="15"/>
  <c r="H46" i="15"/>
  <c r="E46" i="15"/>
  <c r="H45" i="15"/>
  <c r="K106" i="14"/>
  <c r="H106" i="14"/>
  <c r="K104" i="14"/>
  <c r="K103" i="14"/>
  <c r="Q105" i="14" s="1"/>
  <c r="Q102" i="14"/>
  <c r="Q99" i="14"/>
  <c r="Q103" i="14" s="1"/>
  <c r="H99" i="14"/>
  <c r="H98" i="14"/>
  <c r="Q97" i="14"/>
  <c r="K97" i="14"/>
  <c r="Q96" i="14"/>
  <c r="H96" i="14"/>
  <c r="Q95" i="14"/>
  <c r="M95" i="14"/>
  <c r="Q94" i="14"/>
  <c r="H93" i="14"/>
  <c r="Q92" i="14"/>
  <c r="AB91" i="14"/>
  <c r="Q91" i="14"/>
  <c r="K91" i="14"/>
  <c r="Q90" i="14"/>
  <c r="H90" i="14"/>
  <c r="AB89" i="14"/>
  <c r="Q89" i="14"/>
  <c r="K89" i="14"/>
  <c r="Q87" i="14"/>
  <c r="Q92" i="13"/>
  <c r="Q93" i="13"/>
  <c r="Q95" i="13"/>
  <c r="Q89" i="13"/>
  <c r="Q87" i="13"/>
  <c r="Q86" i="13"/>
  <c r="Q85" i="13"/>
  <c r="Q84" i="13"/>
  <c r="Q82" i="13"/>
  <c r="Q80" i="13"/>
  <c r="Q81" i="13"/>
  <c r="Q79" i="13"/>
  <c r="AB79" i="13"/>
  <c r="AB81" i="13"/>
  <c r="Q77" i="13"/>
  <c r="K93" i="13"/>
  <c r="K94" i="13"/>
  <c r="M85" i="13"/>
  <c r="K96" i="13"/>
  <c r="K87" i="13"/>
  <c r="K81" i="13"/>
  <c r="K79" i="13"/>
  <c r="H96" i="13"/>
  <c r="H89" i="13"/>
  <c r="H88" i="13"/>
  <c r="H86" i="13"/>
  <c r="H83" i="13"/>
  <c r="H80" i="13"/>
  <c r="E114" i="12"/>
  <c r="G98" i="12"/>
  <c r="K98" i="12" s="1"/>
  <c r="E87" i="12"/>
  <c r="G99" i="12" s="1"/>
  <c r="K99" i="12" s="1"/>
  <c r="G62" i="12"/>
  <c r="E62" i="12"/>
  <c r="H61" i="12"/>
  <c r="H60" i="12"/>
  <c r="C59" i="12"/>
  <c r="F59" i="12"/>
  <c r="C58" i="12"/>
  <c r="D58" i="12"/>
  <c r="F58" i="12"/>
  <c r="F62" i="12" s="1"/>
  <c r="D57" i="12"/>
  <c r="D62" i="12" s="1"/>
  <c r="C57" i="12"/>
  <c r="H57" i="12"/>
  <c r="D56" i="12"/>
  <c r="F56" i="12"/>
  <c r="H55" i="12"/>
  <c r="G154" i="11"/>
  <c r="G153" i="11"/>
  <c r="H153" i="11" s="1"/>
  <c r="H152" i="11"/>
  <c r="F151" i="11"/>
  <c r="E151" i="11" s="1"/>
  <c r="D149" i="11"/>
  <c r="D154" i="11" s="1"/>
  <c r="H148" i="11"/>
  <c r="H154" i="11" s="1"/>
  <c r="D148" i="11"/>
  <c r="E127" i="11"/>
  <c r="D127" i="11" s="1"/>
  <c r="H126" i="11"/>
  <c r="E126" i="11"/>
  <c r="H124" i="11"/>
  <c r="C124" i="11"/>
  <c r="C125" i="11" s="1"/>
  <c r="E125" i="11" s="1"/>
  <c r="E97" i="11"/>
  <c r="F97" i="11" s="1"/>
  <c r="G96" i="11"/>
  <c r="D96" i="11"/>
  <c r="H52" i="15" l="1"/>
  <c r="C62" i="12"/>
  <c r="H62" i="12"/>
  <c r="E148" i="11"/>
  <c r="F149" i="11"/>
  <c r="F96" i="11"/>
  <c r="D124" i="11"/>
  <c r="D126" i="11"/>
  <c r="F150" i="11" l="1"/>
  <c r="E150" i="11" s="1"/>
  <c r="E154" i="11"/>
  <c r="F154" i="11" l="1"/>
  <c r="D240" i="6" l="1"/>
  <c r="F228" i="6"/>
  <c r="F227" i="6"/>
  <c r="D201" i="6"/>
  <c r="D200" i="6"/>
  <c r="C175" i="6"/>
  <c r="G165" i="6"/>
  <c r="L144" i="6"/>
  <c r="L132" i="6"/>
  <c r="M119" i="6"/>
  <c r="L119" i="6"/>
  <c r="I119" i="6"/>
  <c r="C119" i="6"/>
  <c r="N117" i="6"/>
  <c r="L137" i="6" s="1"/>
  <c r="B116" i="6"/>
  <c r="N116" i="6" s="1"/>
  <c r="L148" i="6" s="1"/>
  <c r="B115" i="6"/>
  <c r="N115" i="6" s="1"/>
  <c r="F114" i="6"/>
  <c r="F119" i="6" s="1"/>
  <c r="C130" i="6" s="1"/>
  <c r="N113" i="6"/>
  <c r="L147" i="6" s="1"/>
  <c r="B112" i="6"/>
  <c r="N112" i="6" s="1"/>
  <c r="L146" i="6" s="1"/>
  <c r="B111" i="6"/>
  <c r="N111" i="6" s="1"/>
  <c r="L145" i="6" s="1"/>
  <c r="E109" i="6"/>
  <c r="E119" i="6" s="1"/>
  <c r="C136" i="6" s="1"/>
  <c r="B108" i="6"/>
  <c r="D108" i="6" s="1"/>
  <c r="D119" i="6" s="1"/>
  <c r="C135" i="6" s="1"/>
  <c r="C138" i="6" s="1"/>
  <c r="N106" i="6"/>
  <c r="L143" i="6" s="1"/>
  <c r="L149" i="6" s="1"/>
  <c r="L133" i="6" s="1"/>
  <c r="H105" i="6"/>
  <c r="N105" i="6" s="1"/>
  <c r="G104" i="6"/>
  <c r="G119" i="6" s="1"/>
  <c r="J103" i="6"/>
  <c r="K103" i="6" s="1"/>
  <c r="K119" i="6" s="1"/>
  <c r="H136" i="6" s="1"/>
  <c r="L135" i="6" l="1"/>
  <c r="N119" i="6"/>
  <c r="L126" i="6" s="1"/>
  <c r="L128" i="6" s="1"/>
  <c r="H137" i="6" s="1"/>
  <c r="H132" i="6"/>
  <c r="L134" i="6"/>
  <c r="L136" i="6" s="1"/>
  <c r="L138" i="6" s="1"/>
  <c r="H119" i="6"/>
  <c r="H129" i="6" s="1"/>
  <c r="B119" i="6"/>
  <c r="J119" i="6"/>
  <c r="H135" i="6" s="1"/>
  <c r="C129" i="6" l="1"/>
  <c r="C132" i="6" s="1"/>
  <c r="C144" i="6" s="1"/>
  <c r="D121" i="6"/>
  <c r="H144" i="6"/>
  <c r="D122" i="6"/>
  <c r="H138" i="6"/>
  <c r="H244" i="10" l="1"/>
  <c r="D238" i="10"/>
  <c r="D240" i="10"/>
  <c r="D237" i="10" s="1"/>
  <c r="H213" i="10"/>
  <c r="G213" i="10"/>
  <c r="F213" i="10"/>
  <c r="H212" i="10"/>
  <c r="G212" i="10"/>
  <c r="F212" i="10"/>
  <c r="H215" i="10"/>
  <c r="G215" i="10"/>
  <c r="F215" i="10"/>
  <c r="F226" i="10"/>
  <c r="E213" i="10"/>
  <c r="D213" i="10"/>
  <c r="C213" i="10"/>
  <c r="B213" i="10"/>
  <c r="E212" i="10"/>
  <c r="D212" i="10"/>
  <c r="C212" i="10"/>
  <c r="B212" i="10"/>
  <c r="E215" i="10"/>
  <c r="D215" i="10"/>
  <c r="C215" i="10"/>
  <c r="B215" i="10"/>
  <c r="H152" i="10"/>
  <c r="G151" i="10"/>
  <c r="H151" i="10" s="1"/>
  <c r="C151" i="10"/>
  <c r="D151" i="10" s="1"/>
  <c r="E151" i="10" s="1"/>
  <c r="F151" i="10" s="1"/>
  <c r="C69" i="10"/>
  <c r="C70" i="10" s="1"/>
  <c r="D45" i="10"/>
  <c r="D39" i="10"/>
  <c r="C175" i="10"/>
  <c r="C176" i="10" s="1"/>
  <c r="D168" i="10"/>
  <c r="D169" i="10" s="1"/>
  <c r="C119" i="10"/>
  <c r="C116" i="10" s="1"/>
  <c r="C117" i="10" s="1"/>
  <c r="D115" i="10"/>
  <c r="D119" i="10" s="1"/>
  <c r="C92" i="10"/>
  <c r="D92" i="10" s="1"/>
  <c r="H271" i="9"/>
  <c r="H272" i="9" s="1"/>
  <c r="F278" i="9"/>
  <c r="F277" i="9"/>
  <c r="F276" i="9"/>
  <c r="F247" i="9"/>
  <c r="F248" i="9" s="1"/>
  <c r="H241" i="9" s="1"/>
  <c r="H242" i="9" s="1"/>
  <c r="E211" i="9"/>
  <c r="F211" i="9" s="1"/>
  <c r="C211" i="9"/>
  <c r="D211" i="9" s="1"/>
  <c r="E207" i="9"/>
  <c r="C186" i="9"/>
  <c r="C183" i="9" s="1"/>
  <c r="C184" i="9" s="1"/>
  <c r="E186" i="9"/>
  <c r="D186" i="9"/>
  <c r="D182" i="9"/>
  <c r="E182" i="9" s="1"/>
  <c r="C152" i="9"/>
  <c r="C148" i="10" l="1"/>
  <c r="E115" i="10"/>
  <c r="E119" i="10" s="1"/>
  <c r="C96" i="10"/>
  <c r="C93" i="10" s="1"/>
  <c r="C94" i="10" s="1"/>
  <c r="E92" i="10"/>
  <c r="F92" i="10"/>
  <c r="D116" i="10"/>
  <c r="D183" i="9"/>
  <c r="D184" i="9" s="1"/>
  <c r="C208" i="9"/>
  <c r="C149" i="10" l="1"/>
  <c r="D148" i="10"/>
  <c r="D96" i="10"/>
  <c r="F96" i="10" s="1"/>
  <c r="G96" i="10" s="1"/>
  <c r="H96" i="10" s="1"/>
  <c r="D117" i="10"/>
  <c r="E116" i="10"/>
  <c r="E117" i="10" s="1"/>
  <c r="G92" i="10"/>
  <c r="E183" i="9"/>
  <c r="E184" i="9" s="1"/>
  <c r="C209" i="9"/>
  <c r="D208" i="9"/>
  <c r="D149" i="10" l="1"/>
  <c r="E148" i="10"/>
  <c r="D93" i="10"/>
  <c r="E96" i="10"/>
  <c r="D94" i="10"/>
  <c r="H92" i="10"/>
  <c r="D209" i="9"/>
  <c r="E208" i="9"/>
  <c r="E209" i="9" s="1"/>
  <c r="C437" i="9"/>
  <c r="C438" i="9" s="1"/>
  <c r="D430" i="9"/>
  <c r="D431" i="9" s="1"/>
  <c r="C411" i="9"/>
  <c r="D411" i="9" s="1"/>
  <c r="C391" i="9"/>
  <c r="C388" i="9" s="1"/>
  <c r="C389" i="9" s="1"/>
  <c r="D387" i="9"/>
  <c r="D391" i="9" s="1"/>
  <c r="C358" i="9"/>
  <c r="D358" i="9" s="1"/>
  <c r="D337" i="9"/>
  <c r="D338" i="9" s="1"/>
  <c r="D331" i="9"/>
  <c r="D327" i="9"/>
  <c r="E321" i="9"/>
  <c r="C315" i="9"/>
  <c r="E219" i="9"/>
  <c r="D194" i="9"/>
  <c r="D190" i="9"/>
  <c r="D165" i="9"/>
  <c r="D148" i="9"/>
  <c r="E149" i="10" l="1"/>
  <c r="F148" i="10"/>
  <c r="E93" i="10"/>
  <c r="F93" i="10"/>
  <c r="E94" i="10"/>
  <c r="F213" i="9"/>
  <c r="F228" i="9"/>
  <c r="C362" i="9"/>
  <c r="C359" i="9" s="1"/>
  <c r="C360" i="9" s="1"/>
  <c r="E358" i="9"/>
  <c r="F358" i="9"/>
  <c r="D152" i="9"/>
  <c r="E152" i="9" s="1"/>
  <c r="C149" i="9"/>
  <c r="E411" i="9"/>
  <c r="E387" i="9"/>
  <c r="C415" i="9"/>
  <c r="D388" i="9"/>
  <c r="E148" i="9"/>
  <c r="F149" i="10" l="1"/>
  <c r="G148" i="10"/>
  <c r="G149" i="10" s="1"/>
  <c r="G93" i="10"/>
  <c r="F94" i="10"/>
  <c r="D362" i="9"/>
  <c r="D359" i="9" s="1"/>
  <c r="D360" i="9"/>
  <c r="E391" i="9"/>
  <c r="E388" i="9" s="1"/>
  <c r="E389" i="9" s="1"/>
  <c r="F229" i="9"/>
  <c r="F152" i="9"/>
  <c r="E149" i="9"/>
  <c r="E150" i="9" s="1"/>
  <c r="F148" i="9"/>
  <c r="F411" i="9"/>
  <c r="G358" i="9"/>
  <c r="C150" i="9"/>
  <c r="D149" i="9"/>
  <c r="D150" i="9" s="1"/>
  <c r="D389" i="9"/>
  <c r="D415" i="9"/>
  <c r="E415" i="9" s="1"/>
  <c r="F415" i="9" s="1"/>
  <c r="G415" i="9" s="1"/>
  <c r="C412" i="9"/>
  <c r="H93" i="10" l="1"/>
  <c r="H94" i="10" s="1"/>
  <c r="G94" i="10"/>
  <c r="E362" i="9"/>
  <c r="E359" i="9" s="1"/>
  <c r="F362" i="9"/>
  <c r="G362" i="9" s="1"/>
  <c r="H362" i="9" s="1"/>
  <c r="G152" i="9"/>
  <c r="G149" i="9" s="1"/>
  <c r="F149" i="9"/>
  <c r="F150" i="9" s="1"/>
  <c r="H358" i="9"/>
  <c r="D412" i="9"/>
  <c r="C413" i="9"/>
  <c r="G148" i="9"/>
  <c r="F359" i="9" l="1"/>
  <c r="E360" i="9"/>
  <c r="G150" i="9"/>
  <c r="E412" i="9"/>
  <c r="D413" i="9"/>
  <c r="G359" i="9"/>
  <c r="F360" i="9"/>
  <c r="H359" i="9" l="1"/>
  <c r="H360" i="9" s="1"/>
  <c r="G360" i="9"/>
  <c r="F412" i="9"/>
  <c r="E413" i="9"/>
  <c r="F413" i="9" l="1"/>
  <c r="G416" i="9"/>
  <c r="K40" i="6" l="1"/>
  <c r="D39" i="6"/>
  <c r="G39" i="6" s="1"/>
  <c r="F38" i="6"/>
  <c r="N36" i="6"/>
  <c r="L32" i="6"/>
  <c r="N34" i="6"/>
  <c r="I34" i="6" s="1"/>
  <c r="N35" i="6"/>
  <c r="E35" i="6" s="1"/>
  <c r="F106" i="8"/>
  <c r="F105" i="8"/>
  <c r="F104" i="8"/>
  <c r="F107" i="8"/>
  <c r="F81" i="8"/>
  <c r="F82" i="8"/>
  <c r="F83" i="8"/>
  <c r="F84" i="8"/>
  <c r="F80" i="8"/>
  <c r="D85" i="8"/>
  <c r="F92" i="8" s="1"/>
  <c r="D66" i="8"/>
  <c r="D35" i="8"/>
  <c r="F35" i="8" s="1"/>
  <c r="F34" i="8" s="1"/>
  <c r="F213" i="7"/>
  <c r="D203" i="7"/>
  <c r="D205" i="7" s="1"/>
  <c r="F205" i="7" s="1"/>
  <c r="F204" i="7" s="1"/>
  <c r="D177" i="7"/>
  <c r="D179" i="7" s="1"/>
  <c r="F145" i="7"/>
  <c r="F144" i="7" s="1"/>
  <c r="D145" i="7"/>
  <c r="D149" i="7" s="1"/>
  <c r="E158" i="7" s="1"/>
  <c r="F112" i="7"/>
  <c r="D120" i="7" s="1"/>
  <c r="E112" i="7"/>
  <c r="D118" i="7" s="1"/>
  <c r="D112" i="7"/>
  <c r="D116" i="7" s="1"/>
  <c r="E84" i="7"/>
  <c r="D90" i="7" s="1"/>
  <c r="D84" i="7"/>
  <c r="D88" i="7" s="1"/>
  <c r="E67" i="7"/>
  <c r="E68" i="7" s="1"/>
  <c r="F85" i="8" l="1"/>
  <c r="F93" i="8" s="1"/>
  <c r="F94" i="8" s="1"/>
  <c r="E50" i="8"/>
  <c r="E51" i="8"/>
  <c r="D40" i="8"/>
  <c r="D209" i="7"/>
  <c r="E179" i="7"/>
  <c r="H176" i="7"/>
  <c r="D183" i="7"/>
  <c r="D159" i="7"/>
  <c r="D158" i="7"/>
  <c r="D160" i="7" s="1"/>
  <c r="D154" i="7"/>
  <c r="F149" i="7"/>
  <c r="D117" i="7"/>
  <c r="D119" i="7"/>
  <c r="D113" i="7"/>
  <c r="E113" i="7"/>
  <c r="F113" i="7"/>
  <c r="D89" i="7"/>
  <c r="D85" i="7"/>
  <c r="E85" i="7"/>
  <c r="E52" i="8" l="1"/>
  <c r="F40" i="8"/>
  <c r="F50" i="8"/>
  <c r="F209" i="7"/>
  <c r="F208" i="7" s="1"/>
  <c r="D215" i="7"/>
  <c r="F215" i="7" s="1"/>
  <c r="F214" i="7" s="1"/>
  <c r="I176" i="7"/>
  <c r="E183" i="7"/>
  <c r="E178" i="7"/>
  <c r="H177" i="7"/>
  <c r="H178" i="7" s="1"/>
  <c r="F148" i="7"/>
  <c r="E159" i="7"/>
  <c r="E160" i="7" s="1"/>
  <c r="F154" i="7"/>
  <c r="F159" i="7" s="1"/>
  <c r="F158" i="7"/>
  <c r="F39" i="8" l="1"/>
  <c r="F51" i="8"/>
  <c r="F52" i="8" s="1"/>
  <c r="I177" i="7"/>
  <c r="I178" i="7" s="1"/>
  <c r="E182" i="7"/>
  <c r="F153" i="7"/>
  <c r="F160" i="7"/>
  <c r="H97" i="5" l="1"/>
  <c r="H124" i="5"/>
  <c r="E117" i="5"/>
  <c r="H89" i="5"/>
  <c r="E81" i="5"/>
  <c r="H42" i="5"/>
  <c r="J154" i="4" l="1"/>
  <c r="J155" i="4"/>
  <c r="J151" i="4"/>
  <c r="K130" i="4"/>
  <c r="D130" i="4"/>
  <c r="B141" i="4" s="1"/>
  <c r="C130" i="4"/>
  <c r="B140" i="4" s="1"/>
  <c r="L129" i="4"/>
  <c r="L130" i="4" s="1"/>
  <c r="L144" i="4" s="1"/>
  <c r="H129" i="4"/>
  <c r="H130" i="4" s="1"/>
  <c r="F141" i="4" s="1"/>
  <c r="E127" i="4"/>
  <c r="E130" i="4" s="1"/>
  <c r="J126" i="4"/>
  <c r="J130" i="4" s="1"/>
  <c r="G123" i="4"/>
  <c r="G130" i="4" s="1"/>
  <c r="F140" i="4" s="1"/>
  <c r="F122" i="4"/>
  <c r="F130" i="4" s="1"/>
  <c r="F145" i="4" s="1"/>
  <c r="I121" i="4"/>
  <c r="I130" i="4" s="1"/>
  <c r="F148" i="4" s="1"/>
  <c r="H84" i="4"/>
  <c r="H83" i="4"/>
  <c r="H82" i="4"/>
  <c r="H81" i="4"/>
  <c r="C78" i="4"/>
  <c r="C81" i="4" s="1"/>
  <c r="G77" i="4"/>
  <c r="G75" i="4"/>
  <c r="C47" i="4"/>
  <c r="J152" i="4" l="1"/>
  <c r="J153" i="4" s="1"/>
  <c r="J156" i="4" s="1"/>
  <c r="J158" i="4" s="1"/>
  <c r="L143" i="4"/>
  <c r="L145" i="4"/>
  <c r="F149" i="4" s="1"/>
  <c r="F150" i="4" s="1"/>
  <c r="F142" i="4"/>
  <c r="B142" i="4"/>
  <c r="B153" i="4" s="1"/>
  <c r="H85" i="4"/>
  <c r="G76" i="4" s="1"/>
  <c r="G78" i="4"/>
  <c r="C82" i="4" s="1"/>
  <c r="C83" i="4" s="1"/>
  <c r="F153" i="4" l="1"/>
  <c r="D138" i="3" l="1"/>
  <c r="D130" i="3"/>
  <c r="D119" i="3"/>
  <c r="E118" i="3"/>
  <c r="D118" i="3"/>
  <c r="F118" i="3" s="1"/>
  <c r="F117" i="3"/>
  <c r="D117" i="3"/>
  <c r="E116" i="3"/>
  <c r="E119" i="3" s="1"/>
  <c r="D116" i="3"/>
  <c r="F116" i="3" s="1"/>
  <c r="D106" i="3"/>
  <c r="E95" i="3"/>
  <c r="D62" i="3"/>
  <c r="D44" i="3"/>
  <c r="D32" i="3"/>
  <c r="D31" i="3"/>
  <c r="D30" i="3"/>
  <c r="D29" i="3"/>
  <c r="E23" i="3"/>
  <c r="E22" i="3"/>
  <c r="E21" i="3"/>
  <c r="E24" i="3" s="1"/>
  <c r="H161" i="2"/>
  <c r="H160" i="2"/>
  <c r="C167" i="2"/>
  <c r="C169" i="2" s="1"/>
  <c r="C161" i="2"/>
  <c r="C160" i="2"/>
  <c r="D138" i="2"/>
  <c r="D111" i="2" s="1"/>
  <c r="D124" i="2"/>
  <c r="D128" i="2" s="1"/>
  <c r="D110" i="2"/>
  <c r="D108" i="2"/>
  <c r="D109" i="2" s="1"/>
  <c r="F91" i="2"/>
  <c r="F90" i="2"/>
  <c r="F89" i="2"/>
  <c r="F88" i="2"/>
  <c r="G87" i="2"/>
  <c r="E86" i="2"/>
  <c r="E85" i="2"/>
  <c r="I84" i="2"/>
  <c r="F83" i="2"/>
  <c r="E82" i="2"/>
  <c r="E81" i="2"/>
  <c r="H80" i="2"/>
  <c r="I79" i="2"/>
  <c r="I78" i="2"/>
  <c r="I77" i="2"/>
  <c r="I76" i="2"/>
  <c r="E75" i="2"/>
  <c r="I74" i="2"/>
  <c r="E73" i="2"/>
  <c r="F72" i="2"/>
  <c r="I71" i="2"/>
  <c r="H70" i="2"/>
  <c r="I69" i="2"/>
  <c r="H68" i="2"/>
  <c r="I67" i="2"/>
  <c r="I66" i="2"/>
  <c r="I65" i="2"/>
  <c r="I64" i="2"/>
  <c r="I63" i="2"/>
  <c r="E62" i="2"/>
  <c r="E61" i="2"/>
  <c r="H136" i="1"/>
  <c r="H135" i="1"/>
  <c r="D134" i="1"/>
  <c r="D133" i="1"/>
  <c r="D132" i="1"/>
  <c r="G131" i="1"/>
  <c r="F130" i="1"/>
  <c r="G129" i="1"/>
  <c r="G128" i="1"/>
  <c r="G127" i="1"/>
  <c r="G126" i="1"/>
  <c r="G125" i="1"/>
  <c r="G124" i="1"/>
  <c r="D123" i="1"/>
  <c r="D122" i="1"/>
  <c r="E121" i="1"/>
  <c r="E120" i="1"/>
  <c r="E119" i="1"/>
  <c r="D118" i="1"/>
  <c r="E117" i="1"/>
  <c r="D116" i="1"/>
  <c r="D115" i="1"/>
  <c r="D114" i="1"/>
  <c r="F90" i="1"/>
  <c r="F89" i="1"/>
  <c r="D33" i="3" l="1"/>
  <c r="H163" i="2"/>
  <c r="C162" i="2"/>
  <c r="C171" i="2" s="1"/>
  <c r="F119" i="3"/>
  <c r="D114" i="2"/>
  <c r="D117" i="2" s="1"/>
  <c r="D119" i="2" s="1"/>
  <c r="E148" i="2" s="1"/>
  <c r="E149" i="2" s="1"/>
  <c r="H168" i="2" s="1"/>
  <c r="H17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81" authorId="0" shapeId="0" xr:uid="{BF2D7800-7FDC-854E-AD14-287BFF2BFFF1}">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86" authorId="0" shapeId="0" xr:uid="{C868A52E-0607-C54C-840C-1F67E81633C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87" authorId="0" shapeId="0" xr:uid="{74EC6F8A-98AA-0543-B466-0AC92ED0C632}">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93" authorId="0" shapeId="0" xr:uid="{F25675BE-2E2C-0A44-B1DD-33297CA8C94F}">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94" authorId="0" shapeId="0" xr:uid="{7446E156-B498-FE4C-8E4B-92CE5CF6F35A}">
      <text>
        <r>
          <rPr>
            <b/>
            <sz val="10"/>
            <color rgb="FF000000"/>
            <rFont val="Tahoma"/>
            <family val="2"/>
          </rPr>
          <t xml:space="preserve">Dr. Tsaban:
</t>
        </r>
        <r>
          <rPr>
            <sz val="10"/>
            <color rgb="FF000000"/>
            <rFont val="Tahoma"/>
            <family val="2"/>
          </rPr>
          <t>אם</t>
        </r>
        <r>
          <rPr>
            <sz val="10"/>
            <color rgb="FF000000"/>
            <rFont val="Tahoma"/>
            <family val="2"/>
          </rPr>
          <t xml:space="preserve"> </t>
        </r>
        <r>
          <rPr>
            <sz val="10"/>
            <color rgb="FF000000"/>
            <rFont val="Tahoma"/>
            <family val="2"/>
          </rPr>
          <t>מנכים</t>
        </r>
        <r>
          <rPr>
            <sz val="10"/>
            <color rgb="FF000000"/>
            <rFont val="Tahoma"/>
            <family val="2"/>
          </rPr>
          <t xml:space="preserve"> </t>
        </r>
        <r>
          <rPr>
            <sz val="10"/>
            <color rgb="FF000000"/>
            <rFont val="Tahoma"/>
            <family val="2"/>
          </rPr>
          <t>מסך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וההון</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מקבלים</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ההון</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91" authorId="0" shapeId="0" xr:uid="{F70797B1-5194-D948-9002-EE122E0A61A9}">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96" authorId="0" shapeId="0" xr:uid="{39242F0B-C418-7540-9060-512E60F75EE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97" authorId="0" shapeId="0" xr:uid="{48E6721B-2BAF-D84F-B382-CB4FD4EAE0A9}">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103" authorId="0" shapeId="0" xr:uid="{3FE973F3-7D84-5648-A741-B196F0B61AF7}">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104" authorId="0" shapeId="0" xr:uid="{28258489-1D5B-AE4E-96C3-A8DA40A72623}">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sharedStrings.xml><?xml version="1.0" encoding="utf-8"?>
<sst xmlns="http://schemas.openxmlformats.org/spreadsheetml/2006/main" count="3206" uniqueCount="2010">
  <si>
    <t xml:space="preserve">מבוא לחשבונאות פיננסית </t>
  </si>
  <si>
    <t xml:space="preserve">ד״ר שי צבאן </t>
  </si>
  <si>
    <t>מייל: shay.tsaban@gmail.com</t>
  </si>
  <si>
    <t>טלפון: 050-6551519</t>
  </si>
  <si>
    <t>התנהלות הקורס:</t>
  </si>
  <si>
    <t>קובץ אקסל אחד ויחיד שכולל את כל ההגדרות, כל התרגילים, כל הפתרונות.</t>
  </si>
  <si>
    <t xml:space="preserve">כל גיליון אקסל משוייך לשיעור נפרד. </t>
  </si>
  <si>
    <t xml:space="preserve">ההקלטות עולות עד סוף היום שבו מתקיים השיעור. </t>
  </si>
  <si>
    <t xml:space="preserve">המחברת עולה (הקובץ המעודכן) - מיידית. </t>
  </si>
  <si>
    <t>בחינת הגמר בקורס:</t>
  </si>
  <si>
    <t xml:space="preserve">בחינה פתוחה - שאלות פתוחות, הצפי: שאלת מסה אחת גדולה, וכ-3-4 שאלות קטנות. </t>
  </si>
  <si>
    <t>שאלות פתוחות = לא אמריקאיות. כותבים תשובה במחברת. בודקים ומתחשבים בדרך.</t>
  </si>
  <si>
    <t>חומר עזר = נדון בהמשך.</t>
  </si>
  <si>
    <t>מהי החשבונאות הפיננסית, מהם תוצריה?</t>
  </si>
  <si>
    <t>החשבונאות הפיננסית מביטה בצורה פרקטית על ישות מדווחת:</t>
  </si>
  <si>
    <t xml:space="preserve">חברה (או למלכ״רים, ושותפויות...) - הדרך המקובלת ביותר לרישום משפטי של עסקים גדולים. </t>
  </si>
  <si>
    <t>ומעוניינת לספק מידע כספי שיעזור למשקיעים לקבל החלטה בדבר:</t>
  </si>
  <si>
    <t>השקעות בחברה (האם כדאי לרכוש את מניותיה).</t>
  </si>
  <si>
    <t>מתן אשראי לחברה (מוסדות פיננסיים כגון בנקים זקוקים למידע כדי להחליט על היקף ההלוואות</t>
  </si>
  <si>
    <t xml:space="preserve">ותנאיהן). </t>
  </si>
  <si>
    <t xml:space="preserve">כמובן שהמידע שהחשבונאות מייצרת משרת גם גורמים נוספים - כגון רשות המסים, הנהלה וכן הלאה. אך כל אלו </t>
  </si>
  <si>
    <t xml:space="preserve">גורמים משניים. </t>
  </si>
  <si>
    <t>המידע הבסיסי ביותר שמשקיעים ונותני אשראי</t>
  </si>
  <si>
    <t>ירצו לדעת לגבי חברה - הוא הרווח התקופתי שלה.</t>
  </si>
  <si>
    <t>הכנסות החברה</t>
  </si>
  <si>
    <t>+</t>
  </si>
  <si>
    <t xml:space="preserve">הוצאות </t>
  </si>
  <si>
    <t>(-)</t>
  </si>
  <si>
    <t>=</t>
  </si>
  <si>
    <t>רווח (חיובי) / הפסד (שלילי)</t>
  </si>
  <si>
    <t>דוח רווח והפסד - לתקופה (שנה)</t>
  </si>
  <si>
    <t>מידע מרכזי נוסף שמשקיעים ונותני האשראי מעוניינים</t>
  </si>
  <si>
    <r>
      <t xml:space="preserve">בו הוא </t>
    </r>
    <r>
      <rPr>
        <b/>
        <sz val="12"/>
        <color theme="1"/>
        <rFont val="David"/>
      </rPr>
      <t>המצב הכספי כרגע</t>
    </r>
    <r>
      <rPr>
        <sz val="12"/>
        <color theme="1"/>
        <rFont val="David"/>
      </rPr>
      <t xml:space="preserve">. </t>
    </r>
  </si>
  <si>
    <t>נכסים</t>
  </si>
  <si>
    <t>XXX</t>
  </si>
  <si>
    <t>התחייבויות</t>
  </si>
  <si>
    <t>הון עצמי</t>
  </si>
  <si>
    <t>ההון העצמי הוא למעשה ההפרש בין סך נכסי החברה</t>
  </si>
  <si>
    <t xml:space="preserve">לסך התחייבויותיה. </t>
  </si>
  <si>
    <t>הדוח על המצב הכספי (מאזן) - לנקודת זמן 31.12</t>
  </si>
  <si>
    <t>הבנה עמוקה יותר - באמצעות דוגמאות, של רכיבי הדיווח: הכנסות, הוצאות, נכסים, התחייבויות</t>
  </si>
  <si>
    <t xml:space="preserve">במהלך שנת 2024 העניקה החברה שירותי חימום נקניק ללקוח בשווי 70,000 ש״ח. </t>
  </si>
  <si>
    <t xml:space="preserve">התמורה צפויה להתקבל במזומן בשנת 2025. </t>
  </si>
  <si>
    <r>
      <rPr>
        <b/>
        <sz val="12"/>
        <color theme="1"/>
        <rFont val="David"/>
      </rPr>
      <t>דוגמא 1:</t>
    </r>
    <r>
      <rPr>
        <sz val="12"/>
        <color theme="1"/>
        <rFont val="David"/>
      </rPr>
      <t xml:space="preserve"> הייטק בע״מ היא חברה העוסקת בחימום נקניק. </t>
    </r>
  </si>
  <si>
    <t>א. 0</t>
  </si>
  <si>
    <t>ב. 70,000</t>
  </si>
  <si>
    <t>ג. לא ניתן לקבוע</t>
  </si>
  <si>
    <t>ד. 35,000</t>
  </si>
  <si>
    <t>ה. כל התשובות שגויות</t>
  </si>
  <si>
    <r>
      <t xml:space="preserve">נדרש: מהי </t>
    </r>
    <r>
      <rPr>
        <b/>
        <sz val="12"/>
        <color theme="1"/>
        <rFont val="David"/>
      </rPr>
      <t>ההכנסה</t>
    </r>
    <r>
      <rPr>
        <sz val="12"/>
        <color theme="1"/>
        <rFont val="David"/>
      </rPr>
      <t xml:space="preserve"> שתירשם, אם בכלל, בדוחות החברה בשנת 2024 בגין עסקה זו?</t>
    </r>
  </si>
  <si>
    <r>
      <t xml:space="preserve">המטרה של רישומי ההכנסה בחשבונאות </t>
    </r>
    <r>
      <rPr>
        <sz val="12"/>
        <color theme="1"/>
        <rFont val="David"/>
      </rPr>
      <t xml:space="preserve">היא לשקף את </t>
    </r>
    <r>
      <rPr>
        <b/>
        <sz val="12"/>
        <color theme="1"/>
        <rFont val="David"/>
      </rPr>
      <t>הביצועים</t>
    </r>
    <r>
      <rPr>
        <sz val="12"/>
        <color theme="1"/>
        <rFont val="David"/>
      </rPr>
      <t xml:space="preserve"> בחברה. </t>
    </r>
  </si>
  <si>
    <t xml:space="preserve">המטרה היא לייצר מידע שיבהיר מה החברה ״עשתה״. מהו הערך המוסף שהיא יצרה ללקוחות שלה. </t>
  </si>
  <si>
    <t xml:space="preserve">מהו היקף הפעילות. </t>
  </si>
  <si>
    <r>
      <t xml:space="preserve">בפשטות: הכנסות </t>
    </r>
    <r>
      <rPr>
        <b/>
        <u/>
        <sz val="12"/>
        <color theme="1"/>
        <rFont val="David"/>
      </rPr>
      <t>אינן</t>
    </r>
    <r>
      <rPr>
        <sz val="12"/>
        <color theme="1"/>
        <rFont val="David"/>
      </rPr>
      <t xml:space="preserve"> משקפות תקבולים (מזומן שהתקבל התקופה) אלא את היקף הפעילות - היקף המכירות ו/או</t>
    </r>
  </si>
  <si>
    <t xml:space="preserve">היקף מתן השירות שבוצע. </t>
  </si>
  <si>
    <t>הכנסות:</t>
  </si>
  <si>
    <t xml:space="preserve">שווי השירות שסופק / היקף המכירות שבוצע בתקופת הדיווח. </t>
  </si>
  <si>
    <t>התשובה: ב .</t>
  </si>
  <si>
    <r>
      <rPr>
        <b/>
        <sz val="12"/>
        <color theme="1"/>
        <rFont val="David"/>
      </rPr>
      <t>דוגמא 2:</t>
    </r>
    <r>
      <rPr>
        <sz val="12"/>
        <color theme="1"/>
        <rFont val="David"/>
      </rPr>
      <t xml:space="preserve"> בהמשך לנתוני דוגמא 1 (חברה שהעניקה שירותים ב-2024 בשווי 70,000 ש״ח) </t>
    </r>
  </si>
  <si>
    <t>מהו סכום ההכנסה שתרשום החברה בדוח רווח והפסד בשנת 2025?</t>
  </si>
  <si>
    <t>א. 70,000</t>
  </si>
  <si>
    <t>ב. 35,000</t>
  </si>
  <si>
    <t>ג. 0</t>
  </si>
  <si>
    <t>ד. לא ניתן לדעת</t>
  </si>
  <si>
    <t>ה. הכל שטויות - לך לחמם נקניק</t>
  </si>
  <si>
    <t xml:space="preserve">הניחו כי ב-2025 התקבל כל הסכום בסך 70,000 ש״ח במזומן, והחברה לא סיפקה שירותים נוספים. </t>
  </si>
  <si>
    <t xml:space="preserve">התשובה: ג. </t>
  </si>
  <si>
    <r>
      <t xml:space="preserve">הגדרנו במונחים חשבונאיים </t>
    </r>
    <r>
      <rPr>
        <b/>
        <sz val="12"/>
        <color theme="1"/>
        <rFont val="David"/>
      </rPr>
      <t>הכנסות</t>
    </r>
    <r>
      <rPr>
        <sz val="12"/>
        <color theme="1"/>
        <rFont val="David"/>
      </rPr>
      <t xml:space="preserve"> כערך המודד ביצועים / היקפי פעילות וספציפית - היקף המכירות ו/או מתן</t>
    </r>
  </si>
  <si>
    <r>
      <t xml:space="preserve">השירות. במקרה שבנדון, ב-2025 החברה </t>
    </r>
    <r>
      <rPr>
        <b/>
        <sz val="12"/>
        <color theme="1"/>
        <rFont val="David"/>
      </rPr>
      <t>לא סיפקה שירות</t>
    </r>
    <r>
      <rPr>
        <sz val="12"/>
        <color theme="1"/>
        <rFont val="David"/>
      </rPr>
      <t xml:space="preserve"> ולכן ההכנסות הן 0. </t>
    </r>
  </si>
  <si>
    <r>
      <rPr>
        <b/>
        <sz val="12"/>
        <color theme="1"/>
        <rFont val="David"/>
      </rPr>
      <t>דוגמא 3:</t>
    </r>
    <r>
      <rPr>
        <sz val="12"/>
        <color theme="1"/>
        <rFont val="David"/>
      </rPr>
      <t xml:space="preserve"> תעדו באופן מלא את ההשפעות של העסקה על הדיווחים ב-2024, 2025</t>
    </r>
  </si>
  <si>
    <t xml:space="preserve">ב-2024 החברה סיפקה שירות בשווי 70,000 וטרם גבתה. </t>
  </si>
  <si>
    <t>ב-2025 החברה גבתה את הכסף.</t>
  </si>
  <si>
    <t>הכנסות</t>
  </si>
  <si>
    <t>סיפקתי שירות, טרם קיבלתי כסף</t>
  </si>
  <si>
    <t>גביתי כסף, לא סיפקתי שירות</t>
  </si>
  <si>
    <t>נכס</t>
  </si>
  <si>
    <t>לקוחות</t>
  </si>
  <si>
    <t>אז בעצם מה זה מחדש:</t>
  </si>
  <si>
    <t>דיון זה מרחיב את מה שביצענו בדוגמאות קודמות, ומעבר לרישום ההכנסה הוא מסביר ״מה נוצר כתוצאה ממנה״.</t>
  </si>
  <si>
    <t xml:space="preserve">ספציפית ב-2024, כתוצאה מההכנסה (ממתן השירות) נוצר חוב של הלקוח כלפי החברה. </t>
  </si>
  <si>
    <t>מזומן</t>
  </si>
  <si>
    <t>ב-2025: נגבה המזומן (נכס המזומן גדל) ונכס הלקוחות (המשקף את חוב לקוחות החברה כלפיה) קטן באותו הסכום.</t>
  </si>
  <si>
    <t xml:space="preserve">אין מכירה נוספת או מתן שירות נוסף, ואין הכנסה נוספת. </t>
  </si>
  <si>
    <r>
      <rPr>
        <b/>
        <sz val="12"/>
        <color theme="1"/>
        <rFont val="David"/>
      </rPr>
      <t>חובות כלפי החברה</t>
    </r>
    <r>
      <rPr>
        <sz val="12"/>
        <color theme="1"/>
        <rFont val="David"/>
      </rPr>
      <t xml:space="preserve"> הם </t>
    </r>
    <r>
      <rPr>
        <b/>
        <sz val="12"/>
        <color theme="1"/>
        <rFont val="David"/>
      </rPr>
      <t>נכס</t>
    </r>
    <r>
      <rPr>
        <sz val="12"/>
        <color theme="1"/>
        <rFont val="David"/>
      </rPr>
      <t xml:space="preserve"> של החברה, </t>
    </r>
    <r>
      <rPr>
        <b/>
        <sz val="12"/>
        <color theme="1"/>
        <rFont val="David"/>
      </rPr>
      <t xml:space="preserve">ואם החוב הוא של לקוחות - </t>
    </r>
    <r>
      <rPr>
        <b/>
        <sz val="12"/>
        <color rgb="FFFF0000"/>
        <rFont val="David"/>
      </rPr>
      <t>נכס לקוחות</t>
    </r>
    <r>
      <rPr>
        <b/>
        <sz val="12"/>
        <color theme="1"/>
        <rFont val="David"/>
      </rPr>
      <t>.</t>
    </r>
  </si>
  <si>
    <t>סיכום ביניים לפני ההפסקה:</t>
  </si>
  <si>
    <t>מעבר לתפקיד הכללי של החשבונאות - אנחנו נזכור לעד שהכנסה היא לא מזומן אלא פעילות עסקית יוצרת ערך,</t>
  </si>
  <si>
    <t xml:space="preserve">כמו מכר או מתן שירות. לאור הבדל זה, ייתכנו מקרים רבים שבהם נרשום הכנסה ללא רישום תקבול מזומן ולהפך. </t>
  </si>
  <si>
    <t>נכס: פריט בבעלות החברה שצפוי להניב הטבות כלכליות. נכסים יכולים להיות פריטי רכוש קלאסיים, כמו מזומן,</t>
  </si>
  <si>
    <t>מכונות או ציוד, או חוב כלפי החברה (כמו נכס לקוחות). כמובן קיימים פריטים נוספים שנדבר עליהם בהמשך.</t>
  </si>
  <si>
    <t xml:space="preserve">אז תכל׳ס, מה החשבונאות הפיננסית מייצרת? אילו סוגים של מידע? (דוחות) - יש עוד... אלו הבסיסיים... :) </t>
  </si>
  <si>
    <t>דוגמא 4 - מיון ספציפי של ערכים לקטגוריות השונות (נכסים / התחייבויות / הכנסות / הוצאות)</t>
  </si>
  <si>
    <t>שם החשבון</t>
  </si>
  <si>
    <t>סכום כספי</t>
  </si>
  <si>
    <t>הוצאות</t>
  </si>
  <si>
    <t>מזומן (בקופה)</t>
  </si>
  <si>
    <t>עו״ש (מזומן בבנק)</t>
  </si>
  <si>
    <t>לקוחות [חוב כלפי החברה]</t>
  </si>
  <si>
    <t>ספקים [מחויבות של החברה]</t>
  </si>
  <si>
    <t>פקדונות לזמן קצר</t>
  </si>
  <si>
    <t>משיכת יתר (אוברדראפט)</t>
  </si>
  <si>
    <t>הלוואות לזמן קצר</t>
  </si>
  <si>
    <t>הלוואות לזמן ארוך</t>
  </si>
  <si>
    <t>מלאי שקיים במחסן 31.12</t>
  </si>
  <si>
    <t>מכונה לחימום נקניק</t>
  </si>
  <si>
    <t>הוצאות חשמל</t>
  </si>
  <si>
    <t>הוצאות טלפון</t>
  </si>
  <si>
    <t>הוצאות מסים</t>
  </si>
  <si>
    <t>הוצאות שכר</t>
  </si>
  <si>
    <t>הוצאות אחזקה</t>
  </si>
  <si>
    <t>הוצאות ריבית</t>
  </si>
  <si>
    <t>הכנסות משירות</t>
  </si>
  <si>
    <t>הוצאות שכירות</t>
  </si>
  <si>
    <t>נדל״ן להשקעה</t>
  </si>
  <si>
    <t>פטנטים (ידע מוגן ברשותי)</t>
  </si>
  <si>
    <t>השקעה בני״ע סחירים</t>
  </si>
  <si>
    <t>השקעת בעלים (בעלי מניות)</t>
  </si>
  <si>
    <t>רווח מצטבר (עודפים)</t>
  </si>
  <si>
    <t>הוצאות:</t>
  </si>
  <si>
    <t>באופן כללי, הגדרת דומה להכנסות בשינויים מתחייבים: הוצאות משקפות שווי משאבים או שירותים</t>
  </si>
  <si>
    <t xml:space="preserve">שנצרכו במהלך תקופת הדיווח. </t>
  </si>
  <si>
    <t>התחייבות: מחוייבות קיימת של החברה להוציא בעתיד הטבות כלכליות (לשלם או למסור הטבה אחרת). כגון</t>
  </si>
  <si>
    <t>הלוואות, התחייבות לספקים.</t>
  </si>
  <si>
    <t>כלכליות כאשר תגבה את המגיע לה. באופן כללי, נכס משקף זכות לקבל הטבות כלכליות, וחוב של לקוח כלפי החברה</t>
  </si>
  <si>
    <t>הוא בהתאם דוגמה לכך.</t>
  </si>
  <si>
    <t>בהתחייבות. שימו לב להבדל הלשוני: חוב כלפי החברה = נכס שלה, מחויבות של החברה שמובילה לצורך לשלם בעתיד = התחייבות.</t>
  </si>
  <si>
    <r>
      <rPr>
        <b/>
        <sz val="12"/>
        <color theme="1"/>
        <rFont val="David"/>
      </rPr>
      <t>מזומן בקופה</t>
    </r>
    <r>
      <rPr>
        <sz val="12"/>
        <color theme="1"/>
        <rFont val="David"/>
      </rPr>
      <t xml:space="preserve"> = שטרות ומטבעות. מדובר בנכס. </t>
    </r>
  </si>
  <si>
    <r>
      <rPr>
        <b/>
        <sz val="12"/>
        <color theme="1"/>
        <rFont val="David"/>
      </rPr>
      <t>עו״ש</t>
    </r>
    <r>
      <rPr>
        <sz val="12"/>
        <color theme="1"/>
        <rFont val="David"/>
      </rPr>
      <t xml:space="preserve"> = מזומן בבנק, מאד קרוב למזומן בקופה במהות, וגם זה, נכס. </t>
    </r>
  </si>
  <si>
    <r>
      <rPr>
        <b/>
        <sz val="12"/>
        <color theme="1"/>
        <rFont val="David"/>
      </rPr>
      <t>לקוחות</t>
    </r>
    <r>
      <rPr>
        <sz val="12"/>
        <color theme="1"/>
        <rFont val="David"/>
      </rPr>
      <t xml:space="preserve"> = חוב של לקוחות החברה כלפיה. המדובר בנכס, הואיל והחוב צפוי להוביל לכך שבעתיד החברה תקבל הטבות </t>
    </r>
  </si>
  <si>
    <r>
      <rPr>
        <b/>
        <sz val="12"/>
        <color theme="1"/>
        <rFont val="David"/>
      </rPr>
      <t>ספקים</t>
    </r>
    <r>
      <rPr>
        <sz val="12"/>
        <color theme="1"/>
        <rFont val="David"/>
      </rPr>
      <t xml:space="preserve"> = מחויבות של החברה להוציא הטבות כלכליות (לשלם או למסור הטבה כלכלית אחרת) לספקים שלה. מדובר</t>
    </r>
  </si>
  <si>
    <t xml:space="preserve">הפקדון ייפרע לעו״ש (יחד עם ריבית צבורה, בדרך כלל). </t>
  </si>
  <si>
    <r>
      <rPr>
        <b/>
        <sz val="12"/>
        <color theme="1"/>
        <rFont val="David"/>
      </rPr>
      <t>פקדונות לזמן קצר</t>
    </r>
    <r>
      <rPr>
        <sz val="12"/>
        <color theme="1"/>
        <rFont val="David"/>
      </rPr>
      <t xml:space="preserve"> = פקדון (פק״מ) בבנק הוא נכס. הוא משקף את זכותה של החברה לקבל בעתיד הטבה כלכלית כאשר</t>
    </r>
  </si>
  <si>
    <r>
      <rPr>
        <b/>
        <sz val="12"/>
        <color theme="1"/>
        <rFont val="David"/>
      </rPr>
      <t>משיכת יתר (אוברדראפט)</t>
    </r>
    <r>
      <rPr>
        <sz val="12"/>
        <color theme="1"/>
        <rFont val="David"/>
      </rPr>
      <t xml:space="preserve"> = מינוס בבנק. זו התחייבות כלפי הבנק. </t>
    </r>
  </si>
  <si>
    <t>בהתחייבות.ֿ</t>
  </si>
  <si>
    <r>
      <rPr>
        <b/>
        <sz val="12"/>
        <color theme="1"/>
        <rFont val="David"/>
      </rPr>
      <t>הלוואות לזמן ארוך</t>
    </r>
    <r>
      <rPr>
        <sz val="12"/>
        <color theme="1"/>
        <rFont val="David"/>
      </rPr>
      <t xml:space="preserve"> = הלוואות שמועד סילוקן (החזרתן) מעל שנה. למרות פרק הזמן המשמעותי עד להחזר, עדיין מדובר</t>
    </r>
  </si>
  <si>
    <r>
      <rPr>
        <b/>
        <sz val="12"/>
        <color theme="1"/>
        <rFont val="David"/>
      </rPr>
      <t>הלוואות לזמן קצר</t>
    </r>
    <r>
      <rPr>
        <sz val="12"/>
        <color theme="1"/>
        <rFont val="David"/>
      </rPr>
      <t xml:space="preserve"> = הלוואות שהחברה נטלה (לקחה) ואשר מועד סילוקן (החזרתן) עד שנה. זוהי התחייבות של החברה לשלם. </t>
    </r>
  </si>
  <si>
    <r>
      <rPr>
        <b/>
        <sz val="12"/>
        <color theme="1"/>
        <rFont val="David"/>
      </rPr>
      <t>מלאי</t>
    </r>
    <r>
      <rPr>
        <sz val="12"/>
        <color theme="1"/>
        <rFont val="David"/>
      </rPr>
      <t xml:space="preserve"> = נכס של החברה (פריט רכוש). ה-31.12 דן בכך שזהו ערך המלאי העדכני למועד הדיווח. </t>
    </r>
  </si>
  <si>
    <t xml:space="preserve">תקופה ממושכת ולהניב לה הטבות כלכליות וערך במהלך תקופה זו, הם בגדר נכס. </t>
  </si>
  <si>
    <r>
      <rPr>
        <b/>
        <sz val="12"/>
        <color theme="1"/>
        <rFont val="David"/>
      </rPr>
      <t>מכונה לחימום נקניק</t>
    </r>
    <r>
      <rPr>
        <sz val="12"/>
        <color theme="1"/>
        <rFont val="David"/>
      </rPr>
      <t xml:space="preserve"> = נכס. באופן כללי, מכונות, ציוד, כלי רכב, מבנים, ריהוט ופריטים דומים, שצפויים לשרת את החברה</t>
    </r>
  </si>
  <si>
    <t xml:space="preserve">שנצרכו. שימו לב, הוצאות אינן התחייבות, אלא שווי השירות שנצרך, ללא תלות במועד התשלום בעדו. </t>
  </si>
  <si>
    <r>
      <rPr>
        <b/>
        <sz val="12"/>
        <color theme="1"/>
        <rFont val="David"/>
      </rPr>
      <t>הוצאות חשמל, טלפון וכו׳</t>
    </r>
    <r>
      <rPr>
        <sz val="12"/>
        <color theme="1"/>
        <rFont val="David"/>
      </rPr>
      <t xml:space="preserve"> = כל פריטי ההוצאה (למעט חריגים שנגדיר בהמשך) משקפים שווי של שירותים או משאבים</t>
    </r>
  </si>
  <si>
    <t>הרחבות לגבי פריטים עיקריים:</t>
  </si>
  <si>
    <t>לחברה הטבות כלכליות, ובאופן כללי - כל ההשקעות שחברה מבצעת הן בגדר נכסים (שהרי תכלית ההשקעה היא</t>
  </si>
  <si>
    <t xml:space="preserve">לספק לחברה הטבה כלכלית בעתיד). </t>
  </si>
  <si>
    <r>
      <rPr>
        <b/>
        <sz val="12"/>
        <color theme="1"/>
        <rFont val="David"/>
      </rPr>
      <t>נדל״ן להשקעה</t>
    </r>
    <r>
      <rPr>
        <sz val="12"/>
        <color theme="1"/>
        <rFont val="David"/>
      </rPr>
      <t xml:space="preserve"> = נדל״ן המוחזק לשם השכרתו או לשם מכירתו ברווח בטווח הארוך. מדובר בנכס שצפוי להניב</t>
    </r>
  </si>
  <si>
    <t>מוצרים ייחודיים, לספק שירותים ייחודיים ובכך להניב ערך כלכלי. מדובר בסוג של נכס בלתי מוחשי.</t>
  </si>
  <si>
    <t xml:space="preserve">משמעם ניירות ערך שניתן לרכוש ולמכור בקלות בבורסה לניירות ערך. </t>
  </si>
  <si>
    <t xml:space="preserve">בעבר לא אומרת מהו הנכס שנוצר כתוצאה מכך ואיפה הכסף; זה רק אומר שבעבר, הוזרמו משאבים שמקורם </t>
  </si>
  <si>
    <t xml:space="preserve">בבעלים. השקעת בעלים לא יוצרת התחייבות של החברה, ולכן מדובר במקור מימון שמוגדר כהון עצמי. </t>
  </si>
  <si>
    <t>בחברה שאינם יוצרים התחייבות כלשהי, ולכן גם זה מקור מימון הוני (שכן ככלל, הון עצמי הוא כל מקור מימון שלא</t>
  </si>
  <si>
    <t xml:space="preserve">נובע מהתחייבות). </t>
  </si>
  <si>
    <r>
      <rPr>
        <b/>
        <sz val="12"/>
        <color theme="1"/>
        <rFont val="David"/>
      </rPr>
      <t>פטנטים =</t>
    </r>
    <r>
      <rPr>
        <sz val="12"/>
        <color theme="1"/>
        <rFont val="David"/>
      </rPr>
      <t xml:space="preserve"> ידע של החברה שמוגן בזכות שימוש בלעדית שלה. מדובר בנכס שכן בזכות הידע היא יכולה (בשאיפה) לייצר</t>
    </r>
  </si>
  <si>
    <r>
      <rPr>
        <b/>
        <sz val="12"/>
        <color theme="1"/>
        <rFont val="David"/>
      </rPr>
      <t>השקעה בניירות ערך סחירים =</t>
    </r>
    <r>
      <rPr>
        <sz val="12"/>
        <color theme="1"/>
        <rFont val="David"/>
      </rPr>
      <t xml:space="preserve"> כמו כל ההשקעות, המטרה היא להניב הטבה כלכלית ולכן זהו נכס. ניירות ערך סחירים</t>
    </r>
  </si>
  <si>
    <r>
      <rPr>
        <b/>
        <sz val="12"/>
        <color theme="1"/>
        <rFont val="David"/>
      </rPr>
      <t>השקעת בעלים =</t>
    </r>
    <r>
      <rPr>
        <sz val="12"/>
        <color theme="1"/>
        <rFont val="David"/>
      </rPr>
      <t xml:space="preserve"> כאשר בעלים משקיע בחברה, מדובר במקור מימון. כלומר, עצם העובדה שהבעלים ביצע השקעה </t>
    </r>
  </si>
  <si>
    <r>
      <rPr>
        <b/>
        <sz val="12"/>
        <color theme="1"/>
        <rFont val="David"/>
      </rPr>
      <t>רווח מצטבר = עודפים:</t>
    </r>
    <r>
      <rPr>
        <sz val="12"/>
        <color theme="1"/>
        <rFont val="David"/>
      </rPr>
      <t xml:space="preserve"> כאשר חברה פועלת שנים ארוכות, היא צוברת רווחים. הרווחים הם חלק ממקורות המימון העיקריים</t>
    </r>
  </si>
  <si>
    <t>שאלה 1</t>
  </si>
  <si>
    <t>סמנו את הטענה הנכונה:</t>
  </si>
  <si>
    <t>א. הכנסות נרשמות במועד קבלת התמורה בעדן במזומן.</t>
  </si>
  <si>
    <t>ב. הכנסות נרשמות במועד אספקת שירותים או מכירת מוצרים.</t>
  </si>
  <si>
    <t>ג. הכנסות נרשמות במועד שבו הבעלים של חברה משקיע בה.</t>
  </si>
  <si>
    <t>ד. תשובות ב ו-ג נכונות.</t>
  </si>
  <si>
    <t>ה. כל יתר התשובות שגויות.</t>
  </si>
  <si>
    <t>שאלה</t>
  </si>
  <si>
    <t>תשובה</t>
  </si>
  <si>
    <t>ב</t>
  </si>
  <si>
    <t>שאלה 2</t>
  </si>
  <si>
    <t>א. אם חברה מכרה מוצרים אך טרם קיבלה את התמורה, היא תכיר בהכנסות ובמקביל בעלייה במזומן.</t>
  </si>
  <si>
    <t>ב. אם חברה מכרה מוצרים אך טרם קיבלה את התמורה, היא תכיר בהכנסות ובמקביל בעלייה בנכס לקוחות.</t>
  </si>
  <si>
    <t>ג. אם חברה מכרה מוצרים וקיבלה תמורה מיד במועד המכירה, היא לא תכיר בהכנסה.</t>
  </si>
  <si>
    <t>שאלה 3</t>
  </si>
  <si>
    <t>א. מכונות, ציוד כלי רכב ומבנים הם ההון העצמי של החברה.</t>
  </si>
  <si>
    <t>ב. ריהוט הוא הוצאה.</t>
  </si>
  <si>
    <t>ג. הוצאות חשמל הן נכס.</t>
  </si>
  <si>
    <t>ד. השקעת בעלים היא התחייבות כלפי הבעלים.</t>
  </si>
  <si>
    <t>ה</t>
  </si>
  <si>
    <t>שאלה 4</t>
  </si>
  <si>
    <t>שאלות לבית (התשובות בהמשך):</t>
  </si>
  <si>
    <t>א. לקוחות הם התחייבות של החברה</t>
  </si>
  <si>
    <t>ב. ספקים הם נכס של החברה</t>
  </si>
  <si>
    <t>ג. מלאי שקיים במחסני החברה ב-31.12 של שנת הדיווח הוא הוצאה</t>
  </si>
  <si>
    <t>ד. השקעה בניירות ערך סחירים היא נכס</t>
  </si>
  <si>
    <t>ה. כל יתר התשובות שגויות</t>
  </si>
  <si>
    <t>ד</t>
  </si>
  <si>
    <t>שאלה 5</t>
  </si>
  <si>
    <t>חברה סיפקה שירות בשנת 2020 בשווי 40,000 ש״ח וגבתה עד לתום שנת 2020 במזומן סכום של 30,000 ש״ח.</t>
  </si>
  <si>
    <t>א. החברה תכיר בשנת 2020 בהכנסה בסך 30,000 ש״ח</t>
  </si>
  <si>
    <t>ב. החברה תכיר בשנת 2020 בהכנסה בסך 40,000 ש״ח</t>
  </si>
  <si>
    <t>ג. החברה תכיר בשנת 2020 בנכס לקוחות בסך 10,000 ש״ח</t>
  </si>
  <si>
    <t>ד. החברה תכיר בשנת 2020 בהכנסה בסך 10,000 ש״ח</t>
  </si>
  <si>
    <t>ה. תשובות ב ו-ג נכונות</t>
  </si>
  <si>
    <t>הרצאה 2 - עריכת דוחות כספיים מלאים והקשר בין רכיבי הדיווח</t>
  </si>
  <si>
    <t>תזכורת:</t>
  </si>
  <si>
    <t>במפגש הקודם עסקנו בהגדרות:</t>
  </si>
  <si>
    <t xml:space="preserve">כמו כן, התחלנו בסיווג ערכים שונים לקטגוריות אלו. </t>
  </si>
  <si>
    <t xml:space="preserve">והדיווח על תוצרי מידע מלאים. </t>
  </si>
  <si>
    <t>חברת ״פינוקיו המשודרג״ בע״מ היא חברה מסחרית העוסקת בשיווק מוצרי עץ להרכבה עצמית. החברה איננה</t>
  </si>
  <si>
    <t>נוהגת להחזיק במלאי.</t>
  </si>
  <si>
    <t>להלן יתרות כרטיסי חשבון רלוונטיים, כולם מעודכנים ליום 31.12.2020 אלא אם נאמר מפורשות אחרת:</t>
  </si>
  <si>
    <t>חשבון</t>
  </si>
  <si>
    <t>יתרה</t>
  </si>
  <si>
    <t>קופת מזומן - סניף המכירות</t>
  </si>
  <si>
    <t>קופת מזומן - הנהלה</t>
  </si>
  <si>
    <t>הוצאות פרסום - שילוט חוצות</t>
  </si>
  <si>
    <t>הוצאות פרסום - דיוור ישיר</t>
  </si>
  <si>
    <t>הכנסות ריבית</t>
  </si>
  <si>
    <t>הוצאות רכב</t>
  </si>
  <si>
    <t>רווח הון ממכירת רכוש קבוע</t>
  </si>
  <si>
    <t>עמלות בנק</t>
  </si>
  <si>
    <t xml:space="preserve">שיקים (המחאות) לקבל </t>
  </si>
  <si>
    <t>הוצאות ארנונה</t>
  </si>
  <si>
    <t>עמלת סוכני מכירות</t>
  </si>
  <si>
    <t>הוצאות שכר ומשכורות - שיווק</t>
  </si>
  <si>
    <t>הוצאות שכר ומשכורות - הנהלה</t>
  </si>
  <si>
    <t>מכירות</t>
  </si>
  <si>
    <t>מחשבים</t>
  </si>
  <si>
    <t>ציוד</t>
  </si>
  <si>
    <t>שיקים (המחאות) לפירעון</t>
  </si>
  <si>
    <t>עלות המכירות</t>
  </si>
  <si>
    <t>ריהוט - משרד המנכ״ל</t>
  </si>
  <si>
    <t>פטנטים</t>
  </si>
  <si>
    <t>הון עצמי ליום 1.1.2020</t>
  </si>
  <si>
    <t>ספקים</t>
  </si>
  <si>
    <t>זכאים אחרים</t>
  </si>
  <si>
    <t xml:space="preserve">נדרש: </t>
  </si>
  <si>
    <t>א. מיינו את רשימת הכרטיסים לנכסים / התחייבויות / הון / הכנסות / הוצאות.</t>
  </si>
  <si>
    <t xml:space="preserve">ב. ערכו את הדוח על המצב הכספי (מאזן) ואת דוח רווח והפסד לשנת 2020. </t>
  </si>
  <si>
    <r>
      <rPr>
        <b/>
        <sz val="12"/>
        <color theme="1"/>
        <rFont val="David"/>
      </rPr>
      <t>נכסים</t>
    </r>
    <r>
      <rPr>
        <sz val="12"/>
        <color theme="1"/>
        <rFont val="David"/>
      </rPr>
      <t xml:space="preserve"> - משאבים או חוב כלפי החברה;</t>
    </r>
  </si>
  <si>
    <r>
      <rPr>
        <b/>
        <sz val="12"/>
        <color theme="1"/>
        <rFont val="David"/>
      </rPr>
      <t>התחייבויות</t>
    </r>
    <r>
      <rPr>
        <sz val="12"/>
        <color theme="1"/>
        <rFont val="David"/>
      </rPr>
      <t xml:space="preserve"> - מחויבות להוציא הטבות (כגון כסף או הטבה אחרת). </t>
    </r>
  </si>
  <si>
    <r>
      <rPr>
        <b/>
        <sz val="12"/>
        <color theme="1"/>
        <rFont val="David"/>
      </rPr>
      <t>הכנסות</t>
    </r>
    <r>
      <rPr>
        <sz val="12"/>
        <color theme="1"/>
        <rFont val="David"/>
      </rPr>
      <t xml:space="preserve"> - פעילות עסקית יוצרת ערך (מכר או מתן שירות). </t>
    </r>
  </si>
  <si>
    <r>
      <rPr>
        <b/>
        <sz val="12"/>
        <color theme="1"/>
        <rFont val="David"/>
      </rPr>
      <t>הוצאות</t>
    </r>
    <r>
      <rPr>
        <sz val="12"/>
        <color theme="1"/>
        <rFont val="David"/>
      </rPr>
      <t xml:space="preserve"> - שווי שירותים או משאבים שנצרכו. </t>
    </r>
  </si>
  <si>
    <t>במפגש זה, נרצה (1) להמשיך ולתרגל את ההגדרות, ו (2) לעבור מרמת ההגדרה והסיווג הראשוני לרמת העריכה</t>
  </si>
  <si>
    <t>תרגיל מרכזי למפגש - סיווג ערכים כספיים לפי ההגדרות ועריכת דוחות כספיים מלאים</t>
  </si>
  <si>
    <t>פתרון סעיף א - מיון רשימת הערכים הכספיים הקיימת לנכסים, התחייבויות, הון עצמי, הכנסות והוצאות</t>
  </si>
  <si>
    <t>נכסים = משאבים או חוב כלפי החברה</t>
  </si>
  <si>
    <t>התחייבויות = מחויבות לשלם כגון הלוואות</t>
  </si>
  <si>
    <t>הכנסות = מכר או מתן שירות (פעילות יוצרת ערך)</t>
  </si>
  <si>
    <t>הוצאות = צריכת שירותים או משאבים</t>
  </si>
  <si>
    <t>הון עצמי = השקעת בעלים ורווחים שנצברו</t>
  </si>
  <si>
    <t>פתרון סעיף ב - עריכת דוחות כספיים על בסיס הסיווגים לעיל</t>
  </si>
  <si>
    <t xml:space="preserve">כל המטרה של הפעולה של המיון שביצענו לעיל - היא לסייע לנו לחדד מהם נכסים, מהן התחייבויות וכיו״ב. </t>
  </si>
  <si>
    <t>שמנו לב למשל, שישנם ערכים רבים שמשקפים הוצאות. ההוצאות הן שונות, מגוונות, ומייצגות פעילויות נפרדות.</t>
  </si>
  <si>
    <t>כשעורכים דוחות כספיים, אנחנו מעוניינים לתת למשקיעים את המידע בצורה מסודרת - לחלק את ההכנסות</t>
  </si>
  <si>
    <t xml:space="preserve">וההוצאות לקטגוריות, שיתנו משמעות גבוהה יותר לערכים. </t>
  </si>
  <si>
    <t>המעבר מ״סתם״ רשימת הכנסות והוצאות לחלוקה לקטגוריות שתאפשר הבנת המשמעות - היא התהליך</t>
  </si>
  <si>
    <t>חברת ״פינוקיו המשודרג״ בע״מ - דוח רווח והפסד לשנה שנסתיימה ב-31.12.2020</t>
  </si>
  <si>
    <r>
      <t xml:space="preserve">של עריכת הדוח שנקרא </t>
    </r>
    <r>
      <rPr>
        <b/>
        <sz val="12"/>
        <color theme="1"/>
        <rFont val="David"/>
      </rPr>
      <t>דוח רווח והפסד</t>
    </r>
    <r>
      <rPr>
        <sz val="12"/>
        <color theme="1"/>
        <rFont val="David"/>
      </rPr>
      <t xml:space="preserve">. להלן יוצג המבנה המתאים לדוח זה (רווח והפסד) בחברה העוסקת </t>
    </r>
  </si>
  <si>
    <t xml:space="preserve">במכירות (בהמשך נציג גם דוח רווח והפסד בחברה העוסקת במתן שירות). </t>
  </si>
  <si>
    <t>ש״ח</t>
  </si>
  <si>
    <t>עלות המכירות (עלות המכר)</t>
  </si>
  <si>
    <t>רווח גולמי</t>
  </si>
  <si>
    <t>הוצאות מכירה ושיווק</t>
  </si>
  <si>
    <t>הוצאות הנהלה וכלליות</t>
  </si>
  <si>
    <t>הכנסות אחרות</t>
  </si>
  <si>
    <t>הוצאות אחרות</t>
  </si>
  <si>
    <t>רווח תפעולי</t>
  </si>
  <si>
    <t>הוצאות מימון</t>
  </si>
  <si>
    <t>הכנסות מימון</t>
  </si>
  <si>
    <t>רווח לפני מסים על ההכנסה</t>
  </si>
  <si>
    <t>מסים על ההכנסה</t>
  </si>
  <si>
    <t>רווח נקי</t>
  </si>
  <si>
    <t>ביאור</t>
  </si>
  <si>
    <t>א</t>
  </si>
  <si>
    <t>ביאור א (פירוט) - סעיף הוצאות מכירה ושיווק</t>
  </si>
  <si>
    <t xml:space="preserve">הוצאות פרסום - דיוור ישיר </t>
  </si>
  <si>
    <t xml:space="preserve">ש״ח </t>
  </si>
  <si>
    <t>ביאור ב (פירוט) - סעיף הוצאות הנהלה וכלליות</t>
  </si>
  <si>
    <t>חברת ״פינוקיו המשודרג״ בע״מ - ייעוד הרווחים לשנה שנסתיימה ב-31.12.2020</t>
  </si>
  <si>
    <t>חברת ״פינוקיו המשודרג״ בע״מ - הדוח על המצב הכספי (מאזן) ליום 31.12.2020</t>
  </si>
  <si>
    <t xml:space="preserve">הדגשנו שההון העצמי כולל את השקעת הבעלים בתוספת רווחים שנצברו. </t>
  </si>
  <si>
    <t>בכל שנה שבה נוצרים רווחים בחברה - ההון העצמי גדל.</t>
  </si>
  <si>
    <t>הון עצמי לתחילת השנה 1.1.2020</t>
  </si>
  <si>
    <t>הוסף - השקעת בעלים השנה</t>
  </si>
  <si>
    <t>הוסף - רווח נקי השנה (השורה התחתונה ברווח והפסד)</t>
  </si>
  <si>
    <t>קבל - הון עצמי לתום השנה 31.12.2020</t>
  </si>
  <si>
    <t>הדוח על המצב הכספי מציג את ההרכב של הנכסים בחברה לתום השנה, ומולם את הרכב מקורות המימון שיצרו</t>
  </si>
  <si>
    <t xml:space="preserve">אותם: התחייבויות והון עצמי. </t>
  </si>
  <si>
    <t>התחייבויות והון עצמי</t>
  </si>
  <si>
    <t>נכסים שוטפים (עד שנה)</t>
  </si>
  <si>
    <t>נכסים לא שוטפים (מעל שנה)</t>
  </si>
  <si>
    <t>סך הנכסים</t>
  </si>
  <si>
    <t>התחייבויות שוטפות (עד שנה)</t>
  </si>
  <si>
    <t>התחייבויות לא שוטפות (מעל שנה)</t>
  </si>
  <si>
    <t>סך ההתחייבויות וההון העצמי</t>
  </si>
  <si>
    <t>לקוחות (כולל שיקים לקבל)</t>
  </si>
  <si>
    <t>סך הנכסים השוטפים</t>
  </si>
  <si>
    <t>רכוש קבוע (מוחשי, זמן ארוך)</t>
  </si>
  <si>
    <t>אשראי לזמן קצר (הלוואות ומשיכת יתר)</t>
  </si>
  <si>
    <t>ספקים (כולל שיקים לפירעון)</t>
  </si>
  <si>
    <t>סך ההתחייבויות השוטפות</t>
  </si>
  <si>
    <t>סך ההון העצמי (מייעוד הרווחים למעלה)</t>
  </si>
  <si>
    <t>זהו סכום ההון העצמי הכולל שיופיע במאזן לתום השנה</t>
  </si>
  <si>
    <t>סיכום למפגש מס׳ 2</t>
  </si>
  <si>
    <t xml:space="preserve">התחלנו בחזרה על סיווג לנכסים / התחייבויות / הון / הכנסות והוצאות; וחידדנו את ההגדרות (סיכום נוסף בכתב - </t>
  </si>
  <si>
    <t xml:space="preserve">אייצר עבורכם בהמשך היום). </t>
  </si>
  <si>
    <t>ולאחר הסיווג הראשוני, הצגנו את ה״תבנית״ לדיווח האמיתי למשקיעים - את החלוקה לקטגוריות של הכנסות והוצאות</t>
  </si>
  <si>
    <t xml:space="preserve">בדוח רווח והפסד, ואת הדוח על המצב הכספי (המאזן). </t>
  </si>
  <si>
    <t>במפגש הבא - נבצע תרגול נוסף בנושא, שיכלול התייחסות גם לעסקאות אמיתיות. כלומר: במקום לקבל את כל הערכים</t>
  </si>
  <si>
    <t>כנתונים, ופשוט לשייך אותם לדוחות - נקבל מידע על עסקאות, על אירועים כלכליים ממש, ניצור בעצמנו את הערכים</t>
  </si>
  <si>
    <t xml:space="preserve">ורק אז נערוך את הדוחות, בכך נשלים את התהליך החשבונאי בכללותו. </t>
  </si>
  <si>
    <t>ביאורים = פירוטים בדבר ההרכב ו/או המשמעות של סעיפים שונים בדוחות.</t>
  </si>
  <si>
    <t>מכירות (כולל התייחסות להנחה מסחרית)</t>
  </si>
  <si>
    <t>משקף את סך ההכנסות ממכירות המוצרים העיקריים בחברה.</t>
  </si>
  <si>
    <t>ההרכב:</t>
  </si>
  <si>
    <t>מכירות ״ברוטו״</t>
  </si>
  <si>
    <t>בניכוי הנחות מסחריות ללקוחות</t>
  </si>
  <si>
    <t>בניכוי החזרות מלקוחות</t>
  </si>
  <si>
    <t>מכירות ״נטו״ לצורך הצגה ברווח והפסד</t>
  </si>
  <si>
    <t>במקרה שלנו: אין נתונים על מכירות ברוטו / הנחות וכו׳, אלא סכום המכירות נטו נתון.</t>
  </si>
  <si>
    <t>למשל, אם היה נתון:</t>
  </si>
  <si>
    <t>מכירות, ברוטו</t>
  </si>
  <si>
    <t>החזרות מלקוחות</t>
  </si>
  <si>
    <t>הנחות מסחריות ללקוחות</t>
  </si>
  <si>
    <t>אז היינו מחשבים את המכירות נטו כך:</t>
  </si>
  <si>
    <t xml:space="preserve">כל העלויות שקשורות לפרסום המוצר, הפצתו ושיווקו. </t>
  </si>
  <si>
    <t>הוצאות פרסום - שיווק ישיר</t>
  </si>
  <si>
    <t xml:space="preserve">הוצאות שכר ומשכורות - שיווק </t>
  </si>
  <si>
    <t>סה״כ</t>
  </si>
  <si>
    <t>זוהי ברירת המחדל לכל ההוצאות שאינן כלולות בעלות המכר / מימון.</t>
  </si>
  <si>
    <t>מדובר בפריטי הכנסה חריגים, כאלו שמתרחשים לעתים רחוקות יחסית, ואינם חלק מליבת העיסוק</t>
  </si>
  <si>
    <t xml:space="preserve">של החברה. כאן, מדובר ברווח הון ממכירת רכוש קבוע (כגון מכירת רכב מנכ״ל). </t>
  </si>
  <si>
    <t>דוגמאות נוספות תכלולנה: רווח ממכירת מבנים / נדל״ן להשקעה, רווח מדמי שכירות, הכנסה חד פעמית</t>
  </si>
  <si>
    <t>מייעוץ בחברה מסחרית.</t>
  </si>
  <si>
    <t>הוצאות מימון (כולל התייחסות להנחת מזומן ולהבדל בינה לבין הנחה מסחרית ללקוח)</t>
  </si>
  <si>
    <t>באופן כללי, כוללות הוצאות מימון הוצאות פיננסיות כגון: הוצאות ריבית, הפסד מניירות ערך, עמלות בנק וכיוצא בזה.</t>
  </si>
  <si>
    <t>בנוסף, כוללות הוצאות המימון הנחות מזומן ללקוחות. מדוע? משום שכאשר חברה מעניקה הנחת מזומן, היא למעשה</t>
  </si>
  <si>
    <t>משלמת ללקוח בעד ״הקדמת התשלום״. לכן, הנחת מזומן ללקוח מאד דומה לריבית בגין הלוואה.</t>
  </si>
  <si>
    <t xml:space="preserve">זאת בשונה מהנחה ״מסחרית ללקוח״ שהיא הנחה ״כללית יותר״ ולכן מקוזז (מקטינה) את המכירות. </t>
  </si>
  <si>
    <t>הכנסות מימון:</t>
  </si>
  <si>
    <t>סוגי הנחות וסיווגן:</t>
  </si>
  <si>
    <t>הכנסות מימון כוללות הכנסות ריבית, רווח מהשקעה פיננסית (כגון השקעה במניות הנסחרות בבורסה).</t>
  </si>
  <si>
    <t>שנתתי</t>
  </si>
  <si>
    <t>שהתקבלה</t>
  </si>
  <si>
    <t>בנוסף, כוללות הכנסות המימון הנחות מזומן שהתקבלו מספקים. מדוע? משום שכאשר ספק מעניק לנו הנחת מזומן,</t>
  </si>
  <si>
    <t>ללקוח</t>
  </si>
  <si>
    <t>מספק</t>
  </si>
  <si>
    <t xml:space="preserve">הוא למעשה משלם לנו בעד זה ״שהקדמנו את התשלום לספק״. כלומר - הענקנו אשראי לספק. </t>
  </si>
  <si>
    <r>
      <t xml:space="preserve">הנחה </t>
    </r>
    <r>
      <rPr>
        <b/>
        <sz val="12"/>
        <color rgb="FF00B050"/>
        <rFont val="David"/>
      </rPr>
      <t>מסחרית</t>
    </r>
  </si>
  <si>
    <t>הקטנת</t>
  </si>
  <si>
    <t xml:space="preserve">לכן, ההטבה הנובעת מכך היא כעין הכנסת ריבית. </t>
  </si>
  <si>
    <t>ההכנסה</t>
  </si>
  <si>
    <t>הקניות</t>
  </si>
  <si>
    <t>ממכירות</t>
  </si>
  <si>
    <t>מספקים</t>
  </si>
  <si>
    <r>
      <t xml:space="preserve">הנחת </t>
    </r>
    <r>
      <rPr>
        <b/>
        <sz val="12"/>
        <color rgb="FFFF0000"/>
        <rFont val="David"/>
      </rPr>
      <t>מזומן</t>
    </r>
  </si>
  <si>
    <t>מימון</t>
  </si>
  <si>
    <t>לקוחות (נכס)</t>
  </si>
  <si>
    <t>לקוחות הם הנכס המייצג את חוב לקוחות החברה כלפיה. זהו נכס, משום שצפויה גבייה שלהם (שתכניס משאבים</t>
  </si>
  <si>
    <t xml:space="preserve">לחברה). </t>
  </si>
  <si>
    <t>סעיף הלקוחות בדוחות הכספיים יכול לכלול את הרכיבים הבאים:</t>
  </si>
  <si>
    <t>לקוחות (״ברוטו״)</t>
  </si>
  <si>
    <t>שיקים (המחאות) לקבל</t>
  </si>
  <si>
    <t>בניכוי הפרשה לחובות מסופקים (הלח״מ)</t>
  </si>
  <si>
    <t xml:space="preserve">לקוחות (״נטו״) = סעיף הלקוחות שיוצג </t>
  </si>
  <si>
    <t>במאזן</t>
  </si>
  <si>
    <t>גם שיקים לקבל הם חלק מהלקוחות, משום שמדובר בחוב לקוחות כלפינו, כל עוד השיק הדחוי שקיבלנו טרם נפרע.</t>
  </si>
  <si>
    <t>מהי המשמעות של ״הפרשה לחובות מסופקים״?</t>
  </si>
  <si>
    <r>
      <t xml:space="preserve">נערוך דיון נרחב בנושא ממש בקרוב בפרק שלם של הקורס. אבל על קצה המזלג: נניח שלקוחות חייבים לחברה </t>
    </r>
    <r>
      <rPr>
        <b/>
        <sz val="12"/>
        <color theme="1"/>
        <rFont val="David"/>
      </rPr>
      <t>100</t>
    </r>
    <r>
      <rPr>
        <sz val="12"/>
        <color theme="1"/>
        <rFont val="David"/>
      </rPr>
      <t xml:space="preserve"> מיליון ש״ח.</t>
    </r>
  </si>
  <si>
    <r>
      <t xml:space="preserve">אבל בשל קשיים בפירעון החוב (הלקוחות בקשיים פיננסיים) מעריכה הבאה שחלק של </t>
    </r>
    <r>
      <rPr>
        <b/>
        <sz val="12"/>
        <color theme="1"/>
        <rFont val="David"/>
      </rPr>
      <t>5</t>
    </r>
    <r>
      <rPr>
        <sz val="12"/>
        <color theme="1"/>
        <rFont val="David"/>
      </rPr>
      <t xml:space="preserve"> מיליון ש״ח ככל הנראה לא ייגבה.</t>
    </r>
  </si>
  <si>
    <t>החוב הבעייתי הזה נקרא ״הלח״מ״ - ראשי תיבות של ״הפרשה לחובות מסופקים״ = חובות שגבייתם מוטלת בספק.</t>
  </si>
  <si>
    <t>במקרה כזה, הלקוחות יוצגו במאזן בסכום של 95 מיליון.</t>
  </si>
  <si>
    <t>רכוש קבוע:</t>
  </si>
  <si>
    <t>מדובר בסעיף הכלול בנכסים הלא שוטפים, והוא מהווה את הסיכום של כלל הנכסים המוחשיים ארוכי הטווח בחברה.</t>
  </si>
  <si>
    <t>כגון: מכונות, ציוד, כלי רכב, מבנים, ריהוט, מחשבים וכיו״ב.</t>
  </si>
  <si>
    <t>במקרה שלנו:</t>
  </si>
  <si>
    <t>מעבר לערכים אלו, במידה וקיים נתון בגין פחת נצבר (לעתים מסומן בתור פחנ״צ), מדובר בנתון שיש לנכות מערך הפריטים</t>
  </si>
  <si>
    <t xml:space="preserve">כדי להגיע לאופן הצגתם כנכס רכוש קבוע בנכסי המאזן. </t>
  </si>
  <si>
    <t>נניח למשל שבנתוני השאלה היו מופיעים גם נתונים לגבי:</t>
  </si>
  <si>
    <t>פחת נצבר מחשבים:</t>
  </si>
  <si>
    <t>פחת נצבר ריהוט - מנכ״ל:</t>
  </si>
  <si>
    <t>פחנ״צ</t>
  </si>
  <si>
    <t>עלות</t>
  </si>
  <si>
    <t>פחת נצבר</t>
  </si>
  <si>
    <t>ערך נטו</t>
  </si>
  <si>
    <t>ריהוט</t>
  </si>
  <si>
    <t>להצגה</t>
  </si>
  <si>
    <t>שימו לב להבדל בין פחת נצבר שמקטין נכסים (נכסים במינוס) במאזן, לבין הוצאות פחת שהן הוצאה ברווח והפסד (הוצאות הנהלה וכלליות,</t>
  </si>
  <si>
    <t xml:space="preserve">אלא אם יש סיבה טובה להניח אחרת). </t>
  </si>
  <si>
    <t>נכסים בלתי מוחשיים:</t>
  </si>
  <si>
    <t>נכסים לא שוטפים שאינם פיזיים. דוגמאות נפוצות: פטנטים (ידע), זיכיון (זכות שימוש במותג), שמות מסחריים וכיוצא</t>
  </si>
  <si>
    <t>בזה. בשאלה הנדונה, מדובר בפטנטים בלבד:</t>
  </si>
  <si>
    <t>אשראי לזמן קצר:</t>
  </si>
  <si>
    <t xml:space="preserve">במהות, הלוואות לזמן קצר ומשיכת יתר (מינוס בבנק) הם סוגי אשראי מאד דומים. </t>
  </si>
  <si>
    <t xml:space="preserve">לכן, לטובת הצגה תמציתית לקורא הדוח, מקובל לאחד ביניהם. </t>
  </si>
  <si>
    <t>חשוב! הוספתי הסברים</t>
  </si>
  <si>
    <t>מאד מורחבים</t>
  </si>
  <si>
    <t>למשמעויות ולמושגים</t>
  </si>
  <si>
    <t>על בסיס התרגול שבוצע</t>
  </si>
  <si>
    <t>במפגש - בגיליון נפרד</t>
  </si>
  <si>
    <t>ששמו: ״הסברים להרצאה2״</t>
  </si>
  <si>
    <r>
      <rPr>
        <b/>
        <sz val="12"/>
        <color theme="1"/>
        <rFont val="David"/>
      </rPr>
      <t>הון עצמי</t>
    </r>
    <r>
      <rPr>
        <sz val="12"/>
        <color theme="1"/>
        <rFont val="David"/>
      </rPr>
      <t xml:space="preserve"> -  התמקדנו בהקשר להשקעת בעלים ורווחים שנצברו כמקור מימון הוני. </t>
    </r>
  </si>
  <si>
    <t>מעוניינים / מעוניינות בהסברים מלאים</t>
  </si>
  <si>
    <t>ומפורטים יותר, גם מבחינת ההגדרה</t>
  </si>
  <si>
    <t>וגם מבחינת ההתייחסות לסעיפים אחרים?</t>
  </si>
  <si>
    <t>אין בעיה. גשו לגיליון ״הסברים להרצאה 2״.</t>
  </si>
  <si>
    <t>מפגש מס׳ 3 - פקודות יומן</t>
  </si>
  <si>
    <t xml:space="preserve">מטרה משנית שאיתה נתחיל - המשך חיזוק וחידוד עלות המכר ורווח גולמי (והשפיצים של ההנחות - הנחות מזומן וכו׳). </t>
  </si>
  <si>
    <t>תחילה - העמקה לגבי עלות המכר ורווח גולמי</t>
  </si>
  <si>
    <t>(*)</t>
  </si>
  <si>
    <t>מכירות (מכירות המוצרים העיקריים בחברה) - הכנסות</t>
  </si>
  <si>
    <t>(**)</t>
  </si>
  <si>
    <t>עלות המכירות (עלות המוצרים שנמכרו) - הוצאה</t>
  </si>
  <si>
    <t>רווח גולמי - ההפרש בין המכירות לעלות המכר</t>
  </si>
  <si>
    <r>
      <rPr>
        <b/>
        <sz val="12"/>
        <color theme="0"/>
        <rFont val="David"/>
      </rPr>
      <t>,</t>
    </r>
    <r>
      <rPr>
        <b/>
        <sz val="12"/>
        <color theme="1"/>
        <rFont val="David"/>
      </rPr>
      <t>=</t>
    </r>
  </si>
  <si>
    <r>
      <t xml:space="preserve">רווח גולמי הוא הרווח </t>
    </r>
    <r>
      <rPr>
        <u/>
        <sz val="12"/>
        <color theme="1"/>
        <rFont val="David"/>
      </rPr>
      <t>הבסיסי ביותר</t>
    </r>
    <r>
      <rPr>
        <sz val="12"/>
        <color theme="1"/>
        <rFont val="David"/>
      </rPr>
      <t xml:space="preserve"> - המייצג את ההפרש בין ההכנסות העיקריות בחברה (ממכירות) </t>
    </r>
  </si>
  <si>
    <t>לבין העלות הבסיסית ביותר - עלות המוצרים שנמכרו.</t>
  </si>
  <si>
    <t>נפעל כעת להגדרת וחישוב כל אחדת מהסעיפים הבונים את הרווח הגולמי:</t>
  </si>
  <si>
    <t>מכירות (*) = מכירות נטו:</t>
  </si>
  <si>
    <t>עלות המכירות (**):</t>
  </si>
  <si>
    <t>מכירות ברוטו</t>
  </si>
  <si>
    <t>מלאי פתיחה</t>
  </si>
  <si>
    <t>מלאי לתחילת השנה</t>
  </si>
  <si>
    <t>קניות, נטו</t>
  </si>
  <si>
    <t>קניות בניכוי הנחות והחזרות</t>
  </si>
  <si>
    <r>
      <t xml:space="preserve">בניכוי הנחות </t>
    </r>
    <r>
      <rPr>
        <b/>
        <sz val="12"/>
        <color rgb="FFFF0000"/>
        <rFont val="David"/>
      </rPr>
      <t>מסחריות</t>
    </r>
    <r>
      <rPr>
        <sz val="12"/>
        <color theme="1"/>
        <rFont val="David"/>
      </rPr>
      <t xml:space="preserve"> ללקוחות / שנתתי</t>
    </r>
  </si>
  <si>
    <t>מלאי סגירה</t>
  </si>
  <si>
    <t>מלאי לתום השנה</t>
  </si>
  <si>
    <t>סך הכל מכירות נטו</t>
  </si>
  <si>
    <t>סך עלות המכר</t>
  </si>
  <si>
    <r>
      <t xml:space="preserve">הנחה מסחרית: כל הנחה </t>
    </r>
    <r>
      <rPr>
        <b/>
        <sz val="12"/>
        <color theme="1"/>
        <rFont val="David"/>
      </rPr>
      <t>שאיננה</t>
    </r>
    <r>
      <rPr>
        <sz val="12"/>
        <color theme="1"/>
        <rFont val="David"/>
      </rPr>
      <t xml:space="preserve"> הנחת מזומן.</t>
    </r>
  </si>
  <si>
    <t>הנחות מזומן הן הוצאות מימון / הכנסות מימון,</t>
  </si>
  <si>
    <t>נניח: לתחילת שנה 1.1.2020</t>
  </si>
  <si>
    <t>ואינן נכללות במכירות / בעלות המכירות.</t>
  </si>
  <si>
    <t>מלאי פתיחה בעלות 100 ש״ח</t>
  </si>
  <si>
    <t>מלאי פתיחה + קניות</t>
  </si>
  <si>
    <t>במהלך השנה 2020:</t>
  </si>
  <si>
    <t>קניות בהיקף 300 ש״ח</t>
  </si>
  <si>
    <t>איך ניתן לחלץ את X - עלות המלאי שיצא - עלות המכר?</t>
  </si>
  <si>
    <t>X = 100 + 300 - 120 = 280</t>
  </si>
  <si>
    <t>הוצאתי מלאי בהיקף X</t>
  </si>
  <si>
    <t>400-120=280</t>
  </si>
  <si>
    <t>או:</t>
  </si>
  <si>
    <t>בתום השנה 31.12.2020:</t>
  </si>
  <si>
    <t>מלאי סגירה בעלות 120 ש״ח</t>
  </si>
  <si>
    <t>עלות המכר</t>
  </si>
  <si>
    <r>
      <t xml:space="preserve">כדי להשלים את הדיון - ההגדרה האחרונה שנחדד היא </t>
    </r>
    <r>
      <rPr>
        <b/>
        <sz val="12"/>
        <color theme="1"/>
        <rFont val="David"/>
      </rPr>
      <t>קניות נטו</t>
    </r>
    <r>
      <rPr>
        <sz val="12"/>
        <color theme="1"/>
        <rFont val="David"/>
      </rPr>
      <t>:</t>
    </r>
  </si>
  <si>
    <t>קניות נטו:</t>
  </si>
  <si>
    <t>קניות ברוטו</t>
  </si>
  <si>
    <t>״קניות״</t>
  </si>
  <si>
    <t>הובלה למחסן</t>
  </si>
  <si>
    <t>החזרות לספקים</t>
  </si>
  <si>
    <r>
      <t xml:space="preserve">הנחות </t>
    </r>
    <r>
      <rPr>
        <b/>
        <sz val="12"/>
        <color theme="1"/>
        <rFont val="David"/>
      </rPr>
      <t>מסחריות</t>
    </r>
    <r>
      <rPr>
        <sz val="12"/>
        <color theme="1"/>
        <rFont val="David"/>
      </rPr>
      <t xml:space="preserve"> מספקים</t>
    </r>
  </si>
  <si>
    <t>שהתקבלו</t>
  </si>
  <si>
    <t xml:space="preserve">כל הנחה שאיננה הנחת מזומן. זכרו: הנחות מזומן הן בהוצאות / הכנסות מימון, </t>
  </si>
  <si>
    <t>סך הכל קניות נטו</t>
  </si>
  <si>
    <t>ואינן חלק מעלות המכירות / רווח גולמי.</t>
  </si>
  <si>
    <t>תרגולון - חשבו את הרווח הגולמי על בסיס הערכים הבאים:</t>
  </si>
  <si>
    <t xml:space="preserve">חשבון </t>
  </si>
  <si>
    <t>ערך כספי</t>
  </si>
  <si>
    <t>מכירות, נטו:</t>
  </si>
  <si>
    <r>
      <t xml:space="preserve">בניכוי הנחות </t>
    </r>
    <r>
      <rPr>
        <sz val="12"/>
        <color rgb="FFFF0000"/>
        <rFont val="David"/>
      </rPr>
      <t>מסחריות</t>
    </r>
    <r>
      <rPr>
        <sz val="12"/>
        <color theme="1"/>
        <rFont val="David"/>
      </rPr>
      <t xml:space="preserve"> ללקוחות</t>
    </r>
  </si>
  <si>
    <t>הוצאות הובלה ללקוחות</t>
  </si>
  <si>
    <r>
      <t xml:space="preserve">הנחות </t>
    </r>
    <r>
      <rPr>
        <sz val="12"/>
        <color rgb="FFFF0000"/>
        <rFont val="David"/>
      </rPr>
      <t>מזומן</t>
    </r>
    <r>
      <rPr>
        <sz val="12"/>
        <color theme="1"/>
        <rFont val="David"/>
      </rPr>
      <t xml:space="preserve"> ללקוחות</t>
    </r>
  </si>
  <si>
    <t>עלות המכירות:</t>
  </si>
  <si>
    <t>הנחות מזומן מספקים</t>
  </si>
  <si>
    <t>הנחות מסחריות מספקים</t>
  </si>
  <si>
    <r>
      <t xml:space="preserve">בתוספת קניות נטו </t>
    </r>
    <r>
      <rPr>
        <sz val="10"/>
        <color theme="1"/>
        <rFont val="David"/>
      </rPr>
      <t>(קניות ברוטו + הובלה למחסן, בניכוי הנחות מסחריות מספק והחזרות)</t>
    </r>
  </si>
  <si>
    <t xml:space="preserve">הוצאות הובלה למחסן </t>
  </si>
  <si>
    <t xml:space="preserve">50,000 + 8,000 - 1,000 - 7,000 = </t>
  </si>
  <si>
    <t>בניכוי מלאי סגירה</t>
  </si>
  <si>
    <t>מכירות נטו סה״כ</t>
  </si>
  <si>
    <t>סך עלות המכירות</t>
  </si>
  <si>
    <t>רווח גולמי:</t>
  </si>
  <si>
    <t>מכירות, נטו</t>
  </si>
  <si>
    <t>קניות ״ברוטו״</t>
  </si>
  <si>
    <t>בניכוי עלות המכירות</t>
  </si>
  <si>
    <t>בניכוי החזרות לספקים</t>
  </si>
  <si>
    <t>בניכוי הנחות מסחריות מספקים</t>
  </si>
  <si>
    <t>נעבור לנושא העיקרי (השיעור הכיתתי בפועל החל מכאן) - תיעוד חשבונאי בסיסי (פקודות יומן)</t>
  </si>
  <si>
    <t xml:space="preserve">עד כה - עסקנו בעריכת דיווחים כספיים - כאשר היתרות הכספיות (הערכים הכספיים מכל סוג) היו נתונות. </t>
  </si>
  <si>
    <t>כלומר, קיבלנו רשימה, וכל מה שהיינו צריכים לעשות זה לסווג (לשייך) את רכיבי הרשימה לדוחות השונים.</t>
  </si>
  <si>
    <t>כמובן שחלק מההבנה המלאה של המידע החשבונאי עוסקת לא רק בסיווג ושיוך - אלא גם בתיעוד עסקאות ספציפיות,</t>
  </si>
  <si>
    <t xml:space="preserve">על כלל ההיבטים שלהן. </t>
  </si>
  <si>
    <t xml:space="preserve">כל אירוע כלכלי בחברה, שעה שעה, יום יום, צריך לקבל ביטוי באופן מפורש וספציפי כדי לבטא את מכלול ההשפעות </t>
  </si>
  <si>
    <t xml:space="preserve">שנוצרו כתוצאה ממנו. </t>
  </si>
  <si>
    <r>
      <t xml:space="preserve">הדרך לתת ביטוי לעסקאות אלו חייבת לשמור על הזהות: </t>
    </r>
    <r>
      <rPr>
        <b/>
        <sz val="12"/>
        <color theme="1"/>
        <rFont val="David"/>
      </rPr>
      <t>נכסים = התחייבויות + הון עצמי</t>
    </r>
    <r>
      <rPr>
        <sz val="12"/>
        <color theme="1"/>
        <rFont val="David"/>
      </rPr>
      <t xml:space="preserve">. </t>
    </r>
  </si>
  <si>
    <t xml:space="preserve">הרישום איננו ״מתמטי״ טהור אלא מתבסס על טכניקה רישומית שנקראת ״פקודות יומן״ - Journal Entries. </t>
  </si>
  <si>
    <t xml:space="preserve">הרישום יבוצע מנקודת ראות החברה, ולחלק מכם ירגיש ״הפוך מההיגיון״. נדבר על זה, נדגים. </t>
  </si>
  <si>
    <t>נסח השאלה - לפניכם נתונים בדבר עסקאות שהתרחשו בחברה בשנה מסוימת:</t>
  </si>
  <si>
    <t>א. חברה הנפיקה 30,000 מניות בנות 2 ש״ח ערך נקוב כל אחת תמורת 60,000 ש״ח.</t>
  </si>
  <si>
    <t>ב. החברה לוותה 50,000 ש״ח כהלוואה ל-5 שנים שתסולק בתשלום אחד (קרן וריבית) בתום 5 השנים.</t>
  </si>
  <si>
    <t>ג. הריבית שנצברה (אך טרם שולמה) בגין אירוע ב עד לתום שנת הדיווח היא 3,000 ש״ח.</t>
  </si>
  <si>
    <t>ד. החברה העניקה שירותים בהיקף 40,000 ש״ח. סכום של 30,000 ש״ח התקבל במזומן, היתרה תתקבל בשנה הבאה.</t>
  </si>
  <si>
    <t>ה. החברה שילמה בעד הוצאות חשמל 5,000 ש״ח.</t>
  </si>
  <si>
    <t>ו. החברה שילמה בעד הוצאות תפעוליות 20,000 ש״ח.</t>
  </si>
  <si>
    <t>ז. החברה הפקידה בפיקדון בנקאי לזמן קצר 15,000 ש״ח.</t>
  </si>
  <si>
    <t xml:space="preserve">ח. הפקדון הבנקאי מסעיף (ז) לזמן קצר נפרע בסכום כולל של 16,000 ש״ח (קרן וריבית יחד). </t>
  </si>
  <si>
    <t>ט. החברה הכריזה דיבידנד בסכום של 5,000 ש״ח. הדיבידנד ישולם בשנה הבאה.</t>
  </si>
  <si>
    <t>פקדון 
לזמן קצר</t>
  </si>
  <si>
    <t>הלוואה ל-5 שנים</t>
  </si>
  <si>
    <t>ריבית לשלם</t>
  </si>
  <si>
    <t>דיבידנד 
לשלם</t>
  </si>
  <si>
    <t>הון מניות</t>
  </si>
  <si>
    <t>הוצאות (-)</t>
  </si>
  <si>
    <t>הכנסות +</t>
  </si>
  <si>
    <t>עודפים
(רווח מצטבר)</t>
  </si>
  <si>
    <t>א. הנפקת מניות - קבלת מזומן</t>
  </si>
  <si>
    <t>ב. נטילת הלוואה</t>
  </si>
  <si>
    <t>ג. צבירת ריבית בגין הלוואה</t>
  </si>
  <si>
    <t>ד. אספקת שירותים</t>
  </si>
  <si>
    <t>ה. הוצאות חשמל</t>
  </si>
  <si>
    <t>ו. הוצאות תפעוליות</t>
  </si>
  <si>
    <t>ז. הפקדה בפיקדון לזמן קצר</t>
  </si>
  <si>
    <t>ח. פירעון פיקדון</t>
  </si>
  <si>
    <t>ט. הכרזת דיבידנד</t>
  </si>
  <si>
    <t>מטרה עיקרית - תיעוד עסקאות מלא והשפעתן המקיפה על רכיבי הדיווח - ״זהות חשבונאית״.</t>
  </si>
  <si>
    <t xml:space="preserve">הוצאה זו משקפת את עלות המוצרים שמכרה החברה והיא אחת מההוצאות המרכזיות בחברה מסחרית (חברה שקונה ומוכרת). </t>
  </si>
  <si>
    <t xml:space="preserve">בתרגיל מהמפגש הקודם - עלות המכר (עלות המכירות) היתה נתונה. </t>
  </si>
  <si>
    <t xml:space="preserve">במקרים רבים אנחנו נצטרך לחשב / לחלץ / להסיק מהי עלות המכירות על בסיס ניתוח השינויים במלאי. </t>
  </si>
  <si>
    <t xml:space="preserve">זו המטרה של החלק הראשון של המפגש. </t>
  </si>
  <si>
    <r>
      <rPr>
        <b/>
        <sz val="12"/>
        <color theme="1"/>
        <rFont val="David"/>
      </rPr>
      <t>רקע</t>
    </r>
    <r>
      <rPr>
        <sz val="12"/>
        <color theme="1"/>
        <rFont val="David"/>
      </rPr>
      <t>: בדוח רווח והפסד שערכנו במפגש הקודם הצגנו את ההוצאה שנקראת ״</t>
    </r>
    <r>
      <rPr>
        <b/>
        <sz val="12"/>
        <color theme="1"/>
        <rFont val="David"/>
      </rPr>
      <t>עלות המכירות</t>
    </r>
    <r>
      <rPr>
        <sz val="12"/>
        <color theme="1"/>
        <rFont val="David"/>
      </rPr>
      <t xml:space="preserve">״. </t>
    </r>
  </si>
  <si>
    <t>הקונטקסט (היכן מופיעה העלות) - דוח רווח והפסד בחברה מסחרית (חברה שקונה ומוכרת) מתחיל בשורות הבאות:</t>
  </si>
  <si>
    <t>היה לי</t>
  </si>
  <si>
    <t>מצאתי</t>
  </si>
  <si>
    <t>בזבזתי</t>
  </si>
  <si>
    <t>?</t>
  </si>
  <si>
    <t>חזרתי עם</t>
  </si>
  <si>
    <r>
      <rPr>
        <b/>
        <sz val="12"/>
        <color theme="1"/>
        <rFont val="David"/>
      </rPr>
      <t>רווח גולמי:</t>
    </r>
    <r>
      <rPr>
        <sz val="12"/>
        <color theme="1"/>
        <rFont val="David"/>
      </rPr>
      <t xml:space="preserve"> מכירות בניכוי עלות המכירות. </t>
    </r>
  </si>
  <si>
    <t>מכירות (ברוטו)</t>
  </si>
  <si>
    <t>קניות (ברוטו)</t>
  </si>
  <si>
    <r>
      <t xml:space="preserve">הנחות </t>
    </r>
    <r>
      <rPr>
        <sz val="12"/>
        <color rgb="FFFF0000"/>
        <rFont val="David"/>
      </rPr>
      <t>מסחריות</t>
    </r>
    <r>
      <rPr>
        <sz val="12"/>
        <rFont val="David"/>
      </rPr>
      <t xml:space="preserve"> ללקוחות</t>
    </r>
  </si>
  <si>
    <t>תיעוד עסקאות באופן מלא = זהות חשבונאית:</t>
  </si>
  <si>
    <t>כלומר - הצגה מתמטית של כל עסקה לפי המשוואה: נכסים = התחייבויות + הון עצמי</t>
  </si>
  <si>
    <t xml:space="preserve">כאשר סוכמים את הערכים הכספיים בכל עמודה (בכל חשבון / כל סוג של ערך כספי) מקבלים את ערכי היתרות לדיווח. </t>
  </si>
  <si>
    <t xml:space="preserve">במלים אחרות - נוכל להשתמש בנתונים הסיכומיים בטבלה כדי לערוך את הדוח על המצב הכספי (המאזן) וכן את דוח רווח והפסד לשנת הדיווח. </t>
  </si>
  <si>
    <t>נכסים שוטפים</t>
  </si>
  <si>
    <t>נכסים לא שוטפים</t>
  </si>
  <si>
    <t>התחייבויות שוטפות</t>
  </si>
  <si>
    <t>התחייבויות לא שוטפות</t>
  </si>
  <si>
    <t xml:space="preserve">הון עצמי </t>
  </si>
  <si>
    <t>דיבידנד לשלם</t>
  </si>
  <si>
    <t>ההון העצמי כולל את השקעת הבעלים הראשונית (הון מניות)</t>
  </si>
  <si>
    <t xml:space="preserve">בתוספת הרווחים שנצברו. </t>
  </si>
  <si>
    <t>הרווחים שנצברו נקראים ״עודפים״ (או יתרת רווח) ואופן חישובם</t>
  </si>
  <si>
    <t>הוא כדלקמן:</t>
  </si>
  <si>
    <t>יתרת הפתיחה (לתחילת השנה) של הרווח המצטבר</t>
  </si>
  <si>
    <t>הפחת - דיבידנד השנה</t>
  </si>
  <si>
    <t>יתרת הסגירה (לתום השנה, לדיווח) של הרווח המצטבר</t>
  </si>
  <si>
    <t>בהיעדר נתונים אחרים - החברה הוקמה השנה</t>
  </si>
  <si>
    <t>הוסף - רווח נקי השנה (הכנסות בניכוי הוצאות)</t>
  </si>
  <si>
    <t xml:space="preserve">41,000 - 28,000 = </t>
  </si>
  <si>
    <t>יתרת רווח (עודפים)</t>
  </si>
  <si>
    <t xml:space="preserve">סך ההתחייבויות וההון </t>
  </si>
  <si>
    <r>
      <t xml:space="preserve">חברת ״אהבות ושקרים, שקרים ואהבות״ בע״מ - </t>
    </r>
    <r>
      <rPr>
        <b/>
        <sz val="18"/>
        <color theme="1"/>
        <rFont val="David"/>
      </rPr>
      <t>מאזן</t>
    </r>
    <r>
      <rPr>
        <b/>
        <sz val="12"/>
        <color theme="1"/>
        <rFont val="David"/>
      </rPr>
      <t xml:space="preserve"> - ליום 31.12.2020</t>
    </r>
  </si>
  <si>
    <t xml:space="preserve">דוח רווח והפסד בחברה למתן שירותים (שנדונה כאן) הוא פשוט יותר </t>
  </si>
  <si>
    <t>מזה שהוצג במפגש הקודם ומתאים לחברה שמוכרת מוצרים:</t>
  </si>
  <si>
    <t>הוצאות תפעוליות</t>
  </si>
  <si>
    <t>כאן אין</t>
  </si>
  <si>
    <r>
      <rPr>
        <b/>
        <sz val="18"/>
        <color theme="1"/>
        <rFont val="David"/>
      </rPr>
      <t>דוח רווח והפסד</t>
    </r>
    <r>
      <rPr>
        <b/>
        <sz val="12"/>
        <color theme="1"/>
        <rFont val="David"/>
      </rPr>
      <t xml:space="preserve"> לשנה שנסתיימה ב-31.12.2020</t>
    </r>
  </si>
  <si>
    <t>התרגיל</t>
  </si>
  <si>
    <t>חברת ״מקינטה הקטנה״ בע״מ (להלן: ״החברה״) היא חברה מסחרית העוסקת במגוון רחב של פעילויות עסקיות. להלן נתונים</t>
  </si>
  <si>
    <t>בדבר עסקאות ואירועים שהתרחשו בחברה בשנת הקמתה (החברה הוקמה ב-1.1.2018):</t>
  </si>
  <si>
    <t>א. החברה הנפיקה 200,000 מניות בנות 1 ש״ח ערך נקוב כל אחת בתמורה ל-200,000 ש״ח.</t>
  </si>
  <si>
    <t>ב. החברה נטלה הלוואות לזמן ארוך בסכום של 70,000 ש״ח.</t>
  </si>
  <si>
    <t>ג. החברה שילמה הוצאות ריבית בגין הלוואות לזמן ארוך בסך של 7,000 ש״ח.</t>
  </si>
  <si>
    <t>ד. החברה ביצעה קניות מספקים בעלות של 40,000 ש״ח. מתוך סכום זה, 10,000 ש״ח שולמו במזומן והיתרה טרם שולמה.</t>
  </si>
  <si>
    <t>ה. החברה ביצעה מכירות שכל כל הקניות - ללקוחות בהיקף של 100,000 ש״ח, מתוכן 44,000 ש״ח במזומן והיתרה באשראי לקוחות.</t>
  </si>
  <si>
    <t>ו. החברה שילמה הוצאות חשמל בסך 15,000 ש״ח.</t>
  </si>
  <si>
    <t>ז. החברה שילמה הוצאות פרסום בסך 4,000 ש״ח.</t>
  </si>
  <si>
    <t>ח. החברה רכשה מקבוקים לעובדי המשרד בסך 8,000 ש״ח.</t>
  </si>
  <si>
    <t>ט. החברה נטלה הלוואה לזמן קצר בסך 10,000 ש״ח.</t>
  </si>
  <si>
    <t>י. החברה שילמה הוצאות שכר ומשכורות כלליות בסך 20,000 ש״ח.</t>
  </si>
  <si>
    <t>נדרש:</t>
  </si>
  <si>
    <t>תזכורת - כללי יסוד:</t>
  </si>
  <si>
    <t>התחייבויות +</t>
  </si>
  <si>
    <t>הכנסות (+)</t>
  </si>
  <si>
    <t>נכסים
גידול-חובה
קיטון-זכות</t>
  </si>
  <si>
    <t>התחייבויות והון עצמי
גידול-בזכות
קיטון-חובה</t>
  </si>
  <si>
    <t>התחייבות:
הלוואה</t>
  </si>
  <si>
    <t>ערך בסוגריים = שלילי בחשבונאות.</t>
  </si>
  <si>
    <t>נכס המזומן קטן - זכות מזומן.</t>
  </si>
  <si>
    <t>לגבי הוצאות הריבית - זה נכון לומר שההוצאות גדלות; יחד עם זאת, יש לזכור - הוצאות מקטינות</t>
  </si>
  <si>
    <t xml:space="preserve">את הרווח ולכן גם את ההון העצמי. </t>
  </si>
  <si>
    <t xml:space="preserve">משום כך, תמיד הוצאות מקטינות בעקיפין את ההון העצמי, ותמיד תרשמנה בחובה. </t>
  </si>
  <si>
    <t>התחייבות:</t>
  </si>
  <si>
    <t>כאשר אנו נתקלים במונח ״קניות״, ללא תיאורים נוספים, מדובר בקניה ״שוטפת״ [לא של נכס ארוך טווח]</t>
  </si>
  <si>
    <t xml:space="preserve">ולכן יש לתעד הוצאה - בצד ההון העצמי בסימן שלילי (סוגריים = שלילי בחשבונאות). </t>
  </si>
  <si>
    <t>ההוצאה תירשם לפי סכום הקניה הכולל, ללא תלות במועד התשלום בפועל.</t>
  </si>
  <si>
    <t>המזומן קטן ב-10,000.</t>
  </si>
  <si>
    <t xml:space="preserve">בנוסף נוצרה התחייבות לשלם את ההפרש בין סכום הקניה (40,000) לבין תשלום המזומן (10,000) = 30,000. </t>
  </si>
  <si>
    <t>להתחייבות שנוצרת כנגד ספקי מוצר או שירות, נקרא ״ספקים״. לכן יש להגדיל התחייבות הנקראת ״ספקים״ בסכום זה.</t>
  </si>
  <si>
    <t>כשם שבנתון לגבי קניות - נרשום את כל סכום הקניה כהוצאה (אירוע ד),</t>
  </si>
  <si>
    <r>
      <t xml:space="preserve">כך בנתון לגבי מכירות - נרשום את כל סכום המכירה כהכנסה - וזאת: </t>
    </r>
    <r>
      <rPr>
        <u/>
        <sz val="12"/>
        <color theme="1"/>
        <rFont val="David"/>
      </rPr>
      <t>ללא תלות</t>
    </r>
    <r>
      <rPr>
        <sz val="12"/>
        <color theme="1"/>
        <rFont val="David"/>
      </rPr>
      <t xml:space="preserve"> במועד שבו מתקבל המזומן בעד המכירה.</t>
    </r>
  </si>
  <si>
    <t>הואיל וקיים פער בין סכום ההכנסה (המכירה):</t>
  </si>
  <si>
    <t>לסכום המזומן שהתקבל</t>
  </si>
  <si>
    <t>נוצר הפרש, המשקף חוב כלפי החברה = נכס לקוחות:</t>
  </si>
  <si>
    <t xml:space="preserve">100,000 - 44,000 = </t>
  </si>
  <si>
    <t>ח. החברה רכשה מקבוקים לעובדי המשרד בסך 8,000 ש״ח מתוכם שילמה במזומן 5,000 והיתרה באשראי ספקים.</t>
  </si>
  <si>
    <t>זכרו: סוגריים = מינוס בחשבונאות.</t>
  </si>
  <si>
    <r>
      <rPr>
        <b/>
        <sz val="12"/>
        <color theme="1"/>
        <rFont val="David"/>
      </rPr>
      <t>ראשית</t>
    </r>
    <r>
      <rPr>
        <sz val="12"/>
        <color theme="1"/>
        <rFont val="David"/>
      </rPr>
      <t>: המזומן ששולם מקטין את נכס המזומן:</t>
    </r>
  </si>
  <si>
    <r>
      <rPr>
        <b/>
        <sz val="12"/>
        <color theme="1"/>
        <rFont val="David"/>
      </rPr>
      <t>שנית</t>
    </r>
    <r>
      <rPr>
        <sz val="12"/>
        <color theme="1"/>
        <rFont val="David"/>
      </rPr>
      <t xml:space="preserve">: הואיל ומדובר ברכישה של פריט ״בר קיימא״ (שישרת את החברה תקופה ממושכת) - מלוא עלותו היא נכס מחשב: </t>
    </r>
    <r>
      <rPr>
        <b/>
        <sz val="12"/>
        <color theme="1"/>
        <rFont val="David"/>
      </rPr>
      <t>8,000</t>
    </r>
  </si>
  <si>
    <r>
      <rPr>
        <b/>
        <sz val="12"/>
        <color theme="1"/>
        <rFont val="David"/>
      </rPr>
      <t>שלישית</t>
    </r>
    <r>
      <rPr>
        <sz val="12"/>
        <color theme="1"/>
        <rFont val="David"/>
      </rPr>
      <t>: הואיל ועלות המחשב שנרכש גבוהה מהסכום ששולם, ההפרש מהווה התחייבות לספק המחשבים:</t>
    </r>
  </si>
  <si>
    <t>8,000 - 5,000 = 3,000</t>
  </si>
  <si>
    <t>הלוואה
לזמן קצר</t>
  </si>
  <si>
    <t>תעדו את כל העסקאות בזהות החשבונאית.</t>
  </si>
  <si>
    <t>החברה נטלה הלוואה לזמן ארוך בסכום של 300,000 ש"ח.</t>
  </si>
  <si>
    <t>ג</t>
  </si>
  <si>
    <t>ההלוואה מסעיף ב' נושאת ריבית שנתית בשיעור 10% לשנה. ההלוואה ניטלה בתחילת שנה, והריבית בגינה</t>
  </si>
  <si>
    <t>תשולם לראשונה ב-1.1 של השנה העוקבת (הבאה).</t>
  </si>
  <si>
    <t>החברה שילמה ב-1.1 של שנת הדיווח דמי ביטוח בסכום של 90,000 ש"ח ל-3 שנים, בתוקף החל מאותו מועד.</t>
  </si>
  <si>
    <t>החברה חתמה על הסכם לצריכת שירותי ייעוץ מחברת "פלפולי" לתקופה של 20 שנה, ושילמה עבור</t>
  </si>
  <si>
    <t>שנת הדיווח בעד הייעוץ שהתקבל סכום של 12,000 ש"ח.</t>
  </si>
  <si>
    <t>ו</t>
  </si>
  <si>
    <t>החברה רכשה מחשבים ניידים מסוג כרומבוק לעובדי המשרד בעלות כוללת של 85,000 ש"ח במזומן.</t>
  </si>
  <si>
    <t>ז</t>
  </si>
  <si>
    <t>החברה ביצעה שיפורים במושכר בעלות של 70,000 ש"ח במזומן.</t>
  </si>
  <si>
    <t>ח</t>
  </si>
  <si>
    <t>החברה העניקה ללקוחות שירותים במהלך השנה בסכום כולל של 700,000 ש"ח. מתוך סכום זה, גבתה</t>
  </si>
  <si>
    <t xml:space="preserve">במזומן 60%, והיתרה טרם נתקבלה (אשראי לקוחות). </t>
  </si>
  <si>
    <t>ט</t>
  </si>
  <si>
    <t>החברה שילמה עבור הוצאות טלפון שנתיות 14,000 ש"ח, עבור פרסום 22,000 ש"ח, עבור הוצאות תפעול 34,000 ש"ח.</t>
  </si>
  <si>
    <t>כל הסכומים שולמו במזומן עבור השירותים שנצרכו בשנת הדיווח.</t>
  </si>
  <si>
    <t>י</t>
  </si>
  <si>
    <t>החברה גבתה מלקוחותיה בגין השירות מסעיף ח' על חשבון החוב סכום של 44,000 ש"ח.</t>
  </si>
  <si>
    <t>יא</t>
  </si>
  <si>
    <t>החברה שילמה הוצאות ריבית בסך 14,000 ש"ח.</t>
  </si>
  <si>
    <t>יב</t>
  </si>
  <si>
    <t>החברה שילמה מסים עירוניים בסך 19,000 ש"ח וכן מסים על ההכנסה בסך 38,000 ש"ח.</t>
  </si>
  <si>
    <t>יג</t>
  </si>
  <si>
    <t>החברה הכריזה דיבידנד בסך 60,000 ש"ח ושילמה 40,000 ש"ח מתוכו עד לתום שנת הדיווח.</t>
  </si>
  <si>
    <t>מטלה להגשה לאחר מפגש 4 - תאריך אחרון להגשה 8.12.2024</t>
  </si>
  <si>
    <t>חברת ״הדוקטור״</t>
  </si>
  <si>
    <t xml:space="preserve">אור יהודה. להלן נתונים בדבר עסקאות ואירועים שהתרחשו בחברה בשנת הקמתה. </t>
  </si>
  <si>
    <t>החברה הנפיקה 30,000 מניות בנות 2 ש"ח ערך נקוב כל אחת תמורת 125,000 ש"ח.</t>
  </si>
  <si>
    <t xml:space="preserve">לאחר מכן, ערכו את הדוחות הכספיים המלאים על בסיס ריכוז הנתונים הנובע מהתיעוד. </t>
  </si>
  <si>
    <t>מפגש 4 - התמקדות ברכיבי דיווח ספציפיים בצד הנכסים: נכסים שוטפים - לקוחות והשקעות למסחר</t>
  </si>
  <si>
    <t>רקע:</t>
  </si>
  <si>
    <t>המפגשים הקודמים עסקו בעיקר בהגדרות: מהם נכסים, מהם התחייבויות, מהם הון עצמי - ובמידה רבה, מהן</t>
  </si>
  <si>
    <t xml:space="preserve">הכנסות והוצאות (שנמדדות על בסיס עיתוי הפעילות ולא על בסיס התקבול במזומן). </t>
  </si>
  <si>
    <t>במסגרת זאת עסקנו בהרבה מאד חומר הקשור להגדרות ולמבנה הדיווח, כדי לקבל יסודות חיוניים (ובכדי לחזק</t>
  </si>
  <si>
    <t xml:space="preserve">אותם, יש כעת סוף סוף מטלה להגשה לאחר שיעור זה). </t>
  </si>
  <si>
    <t>אבל מכאן והלאה אנחנו רוצים לעבוד קצת אחרת, יותר ברמת הרכיבים הספציפיים של הדוח, להבין אותם</t>
  </si>
  <si>
    <t>יותר לעומק ואת המשמעות העולה ממדידתם. בהתאם, אם הדוח על המצב הכספי (המאזן) נראה כך:</t>
  </si>
  <si>
    <t>סך ההתחייבויות וההון</t>
  </si>
  <si>
    <t xml:space="preserve">אני נמצא </t>
  </si>
  <si>
    <t>כאן!!!</t>
  </si>
  <si>
    <t>נכסים שוטפים הם נכסים שפרק הזמן הצפוי עד מיצוי ההטבה הכלכלית הגלומה בהם (צריכה, סיום שימוש, הפיכה</t>
  </si>
  <si>
    <t xml:space="preserve">למזומן) הנו שנה או פחות. </t>
  </si>
  <si>
    <t xml:space="preserve">דוגמאות לנכסים שוטפים הן רבות: מזומן, פקדונות והשקעות לזמן קצר, לקוחות, חייבים ומלאי, לצד דוגמאות </t>
  </si>
  <si>
    <t xml:space="preserve">נוספות. </t>
  </si>
  <si>
    <t>במסגרת הדיון בלקוחות, נציג אותם כחוב לקוחות החברה כלפיה, ונדון בהשפעה של סיכויי וסיכוני גבייה על ערכם.</t>
  </si>
  <si>
    <t>במסגרת הדיון בהשקעות למסחר, נבהיר את המשמעות המיוחדת שלהם ואת דרך המדידה הייחודית להם וההיגיון</t>
  </si>
  <si>
    <t xml:space="preserve">בבסיסה. </t>
  </si>
  <si>
    <t xml:space="preserve">כל ההגדרות והיישומים יובהרו דרך תרגילים רלוונטיים. </t>
  </si>
  <si>
    <t>נכסים שוטפים - מהם (וההדגמות בהן נעמיק בקורס - לקוחות והשקעות למסחר)</t>
  </si>
  <si>
    <t>נתחיל מלקוחות</t>
  </si>
  <si>
    <t>כל נכס משקף הטבה כלכלית צפויה.</t>
  </si>
  <si>
    <t xml:space="preserve">במקרה של נכס לקוחות (חוב לקוחות כלפי החברה) - ההטבה הצפויה היא הגבייה הצפויה מהלקוח. </t>
  </si>
  <si>
    <t>נשאלת השאלה, ומה לגבי מצבי אי גבייה? כשל פירעון הוא אמיתי ומתרחש בעסקים. כיצד נבטאו?</t>
  </si>
  <si>
    <t>בכך עוסק עיקר הדיון במדידת נכס הלקוחות.</t>
  </si>
  <si>
    <t>אנו בעצם נטען שכדי לשקף את נכס הלקוחות בצורה ראויה, שיש לה קשר ברור להטבה הכלכלית הצפויה ממנו,</t>
  </si>
  <si>
    <t xml:space="preserve">אנחנו חייבים לקבל מידע רלוונטי שמבהיר את סיכויי וסיכוני הגבייה. </t>
  </si>
  <si>
    <t>נכס הלקוחות למעשה יוצג לפי ההפרש בין הלקוחות ״ברוטו״ המהווים את החוב הכולל של לקוחות החברה כלפיה,</t>
  </si>
  <si>
    <t xml:space="preserve">לבין הערך הנאמד של החוב הבעייתי, זה שבגינו צפוי כשל גבייה. </t>
  </si>
  <si>
    <t>נכון ליום 31.12.2020 יתרת הלקוחות ברוטו בחברת ״קיבוצי״ בע״מ היא 400,000 ש״ח. בהתאם לנסיון העבר, מעריכה</t>
  </si>
  <si>
    <t xml:space="preserve">החברה כי לא תצליח לגבות 5% מסכום חוב זה. </t>
  </si>
  <si>
    <t>מהו הסכום שבו יוצג נכס הלקוחות בדוח על המצב הכספי (המאזן) בקבוצת הנכסים השוטפים של החברה למועד זה?</t>
  </si>
  <si>
    <t>שאלה 1 - הדגמה בסיסית מאד - נכס הלקוחות</t>
  </si>
  <si>
    <t>שאלה 2 - הדגמה מפורטת יותר והתייחסות להשפעה התוצאתית (הפסדי אשראי / הוצאה לחובות מסופקים)</t>
  </si>
  <si>
    <t>נכון ליום 31.12.2020 יתרת הלקוחות ברוטו בחברת ״דוקטור צבאן״ בע״מ היא 1,000,000 ש״ח. נכון למועד זה</t>
  </si>
  <si>
    <r>
      <t>נכס לקוחות</t>
    </r>
    <r>
      <rPr>
        <sz val="12"/>
        <color theme="1"/>
        <rFont val="David"/>
      </rPr>
      <t xml:space="preserve"> או </t>
    </r>
    <r>
      <rPr>
        <b/>
        <sz val="12"/>
        <color theme="1"/>
        <rFont val="David"/>
      </rPr>
      <t xml:space="preserve">לקוחות נטו </t>
    </r>
    <r>
      <rPr>
        <sz val="12"/>
        <color theme="1"/>
        <rFont val="David"/>
      </rPr>
      <t>בדוח על המצב הכספי:</t>
    </r>
  </si>
  <si>
    <t>החוב שצפוי להגבות, המחושב לפי ההפרש בין יתרת הלקוחות ברוטו לסך החוב הבעייתי</t>
  </si>
  <si>
    <t>ראשי תיבות של ״הפרשה לחובות מסופקים״ (מהרציונל של ״ספק אם נגבה״). זהו</t>
  </si>
  <si>
    <t xml:space="preserve">סך החובות הבעייתיים המוערך למועד הדיווח (שאותו ננכה מהלקוחות ברוטו). </t>
  </si>
  <si>
    <t>הוצאות הלח״מ / הוצאות הפסדי אשראי:</t>
  </si>
  <si>
    <r>
      <t xml:space="preserve">הלח״מ </t>
    </r>
    <r>
      <rPr>
        <sz val="12"/>
        <color theme="1"/>
        <rFont val="David"/>
      </rPr>
      <t>(לעתים נקרא גם הפרשה להפסדי אשראי):</t>
    </r>
  </si>
  <si>
    <t xml:space="preserve">סך ההוצאה הנובעת מעלייה במצבת החובות הבעייתיים במהלך שנת הדיווח. </t>
  </si>
  <si>
    <t xml:space="preserve">את אופן החישוב שלה נגדיר במסגרת ההמחשות הכמותיות בהמשך. </t>
  </si>
  <si>
    <t>מושגי יסוד - שווה לצלם ולהשאיר מול העיניים בזמן שפותרים:</t>
  </si>
  <si>
    <t>נאמד שיעור ההפרשה לחובות מסופקים לפי 5% מיתרת הלקוחות.</t>
  </si>
  <si>
    <t>נכון ליום 31.12.2021 יתרת הלקוחות ברוטו בחברה היא 1,800,000 ש״ח. נכון למועד זה נאמד שיעור ההפרשה</t>
  </si>
  <si>
    <t>לחובות מסופקים לפי 4% מיתרת הלקוחות.</t>
  </si>
  <si>
    <t>נדרש: מהי יתרת הלקוחות נטו (נכס הלקוחות) כפי שתוצג בדוח על המצב הכספי לתום כל אחת מהשנים, ומהן</t>
  </si>
  <si>
    <t>הוצאות ההלח״מ לשנת 2021?</t>
  </si>
  <si>
    <t>שאלה 3 - הדגמה מפורטת יותר והתייחסות להשפעה התוצאתית - להתנסות הכיתה</t>
  </si>
  <si>
    <t>לפניכם נתוני יתרות של הלקוחות ברוטו בחברת ״עדן״ בע״מ למועדים שונים:</t>
  </si>
  <si>
    <t>לקוחות, ברוטו</t>
  </si>
  <si>
    <t>עד ליום 31.12.2022 העריכה החברה את ההלח״מ לפי שיעור של 5% מיתרת הלקוחות. ב-31.12.2023 בעקבות הרעה</t>
  </si>
  <si>
    <t xml:space="preserve">במצב העסקים מעריכה החברה את ההלח״מ לפי שיעור של 8% מיתרת הלקוחות. </t>
  </si>
  <si>
    <t>הוצאות ההלח״מ לשנת 2022 ולשנת 2023?</t>
  </si>
  <si>
    <t xml:space="preserve">חברת ״טריפולי״ בע״מ הוקמה ב-1.1.2020. </t>
  </si>
  <si>
    <t>במהלך השנה, ביצעה מכירות בהיקף של 500,000 ש״ח, מתוכן 400,000 ש״ח במזומן והיתר באשראי.</t>
  </si>
  <si>
    <t>נכון ליום 31.12.2020 החברה מעריכה את שיעור ההלח״מ לפי 2% מיתרת הלקוחות.</t>
  </si>
  <si>
    <t>בשנת 2021, ביצעה החברה מכירות בהיקף של 800,000 ש״ח, מתוכן 300,000 באשראי והיתר במזומן.</t>
  </si>
  <si>
    <t>כמו כן גבתה מלקוחות בגין מכירות באשראי סכום של 230,000 ש״ח.</t>
  </si>
  <si>
    <t>נכון ליום 31.12.2021 החברה מעריכה את שיעור ההלח״מ לפי 3% מיתרת הלקוחות.</t>
  </si>
  <si>
    <t>בשנת 2022, ביצעה החברה מכירות באשראי בלבד בהיקף של 600,000 ש״ח.</t>
  </si>
  <si>
    <t>כמו כן גבתה מלקוחות בגין מכירות באשראי סכום של 620,000 ש״ח.</t>
  </si>
  <si>
    <t>נכון ליום 31.12.2022 החברה מעריכה את שיעור ההלח״מ לפי 4% מיתרת הלקוחות.</t>
  </si>
  <si>
    <t>בנוסף העניקה זיכויים ללקוחות בגין מכירות באשראי בסכום של 20,000 ש״ח.</t>
  </si>
  <si>
    <t xml:space="preserve">חשבו והציגו את יתרת הלקוחות ברוטו לתום כל אחת מהשנים, את יתרת ההלח״מ לתום כל אחת מהשנים, </t>
  </si>
  <si>
    <t xml:space="preserve">את הלקוחות נטו לתום כל אחת מהשנים ואת הוצאות ההלח״מ לכל אחת מהשנים. </t>
  </si>
  <si>
    <t>שאלה 4 - בנייה מאפס של נכס לקוחות בחברה, גלגול על פני שנים וחילוץ הוצאות הלח״מ (ללא חובות אבודים)</t>
  </si>
  <si>
    <t>שאלה 5 - בנייה מאפס של נכס לקוחות בחברה, גלגול על פני שנים וחילוץ הוצאות הלח״מ להתנסות כיתה</t>
  </si>
  <si>
    <t xml:space="preserve">חברת ״המתחתנת״ בע״מ הוקמה ב-1.1.2022. </t>
  </si>
  <si>
    <t>במהלך 2022, ביצעה מכירות בהיקף של 800,000 ש״ח, מתוכן 650,000 ש״ח במזומן והיתר באשראי.</t>
  </si>
  <si>
    <t>נכון ליום 31.12.2022 החברה מעריכה את שיעור ההלח״מ לפי 5% מיתרת הלקוחות.</t>
  </si>
  <si>
    <t>כמו כן גבתה מלקוחות בגין מכירות באשראי סכום של 400,000 ש״ח.</t>
  </si>
  <si>
    <t>שאלה 6 - חישוב יתרת הלקוחות וההלח״מ בהתייחס לחובות אבודים</t>
  </si>
  <si>
    <t xml:space="preserve">חברת ״טריפולי האבודה״ בע״מ הוקמה ב-1.1.2020. </t>
  </si>
  <si>
    <t>במהלך השנה, ביצעה מכירות בהיקף של 660,000 ש״ח, מתוכן 340,000 ש״ח במזומן והיתר באשראי.</t>
  </si>
  <si>
    <t>בשנת 2021, ביצעה החברה מכירות בהיקף של 500,000 ש״ח, מתוכן 200,000 באשראי והיתר במזומן.</t>
  </si>
  <si>
    <t>כמו כן גבתה מלקוחות בגין מכירות באשראי סכום של 220,000 ש״ח.</t>
  </si>
  <si>
    <t>בשנת 2022, ביצעה החברה מכירות באשראי בלבד בהיקף של 800,000 ש״ח.</t>
  </si>
  <si>
    <t>כמו כן גבתה מלקוחות בגין מכירות באשראי סכום של 440,000 ש״ח.</t>
  </si>
  <si>
    <t>בנוסף העניקה זיכויים ללקוחות בגין מכירות באשראי בסכום של 90,000 ש״ח.</t>
  </si>
  <si>
    <t xml:space="preserve">במהלך 2022 התגלה ונרשם חוב אבוד בסך 18,000 ש״ח. </t>
  </si>
  <si>
    <t>שאלה 7 - חישוב יתרת הלקוחות וההלח״מ בהתייחס לחובות אבודים - התנסות כיתה</t>
  </si>
  <si>
    <t xml:space="preserve">חברת ״ד״ר להב״ בע״מ הוקמה ב-1.1.2022. </t>
  </si>
  <si>
    <t>במהלך השנה, ביצעה מכירות בהיקף של 850,000 ש״ח, מתוכן 440,000 ש״ח באשראי והיתר במזומן.</t>
  </si>
  <si>
    <t xml:space="preserve">כמו כן העניקה החברה זיכויים ללקוחות שרכשו באשראי בסך 30,000 ש״ח. </t>
  </si>
  <si>
    <t>כמו כן גבתה מלקוחות בגין מכירות באשראי סכום של 270,000 ש״ח.</t>
  </si>
  <si>
    <t>בשנת 2023, ביצעה החברה מכירות בהיקף של 800,000 ש״ח, מתוכן 340,000 באשראי והיתר במזומן.</t>
  </si>
  <si>
    <t>נכון ליום 31.12.2023 החברה מעריכה את שיעור ההלח״מ לפי 8% מיתרת הלקוחות.</t>
  </si>
  <si>
    <t xml:space="preserve">במהלך 2023 התגלה ונרשם חוב אבוד בסך 25,000 ש״ח. </t>
  </si>
  <si>
    <t>סיכום ביניים בהיבט הדיון בלקוחות:</t>
  </si>
  <si>
    <r>
      <t xml:space="preserve">במפגש זה (והאמת - בקורס שלנו) נעסוק </t>
    </r>
    <r>
      <rPr>
        <b/>
        <sz val="12"/>
        <color theme="1"/>
        <rFont val="David"/>
      </rPr>
      <t>בלקוחות</t>
    </r>
    <r>
      <rPr>
        <sz val="12"/>
        <color theme="1"/>
        <rFont val="David"/>
      </rPr>
      <t xml:space="preserve"> ובהשקעות למסחר בהקשר לקבוצת הנכסים השוטפים. </t>
    </r>
  </si>
  <si>
    <t>פתרון:</t>
  </si>
  <si>
    <t>לקוחות ברוטו (החוב הכולל כלפי החברה)</t>
  </si>
  <si>
    <t xml:space="preserve">5% * 400,000 = </t>
  </si>
  <si>
    <r>
      <rPr>
        <b/>
        <sz val="12"/>
        <rFont val="David"/>
      </rPr>
      <t>בניכוי</t>
    </r>
    <r>
      <rPr>
        <b/>
        <sz val="12"/>
        <color rgb="FFFF0000"/>
        <rFont val="David"/>
      </rPr>
      <t xml:space="preserve"> ה</t>
    </r>
    <r>
      <rPr>
        <sz val="12"/>
        <color theme="1"/>
        <rFont val="David"/>
      </rPr>
      <t xml:space="preserve">פרשה </t>
    </r>
    <r>
      <rPr>
        <b/>
        <sz val="12"/>
        <color rgb="FFFF0000"/>
        <rFont val="David"/>
      </rPr>
      <t>לח</t>
    </r>
    <r>
      <rPr>
        <sz val="12"/>
        <color theme="1"/>
        <rFont val="David"/>
      </rPr>
      <t xml:space="preserve">ובות </t>
    </r>
    <r>
      <rPr>
        <b/>
        <sz val="12"/>
        <color rgb="FFFF0000"/>
        <rFont val="David"/>
      </rPr>
      <t>מ</t>
    </r>
    <r>
      <rPr>
        <sz val="12"/>
        <color theme="1"/>
        <rFont val="David"/>
      </rPr>
      <t>סופקים (חוב בעייתי)</t>
    </r>
  </si>
  <si>
    <t>לקוחות נטו - לקוחות ברוטו בניכוי הלח״מ</t>
  </si>
  <si>
    <t xml:space="preserve">400,000 - 20,000 = </t>
  </si>
  <si>
    <t xml:space="preserve">הסכום שיוצג כנכס לקוחות בקבוצת הנכסים השוטפים במאזן (הדוח על המצב הכספי) הוא 380,000. </t>
  </si>
  <si>
    <t xml:space="preserve">סכום זה משקף את הערך שהחברה צופה לגבות מלקוחותיה. </t>
  </si>
  <si>
    <t xml:space="preserve">לצד זאת, הרכיבים של החישוב לעיל כן יוצגו במסגרת הביאורים לדוחות (פירוטים נוספים). </t>
  </si>
  <si>
    <r>
      <t>בניכוי יתרת הלח״מ</t>
    </r>
    <r>
      <rPr>
        <sz val="10"/>
        <color theme="1"/>
        <rFont val="David"/>
      </rPr>
      <t xml:space="preserve"> (הפרשה לחובות מסופקים)</t>
    </r>
  </si>
  <si>
    <t>לקוחות, נטו</t>
  </si>
  <si>
    <t>חישוב לקוחות נטו (נכס שוטף במאזן):</t>
  </si>
  <si>
    <t>הוצאות הלח״מ:</t>
  </si>
  <si>
    <t>נכון ל-31/12/2020</t>
  </si>
  <si>
    <t>הלח״מ</t>
  </si>
  <si>
    <t>נכון ל-31/12/2021</t>
  </si>
  <si>
    <t>PN</t>
  </si>
  <si>
    <t>בעולם ללא חובות אבודים (שאליהם נתייחס בהמשך) - עלייה ביתרת ההלח״מ מתחילת השנה (סוף שנה קודמת)</t>
  </si>
  <si>
    <t>לסוף השנה הנוכחית - אלו הן הוצאות ההלח״מ.</t>
  </si>
  <si>
    <t>הוצאות ההלח״מ 2021 - עלייה בהלח״מ</t>
  </si>
  <si>
    <t>העובדה ש״עד ליום 31.12.2022״ שיעור ההלח״מ 5% משמעה, שגם ב-2021 וגם ב-2022 זה שיעור ההלח״מ.</t>
  </si>
  <si>
    <t>חישוב הוצאות הלח״מ:</t>
  </si>
  <si>
    <t>הוצאות הלח״מ</t>
  </si>
  <si>
    <t>הוצאות הלח״מ 2022</t>
  </si>
  <si>
    <t>הוצאות הלח״מ 2023</t>
  </si>
  <si>
    <t>כאשר אני מזהה שאלה שבה יתרת הלקוחות לא נתונה, אלא נדרשת לחישוב על בסיס נתונים / עסקאות / תיאורים</t>
  </si>
  <si>
    <t>מגוונים, אבנה לי נייר עבודה שכולל שתי עמודות עיקריות: שינויים בלקוחות ברוטו ושינויים בהלח״מ.</t>
  </si>
  <si>
    <t>לקוחות ברוטו</t>
  </si>
  <si>
    <t>תאריך</t>
  </si>
  <si>
    <t>תיאור</t>
  </si>
  <si>
    <t>הקמה</t>
  </si>
  <si>
    <t>מכירות באשראי</t>
  </si>
  <si>
    <t>יתרה לסוף השנה</t>
  </si>
  <si>
    <t xml:space="preserve">100,000 * 2% = </t>
  </si>
  <si>
    <t>גבייה מלקוחות</t>
  </si>
  <si>
    <t>זיכוי בגין מכר באשראי</t>
  </si>
  <si>
    <t>במידה ושואלים מהי יתרת הלקוחות נטו לתום כל אחת מהשנים:</t>
  </si>
  <si>
    <t>לקוחות, נטו (למאזן)</t>
  </si>
  <si>
    <t>חשבונאות ונופש בארץ ובעולם</t>
  </si>
  <si>
    <t>ההסבר באדיבות ליקו FIT</t>
  </si>
  <si>
    <r>
      <t xml:space="preserve">בשנת </t>
    </r>
    <r>
      <rPr>
        <b/>
        <sz val="12"/>
        <color rgb="FFFF0000"/>
        <rFont val="David"/>
      </rPr>
      <t>2023</t>
    </r>
    <r>
      <rPr>
        <sz val="12"/>
        <color theme="1"/>
        <rFont val="David"/>
      </rPr>
      <t>, ביצעה החברה מכירות בהיקף של 700,000 ש״ח, מתוכן 440,000 באשראי והיתר במזומן.</t>
    </r>
  </si>
  <si>
    <r>
      <t>נכון ליום 31.12.</t>
    </r>
    <r>
      <rPr>
        <b/>
        <sz val="12"/>
        <color rgb="FFFF0000"/>
        <rFont val="David"/>
      </rPr>
      <t>2023</t>
    </r>
    <r>
      <rPr>
        <sz val="12"/>
        <color theme="1"/>
        <rFont val="David"/>
      </rPr>
      <t xml:space="preserve"> החברה מעריכה את שיעור ההלח״מ לפי 7% מיתרת הלקוחות.</t>
    </r>
  </si>
  <si>
    <t>יתרות</t>
  </si>
  <si>
    <t>זיכויים</t>
  </si>
  <si>
    <t>חוב אבוד</t>
  </si>
  <si>
    <t>הכנסות מאספקת שירותים</t>
  </si>
  <si>
    <t>כלל ההוצאות - למעט מימון ומסים</t>
  </si>
  <si>
    <t>ההפרש בין הכנסות משירות להוצ׳ תפעוליות</t>
  </si>
  <si>
    <t xml:space="preserve">נדרש: תעדו באופן מפורט את כל העסקאות והאירועים. </t>
  </si>
  <si>
    <t>תחבר אותי לאחור:</t>
  </si>
  <si>
    <t>הוא מביא לידי ביטוי ״כמה חייבים לחברה״ (בעקבות מכירות שהיא ביצעה באשראי),</t>
  </si>
  <si>
    <t>נכס לקוחות הוא אחד מהנכסים החשובים ביותר בפירמות,</t>
  </si>
  <si>
    <t>ומה ההשפעות של סיכון כשל הגבייה על הערך של חוב זה.</t>
  </si>
  <si>
    <t>אופן הטיפול בתיעוד ומדידת הסעיף דורש:</t>
  </si>
  <si>
    <t>*</t>
  </si>
  <si>
    <t>**</t>
  </si>
  <si>
    <t>חישוב יתרת החוב הבעייתי = הלח״מ כאחוז (או אחוזים) מיתרת הלקוחות.</t>
  </si>
  <si>
    <t>***</t>
  </si>
  <si>
    <t>חילוץ השינוי בהלח״מ = הוצאות הלח״מ.</t>
  </si>
  <si>
    <t>חישוב יתרת הלקוחות ברוטו = החוב הכולל (מכירות באשראי, גבייה, וחובות אבודים).</t>
  </si>
  <si>
    <t>כך מבטאים את הלקוחות נטו (החוב שצפוי להגבות, נכס במאזן) ואת ההוצאה שנובעת מחובות בעייתיים (הוצאות</t>
  </si>
  <si>
    <t>הלח״מ).</t>
  </si>
  <si>
    <t>ברוטו</t>
  </si>
  <si>
    <t>הקמה (אין יתרות ראשוניות)</t>
  </si>
  <si>
    <t xml:space="preserve">5% * 410,000 = </t>
  </si>
  <si>
    <t xml:space="preserve">20,500 - 0 = </t>
  </si>
  <si>
    <t xml:space="preserve">8% * 455,000 = </t>
  </si>
  <si>
    <t xml:space="preserve">36,400 - (20,500 - 25,000) = </t>
  </si>
  <si>
    <t xml:space="preserve">באמצעות נייר העבודה לעיל, נוכל לדעת את יתרת הלקוחות ברוטו, את יתרת ההלח״מ (יתרת החוב הבעייתי) והוצאות ההלח״מ - </t>
  </si>
  <si>
    <t xml:space="preserve">ההוצאה לשנה הספציפית בלבד בדוח רווח והפסד בגין החובות הבעייתיים (בצהוב). </t>
  </si>
  <si>
    <t>כדי לדעת מהו הסכום שבו יוצג סעיף הלקוחות כנכס שוטף במאזן (בדוח על המצב הכספי) בסך הכל נפחית מהלקוחות ברוטו את</t>
  </si>
  <si>
    <t>יתרת ההלח״מ לכל מועד דיווח:</t>
  </si>
  <si>
    <t>לקוחות, נטו:</t>
  </si>
  <si>
    <t>לקוחות, ברו</t>
  </si>
  <si>
    <t>שאלה 8 - חישוב יתרת הלקוחות וההלח״מ בהתייחס לחובות אבודים - עם שיעורי הפרשה שונים (גיול חייבים)</t>
  </si>
  <si>
    <t>נכון ליום 31.12.2023 יתרת הלקוחות ברוטו בחברה היא 180,000 ש״ח. שיעור ההלח״מ למועד זה הוא 5%.</t>
  </si>
  <si>
    <t>במהלך 2024, נוצר גיוון משמעותי בתיק הלקוחות של החברה: היא החלה לבצע פעילות מול לקוחות שונים מהותית</t>
  </si>
  <si>
    <t>זה מזה, גם בהיבט מסוגלותם לשלם.</t>
  </si>
  <si>
    <t>להלן נתונים בדבר יתרות של סוגי לקוחות שונים בחברה לתום 2024:</t>
  </si>
  <si>
    <t>קבוצת לקוח</t>
  </si>
  <si>
    <t>סכום החוב</t>
  </si>
  <si>
    <t>שיעור הלח״מ</t>
  </si>
  <si>
    <t>בשנת 2024 נוצר ונרשם חוב אבוד בסך 4,000 ש״ח.</t>
  </si>
  <si>
    <t>בנתונים אלו:</t>
  </si>
  <si>
    <t>א. מהי יתרת ההלח״מ לתום 2024?</t>
  </si>
  <si>
    <t>ב. מהי יתרת הלקוחות נטו שיוצגו כנכס במאזן לתום 2024?</t>
  </si>
  <si>
    <t>ג. מהן הוצאות ההלח״מ לשנת 2024?</t>
  </si>
  <si>
    <t>בכדי לחשב את יתרת ההלח״מ במצב שבו לכל קבוצת לקוחות שיעור הלח״מ שונה - עלינו לכפול את חוב הלקוח</t>
  </si>
  <si>
    <t xml:space="preserve">בכל קבוצה בשיעור ההלח״מ הספציפי עבורה, ולסכום. </t>
  </si>
  <si>
    <t xml:space="preserve">0.5% * 50,000 = </t>
  </si>
  <si>
    <t xml:space="preserve">1% * 20,000 = </t>
  </si>
  <si>
    <t xml:space="preserve">1.2% * 10,000 = </t>
  </si>
  <si>
    <t xml:space="preserve">3% * 40,000 = </t>
  </si>
  <si>
    <t xml:space="preserve">10% * 80,000 = </t>
  </si>
  <si>
    <t>תשובה לסעיף א׳</t>
  </si>
  <si>
    <t>לפי ההפרש הפשוט בין סכום החוב הכולל ברוטו לבין ההלח״מ שחושב:</t>
  </si>
  <si>
    <t xml:space="preserve">200,000 - 9,770 = </t>
  </si>
  <si>
    <t xml:space="preserve">בשונה מהלקוחות ברוטו - שכוללים את כל העסקאות והאירועים שהתרחשו השנה (ולכן, יתרת הלקוחות </t>
  </si>
  <si>
    <r>
      <t xml:space="preserve">בסך 200,000 היא סופית ותקינה אם לא נאמר אחרת), הרי שבחילוץ הוצאות ההלח״מ - </t>
    </r>
    <r>
      <rPr>
        <b/>
        <sz val="12"/>
        <rFont val="David"/>
      </rPr>
      <t>חייבים</t>
    </r>
    <r>
      <rPr>
        <sz val="12"/>
        <rFont val="David"/>
      </rPr>
      <t xml:space="preserve"> לנתח</t>
    </r>
  </si>
  <si>
    <t>ולבדוק את כל השינויים.</t>
  </si>
  <si>
    <t xml:space="preserve">מדוע? לקוחות הם ערך לתום השנה; אם ערכו נתון לתום השנה - סיימנו. </t>
  </si>
  <si>
    <r>
      <t xml:space="preserve">הוצאות הלח״מ - בוחנות </t>
    </r>
    <r>
      <rPr>
        <b/>
        <sz val="12"/>
        <rFont val="David"/>
      </rPr>
      <t>שינוי</t>
    </r>
    <r>
      <rPr>
        <sz val="12"/>
        <rFont val="David"/>
      </rPr>
      <t xml:space="preserve"> מתחילת שנה, לכן חייבים לבצע תחשיב שיחלץ אותן. </t>
    </r>
  </si>
  <si>
    <t>יתרת פתיחה הלח״מ</t>
  </si>
  <si>
    <t>יתרת סגירה הלח״מ</t>
  </si>
  <si>
    <t xml:space="preserve">180,000 * 5% = </t>
  </si>
  <si>
    <t>חוב אבוד (*)</t>
  </si>
  <si>
    <t>נתון: בשנת 2024 נוצר ונרשם חוב אבוד בסך 4,000 ש״ח.</t>
  </si>
  <si>
    <t xml:space="preserve">9,770 - (9,000 - 4,000) = </t>
  </si>
  <si>
    <t>כפי שורודי ציינה:</t>
  </si>
  <si>
    <t>שני סוגים עיקריים של דיונים בלקוחות מלווים אותנו בקורס:</t>
  </si>
  <si>
    <t>א. דיון 1: אנו מתבססים על נתונים מפורטים לגבי עסקאות מול הלקוחות,</t>
  </si>
  <si>
    <t xml:space="preserve">כדי לזהות את יתרת החוב שלהם, וממנה לגזור את ההלח״מ וההוצאות. </t>
  </si>
  <si>
    <t>ב. דיון 2: אנו מתבססים על יתרות של חובות ידועים, מחשבים על בסיסם</t>
  </si>
  <si>
    <t xml:space="preserve">את ההלח״מ (בין אם על בסיס אחוז מסוים, או על בסיס חלוקה לקבוצות), </t>
  </si>
  <si>
    <t>ואז מנתחים את השינויים בהלח״מ כדי לקבוע את ההוצאות.</t>
  </si>
  <si>
    <t>היו חכמים</t>
  </si>
  <si>
    <t>היו ורודי</t>
  </si>
  <si>
    <r>
      <t xml:space="preserve">חברת ״הדוקטור״ הוקמה ב-1.1.2024 והיא עוסקת </t>
    </r>
    <r>
      <rPr>
        <sz val="12"/>
        <color rgb="FFFF0000"/>
        <rFont val="David"/>
      </rPr>
      <t>במתן שירותי הוראה וייעוץ כלכלי</t>
    </r>
    <r>
      <rPr>
        <sz val="12"/>
        <color rgb="FF000000"/>
        <rFont val="David"/>
      </rPr>
      <t>. בסיס האם של החברה הוא בעיר האורות</t>
    </r>
  </si>
  <si>
    <t>דוח רווח והפסד בחברה זו - בהתאם לחברה המעניקה שירותים (שורה 158 מפגש 3)</t>
  </si>
  <si>
    <t>אירוע</t>
  </si>
  <si>
    <t>הנפקת מניות במזומן</t>
  </si>
  <si>
    <r>
      <rPr>
        <b/>
        <sz val="12"/>
        <color theme="1"/>
        <rFont val="David"/>
      </rPr>
      <t>השקעת בעלים</t>
    </r>
    <r>
      <rPr>
        <sz val="12"/>
        <color theme="1"/>
        <rFont val="David"/>
      </rPr>
      <t xml:space="preserve">
</t>
    </r>
    <r>
      <rPr>
        <sz val="12"/>
        <color theme="0" tint="-0.249977111117893"/>
        <rFont val="David"/>
      </rPr>
      <t>הון מניות
ופרמיה</t>
    </r>
  </si>
  <si>
    <t>הנפקת מניות - הסבר קצר נוסף:</t>
  </si>
  <si>
    <t xml:space="preserve">כאשר מונפקות מניות בתמורה למזומן, אין זה משנה האם התמורה גבוהה או נמוכה - </t>
  </si>
  <si>
    <t xml:space="preserve">מקור המימון שיצר את המזומן הוא הון עצמי (השקעת בעלים). </t>
  </si>
  <si>
    <t>ומדוע נוצרים פערים בין מספר המניות או הסכום שלהן לגובה ההשקעה?</t>
  </si>
  <si>
    <t xml:space="preserve">זה כבר עניין של היצע וביקוש שהקורס לא מנתח. </t>
  </si>
  <si>
    <t>דיון בסעיפים המורכבים:</t>
  </si>
  <si>
    <t>תתעדו לבד</t>
  </si>
  <si>
    <t>צבירת ריבית (שטרם שולמה)</t>
  </si>
  <si>
    <t>צבירת ריבית שטרם שולמה בגין הלוואה - הסבר נוסף:</t>
  </si>
  <si>
    <t>כאשר ריבית נצברת בגין הלוואה שנטלתי - הריבית הזו, שנצברה</t>
  </si>
  <si>
    <t>השנה, מהווה הוצאה של השנה - וזאת ללא תלות בתשובה לשאלה</t>
  </si>
  <si>
    <t>האם הריבית שולמה השנה או לא.</t>
  </si>
  <si>
    <t xml:space="preserve">זכרו: הוצאה היא שווי שירות שנצרך. </t>
  </si>
  <si>
    <t xml:space="preserve">אם נצברה ריבית השנה = שווי שירותי אשראי שנצרכו. </t>
  </si>
  <si>
    <t>לכן, יש כאן הוצאות ריבית.</t>
  </si>
  <si>
    <t xml:space="preserve">לצד רישום ההוצאה, הואיל וטרם שולמה, יש להכיר בהתחייבות </t>
  </si>
  <si>
    <t>בסכום זהה.</t>
  </si>
  <si>
    <t>ריבית
לשלם</t>
  </si>
  <si>
    <t>תשלום ביטוח ל-3 שנים</t>
  </si>
  <si>
    <t>תשלום דמי ביטוח ל-3 שנים - הסבר נוסף:</t>
  </si>
  <si>
    <t>ראשית, כל הסכום ששולם במזומן - מקטין את נכס המזומן.</t>
  </si>
  <si>
    <t>שנית, עלינו לזכור: הוצאה משקפת את שווי השירות שנצרך בשנת הדיווח.</t>
  </si>
  <si>
    <t xml:space="preserve">הסכום הכולל של 90,000 ש״ח הוא בגין ביטוח ל-3 שנים. </t>
  </si>
  <si>
    <t>האם נכון לומר שצרכנו 3 שנים של שירות בשנה הנדונה?</t>
  </si>
  <si>
    <t>ודאי שלא. היקף השירות שנצרך הוא שנה אחת מתוך 3 קרי 1/3 מהסכום הכולל.</t>
  </si>
  <si>
    <t>לכן ההוצאה היא 1/3 מהסכום:</t>
  </si>
  <si>
    <t>1/3 * 90,000 = 30,000</t>
  </si>
  <si>
    <t>נכס
ביטוח מראש</t>
  </si>
  <si>
    <t>כאשר חברה משלמת סכום גבוה (90,000) וצורכת רק חלק ממנו (30,000)</t>
  </si>
  <si>
    <t xml:space="preserve">ההפרש משקף חוב של הספק כלפי החברה. </t>
  </si>
  <si>
    <t xml:space="preserve">חוב כלפי החברה הוא נכס (נכס ביטוח מראש). </t>
  </si>
  <si>
    <t>אם שילמתי הרבה וצרכתי מעט את ההפרש חייבים לי (נכס).</t>
  </si>
  <si>
    <t>שירותי ייעוץ בהסדר</t>
  </si>
  <si>
    <t>הסבר נוסף - צריכת שירותים והסדר ארוך טווח:</t>
  </si>
  <si>
    <t xml:space="preserve">אם חברה חתמה על הסכם לצריכת שירות במשך 20 שנים, </t>
  </si>
  <si>
    <r>
      <t>אסור</t>
    </r>
    <r>
      <rPr>
        <sz val="12"/>
        <color theme="1"/>
        <rFont val="David"/>
      </rPr>
      <t xml:space="preserve"> להכיר בדיווח בהתחייבות בגין כל 20 השנים.</t>
    </r>
  </si>
  <si>
    <t>מדוע? משום שברמה המהותית, המחויבות תיווצר רק לאחר</t>
  </si>
  <si>
    <t xml:space="preserve">שהשירות ייצרך. </t>
  </si>
  <si>
    <t>במלים אחרות, נתוך משך החוזה הוא נתון סרק. עלינו להכיר</t>
  </si>
  <si>
    <t>בכל שנה ושנה בהוצאה רלוונטית בהתאם לשירות שנצרך</t>
  </si>
  <si>
    <t>באותה שנה בלבד.</t>
  </si>
  <si>
    <t>כאן - צרכנו 12,000 ====&gt; הוצאות</t>
  </si>
  <si>
    <t>שילמנו 12,000 =====&gt; ירידה במזומן</t>
  </si>
  <si>
    <t>לבד</t>
  </si>
  <si>
    <t>שיפורים במושכר</t>
  </si>
  <si>
    <t>שיפורים במושכר - הסבר נוסף:</t>
  </si>
  <si>
    <t>במהות, שיפורים במושכר מייצגים עלויות משמעותיות שנתהוו כדי לשפר</t>
  </si>
  <si>
    <t xml:space="preserve">נכס שאנו שכרנו. </t>
  </si>
  <si>
    <t xml:space="preserve">המשמעות היא שהחברה התקשרה בהסכם שכירות ״ארוך טווח״ </t>
  </si>
  <si>
    <t>והיא *משקיעה* כדי להתאים את המבנה לצרכיה.</t>
  </si>
  <si>
    <t xml:space="preserve">קיימת ציפייה ששיפורים אלו ישרתו את החברה תקופה ארוכה, ולכן מדובר בנכס, </t>
  </si>
  <si>
    <t>שנקרא ״שיפורים במושכר״.</t>
  </si>
  <si>
    <t xml:space="preserve">אם החברה שילמה לטובת יצירת נכס כזה - יש להכיר בירידה במזומן ובעלייה  </t>
  </si>
  <si>
    <t>בנכס הספציפי שנקרא ״שיפורים במושכר״.</t>
  </si>
  <si>
    <t>אם שילמתי על פריט שצפוי לשרתני בעתיד שנים ארוכות = נכס ולא הוצאה.</t>
  </si>
  <si>
    <t>שיפורים
במושכר</t>
  </si>
  <si>
    <t>מתן שירות</t>
  </si>
  <si>
    <t>הסבר נוסף - מתן שירות וקבלת חלק מהסכום בלבד במזומן:</t>
  </si>
  <si>
    <t>על פי נתוני העסקה, החברה סיפקה שירותים בהיקף של 700,000 ש״ח.</t>
  </si>
  <si>
    <t>ללא תלות בעיתוי קבלת המזומן - יש להכיר בהכנסה בסכום זה.</t>
  </si>
  <si>
    <t>כי הכנסה משקפת שווי שירות שסיפקנו.</t>
  </si>
  <si>
    <t>כמו כן - הסכום שקיבלנו במזומן הוא 60% מהיקף העסקה הכולל.</t>
  </si>
  <si>
    <t>לכן העלייה בנכס המזומן תהיה 420,000 = 60% * 700,000.</t>
  </si>
  <si>
    <t>ההפרש מהווה חוב כלפי החברה - נתעד עלייה בנכס הלקוחות</t>
  </si>
  <si>
    <t xml:space="preserve">700,000 - 420,000 = </t>
  </si>
  <si>
    <t>בסך הכל כאשר חברה מספקת שירות וגובה רק חלק מהסכום -</t>
  </si>
  <si>
    <t>נתעד עלייה בהכנסות בגובה השירות, עלייה במזומן בגובה הגבייה,</t>
  </si>
  <si>
    <t>וההפרש יהווה עלייה בנכס הלקוחות.</t>
  </si>
  <si>
    <t>הכרזת דיבידנד</t>
  </si>
  <si>
    <t>דיבידנד
לשלם</t>
  </si>
  <si>
    <t>דיבידנד
(עודפים,
רווח מצטבר)</t>
  </si>
  <si>
    <t>דיבידנד - הסבר נוסף:</t>
  </si>
  <si>
    <t>ברגע שחברה מכריזה דיבידנד - היא למעשה מתחייבת באופן בלתי ניתן לביטול לחלקו (מתוך הרווח</t>
  </si>
  <si>
    <t xml:space="preserve">המצטבר / עודפים). </t>
  </si>
  <si>
    <t xml:space="preserve">ללא תלות בעיתוי התשלום בפועל: מיד במועד הכרזת הדיבידנד יש להכיר בירידה בהון העצמי - </t>
  </si>
  <si>
    <t xml:space="preserve">העובדה שמתוכו שילנו בפועל 40,000 מובילה לירידה במזומן בסכום זה. </t>
  </si>
  <si>
    <t>ברווח המצטבר, בסכומו הכולל: 60,000.</t>
  </si>
  <si>
    <t>היתרה שטרם שולמה, אך אנו מחויבים לשלם - היא התחייבות של החברה ״דיבידנד לשלם״: 20,000.</t>
  </si>
  <si>
    <t>מפגש 5 - המשך נכסים שוטפים, הבהרות לעריכת דיווחים, נכס הלקוחות</t>
  </si>
  <si>
    <t>בחלק השני של המפגש פתרנו עקרונות</t>
  </si>
  <si>
    <t>ממטלת ההגשה לאחר מפגש 4 - בגיליון נפרד</t>
  </si>
  <si>
    <t>הרצאה 6 - יסודות החשבונאות - סיכום אמצע סמסטר ועם הפנים קדימה / היערכות לבחינה</t>
  </si>
  <si>
    <t>מטרות המפגש:</t>
  </si>
  <si>
    <t>א. לאור האתגרים שחלקכם ביטאתם במטלה הראשונה, שיקוף והרגעה לגבי בסיס הדיון בה ורלוונטיותה למבחן.</t>
  </si>
  <si>
    <t>ב. סקירה מלאה של מבנה המבחן הצפוי ותיאום ציפיות.</t>
  </si>
  <si>
    <t>ג. התחלת הנושא ה-3 (מתוך כ-5 נושאים לא כולל סוגיות): רכוש קבוע.</t>
  </si>
  <si>
    <t>מבוא:</t>
  </si>
  <si>
    <r>
      <t xml:space="preserve">פריט רכוש קבוע מוגדר כפריט </t>
    </r>
    <r>
      <rPr>
        <b/>
        <sz val="12"/>
        <color theme="1"/>
        <rFont val="David"/>
      </rPr>
      <t>מוחשי</t>
    </r>
    <r>
      <rPr>
        <sz val="12"/>
        <color theme="1"/>
        <rFont val="David"/>
      </rPr>
      <t xml:space="preserve"> המוחזק על ידי חברה לייצור סחורות, הספקת שירותים, לצרכים מנהליים</t>
    </r>
  </si>
  <si>
    <t>ו/או להשכרה לאחרים, ואשר צפוי שמשך השימוש בו יעלה על שנה אחת.</t>
  </si>
  <si>
    <t>ובמיוחד iPhones שמקבלים עדכוני תוכנה בערך 7 שנים קדימה בשונה מאנדרואיד פח לך תחפש את החברים שלך</t>
  </si>
  <si>
    <t xml:space="preserve">עד שתקבל עדכון ש-90% ממנו מוחבא ע״י הסקין המסריח של ה - OEM, ריהוט, מתקני ייצור ועוד - כל אלו מהווים </t>
  </si>
  <si>
    <t>דוגמאות לפריטי רכוש קבוע.</t>
  </si>
  <si>
    <t>כיצד נמדד (נקבע הערך הכספי בדוח) של פריט רכוש קבוע?</t>
  </si>
  <si>
    <t xml:space="preserve">פריט רכוש קבוע נמדד לראשונה (במועד שבו מוצג לראשונה בדיווח) לפי עלותו. עלותו תכלול הן את עלות רכישתו </t>
  </si>
  <si>
    <t>הראשונית (חשבונית קניה) אבל בנוסף כל עלות נוספת שהיא חיונית להבאתו למיקום ולמצב שמיש. במלים אחרות,</t>
  </si>
  <si>
    <t>אם שילמנו על הובלת הרכוש הקבוע לחברה, או על התקנתו בחברה וכיוצא בזה - ההגדרה של עלות נכס הרכוש</t>
  </si>
  <si>
    <t>הקבוע תכלול גם את עלויות ההובלה וההתקנה כאמור.</t>
  </si>
  <si>
    <r>
      <t xml:space="preserve">לאחר מועד הרכישה (בתקופות העוקבות) פריט רכוש קבוע נמדד לפי </t>
    </r>
    <r>
      <rPr>
        <b/>
        <sz val="12"/>
        <color theme="1"/>
        <rFont val="David"/>
      </rPr>
      <t>עלותו</t>
    </r>
    <r>
      <rPr>
        <sz val="12"/>
        <color theme="1"/>
        <rFont val="David"/>
      </rPr>
      <t xml:space="preserve"> כהגדרתה לעיל, בניכוי הפחת הנצבר </t>
    </r>
  </si>
  <si>
    <t>בגינו. הפחת הנצבר הוא חישוב שמתאר את האופן שבו ראוי ״לפרוס״ את העלות של הרכוש הקבוע כהוצאה על</t>
  </si>
  <si>
    <t>פני תקופת השימוש הממושכת בו, ובאופן לא מדויק, ניתן להתייחס להוצאות פחת בתור אומדן של ״שחיקה״ או</t>
  </si>
  <si>
    <r>
      <t xml:space="preserve">״בלאי״, שההכרה בה היא בהתאם לעקרון </t>
    </r>
    <r>
      <rPr>
        <b/>
        <sz val="12"/>
        <color theme="1"/>
        <rFont val="David"/>
      </rPr>
      <t>ההקבלה</t>
    </r>
    <r>
      <rPr>
        <sz val="12"/>
        <color theme="1"/>
        <rFont val="David"/>
      </rPr>
      <t xml:space="preserve"> החשבונאי (הקבלת הוצאות להכנסות). </t>
    </r>
  </si>
  <si>
    <t>חשוב לציין שפחת נצבר, בחשבונאות, איננו משקף ״ירידת ערך״ אלא כאמור ״שחיקה״. משל למה הדבר דומה? אם</t>
  </si>
  <si>
    <t>יש לי מחשב Macbook Air M1 שמשרת באופן נפלא את כל צרכיי, הרי שגם אם יחול מבצע או יצא דגם חדש שיוזיל</t>
  </si>
  <si>
    <t xml:space="preserve">את שווי המחשב שלי בשוק, זה לא באמת ישפיע עליי כלכלית, משום שאני עדיין מסוגל להשתמש במחשב על מנת </t>
  </si>
  <si>
    <t xml:space="preserve">להניב הטבות כלכליות ולבצע את פעילותי. </t>
  </si>
  <si>
    <t>לא ברור? אז קבלו משפט קצר: ״בגדול, שווי רכוש קבוע במונחי מחיר מכירתו מעט פחות מעניין, כי אין כוונה למכור״.</t>
  </si>
  <si>
    <t xml:space="preserve">ולכן הפחת יותר קרוב לשקף פחת / שחיקה פיזית מאשר מחיר מכירה צפוי. </t>
  </si>
  <si>
    <t>רכוש קבוע - עלות</t>
  </si>
  <si>
    <t>בניכוי: פחת נצבר</t>
  </si>
  <si>
    <t>שווה = עלות מופחתת (רכוש קבוע נטו)</t>
  </si>
  <si>
    <t>הערך שיוצג במאזן</t>
  </si>
  <si>
    <t>כיצד מחושבות הוצאות הפחת - שיטת הקו הישר:</t>
  </si>
  <si>
    <t xml:space="preserve">השיטה הנפוצה ביותר לחישוב הוצאות פחת שנתיות וצבירתן (פחת נצבר) נקראת הקו הישר. על בסיס שיטה זו, </t>
  </si>
  <si>
    <t>מחשבים את הוצאות הפחת בגין פריט רכוש קבוע בכל שנה על פי הנוסחה הבאה:</t>
  </si>
  <si>
    <r>
      <t>I</t>
    </r>
    <r>
      <rPr>
        <vertAlign val="subscript"/>
        <sz val="12"/>
        <color theme="1"/>
        <rFont val="David"/>
      </rPr>
      <t>0</t>
    </r>
    <r>
      <rPr>
        <sz val="12"/>
        <color theme="1"/>
        <rFont val="David"/>
      </rPr>
      <t xml:space="preserve"> - I</t>
    </r>
    <r>
      <rPr>
        <vertAlign val="subscript"/>
        <sz val="12"/>
        <color theme="1"/>
        <rFont val="David"/>
      </rPr>
      <t>G</t>
    </r>
  </si>
  <si>
    <t>D</t>
  </si>
  <si>
    <t>n</t>
  </si>
  <si>
    <t>כאשר:</t>
  </si>
  <si>
    <t>מייצג את הוצאות הפחת לשנה שלמה, מלשון המונח Depriciation (פחת, בלעז)</t>
  </si>
  <si>
    <t>I0</t>
  </si>
  <si>
    <t>העלות הכוללת של פריט הרכוש הקבוע, כולל כל העלויות החיוניות להבאתו למיקום ולמצב שמיש</t>
  </si>
  <si>
    <t>IG</t>
  </si>
  <si>
    <t xml:space="preserve">ערך השייר / הגרט של הפריט: מדובר בשווי הצפוי לפריט בתום חייו, החלק ש״לא נשחק״. </t>
  </si>
  <si>
    <t xml:space="preserve">כאשר מדובר בפריטי נדל״ן, הקרקע היא חלק מערך השייר. </t>
  </si>
  <si>
    <t>תקופת ההפחתה: אורך החיים השימושיים של הנכס בשנים.</t>
  </si>
  <si>
    <t>במידה והפריט מופחת על פני פחות משנה בתקופת הדיווח נבצע חישוב יחסי. כל זאת ועוד - בתרגול להלן.</t>
  </si>
  <si>
    <t>כיצד מטופלת מכירה של פריט רכוש קבוע?</t>
  </si>
  <si>
    <t>במידה ופריט רכוש קבוע נמכר, יש לפעול בשלבים הבאים.</t>
  </si>
  <si>
    <t>א. יש לחשב את הפחת הנצבר ״ערב המכירה״. בשפה פשוטה: לסכום את כל הוצאות הפחת שנוצרו בגין הפריט</t>
  </si>
  <si>
    <t xml:space="preserve">ממועד זמינותו לשימוש עד ״רגע לפני המכירה״. </t>
  </si>
  <si>
    <t xml:space="preserve">ב. יש לחשב את העלות המופחתת של הפריט ערב המכירה - העלות בניכוי הפחת הנצבר משלב א. </t>
  </si>
  <si>
    <t xml:space="preserve">ג. ההפרש בין התמורה לבין העלות המופחתת של הפריט ערב המכירה יהיה רווח הון (אם חיובי) או הפסד הון (אם </t>
  </si>
  <si>
    <t xml:space="preserve">שלילי). </t>
  </si>
  <si>
    <t>ב-1.1.2018 חברה רכשה מכונה לחימום נקניקיות לעובדי המשרד, בעלות של 95,000 ש״ח. עבור הובלת המכונה</t>
  </si>
  <si>
    <t>לחברה שילמה 5,000 ש״ח נוספים. המכונה הגיעה לחברה מיד באותו היום והפכה לזמינה לשימוש. אורך החיים</t>
  </si>
  <si>
    <t>השימושיים הצפוי למכונה הוא 5 שנים, ובסיומן, צפוי לה ערך שייר / גרט של 20,000 ש״ח. ההפחתה לפי קו ישר.</t>
  </si>
  <si>
    <t>נדרש: השלימו את הטבלה הבאה.</t>
  </si>
  <si>
    <t>מכונה - עלות</t>
  </si>
  <si>
    <t>עלות מופחתת</t>
  </si>
  <si>
    <t>הוצאות פחת</t>
  </si>
  <si>
    <t>הסברים נוספים:</t>
  </si>
  <si>
    <r>
      <t>עלות פריט הרכוש הקבוע, המסומנת לעתים I</t>
    </r>
    <r>
      <rPr>
        <vertAlign val="subscript"/>
        <sz val="12"/>
        <color theme="1"/>
        <rFont val="David"/>
      </rPr>
      <t xml:space="preserve">0 </t>
    </r>
    <r>
      <rPr>
        <sz val="12"/>
        <color theme="1"/>
        <rFont val="David"/>
      </rPr>
      <t>מוגדרת כעלות הרכישה בתוספת כל עלות חיונית להבאת הפריט</t>
    </r>
    <r>
      <rPr>
        <vertAlign val="subscript"/>
        <sz val="12"/>
        <color theme="1"/>
        <rFont val="David"/>
      </rPr>
      <t xml:space="preserve"> </t>
    </r>
  </si>
  <si>
    <t>למיקום ולמצב שמיש (״עד שהפריט אצלי מוכן לעבודה״). עלויות הובלה נכללות בהגדרה, ולכן יהוו חלק מעלות</t>
  </si>
  <si>
    <t xml:space="preserve">הרכוש הקבוע. ואם כך, עלות הרכוש הקבוע: 100,000 = 5,000 + 95,000. </t>
  </si>
  <si>
    <t>העלות היא עלות ״היסטורית״ כלומר ערך קבוע שלא נשנה במעבר משנה לשנה, אלא נקבע ברכישה.</t>
  </si>
  <si>
    <t>לגבי הוצאות הפחת: נתון שהפריט עלה 100,000 ומופחת על פני 5 שנים, ובנוסף קיים גרט (שווי צפוי בתום חיי</t>
  </si>
  <si>
    <t>הפריט) בסך 20,000. כך שהוצאות הפחת לשנה המחושבות על בסיס הפרופורציה שבין ההפרש בין עלות לבין גרט</t>
  </si>
  <si>
    <t>לבין אורך החיים:</t>
  </si>
  <si>
    <t xml:space="preserve">D = (I0 - Ig)/n = (100,000 - 20,000)/5 = </t>
  </si>
  <si>
    <t xml:space="preserve">בשיטה הנפוצה ביותר המוגדרת כאן, קו ישר - הוצאות הפחת השנתיות קבועות. </t>
  </si>
  <si>
    <r>
      <t xml:space="preserve">ב-1.1.2018 נרכש </t>
    </r>
    <r>
      <rPr>
        <b/>
        <sz val="12"/>
        <color theme="1"/>
        <rFont val="David"/>
      </rPr>
      <t>מבנה</t>
    </r>
    <r>
      <rPr>
        <sz val="12"/>
        <color theme="1"/>
        <rFont val="David"/>
      </rPr>
      <t xml:space="preserve"> שייעודו הקמת מטבחון לחימום נקניקיות לעובדי המשרד בעלות של </t>
    </r>
    <r>
      <rPr>
        <b/>
        <sz val="12"/>
        <color theme="1"/>
        <rFont val="David"/>
      </rPr>
      <t>500,000</t>
    </r>
    <r>
      <rPr>
        <sz val="12"/>
        <color theme="1"/>
        <rFont val="David"/>
      </rPr>
      <t xml:space="preserve"> ש״ח. מתוך</t>
    </r>
  </si>
  <si>
    <r>
      <t xml:space="preserve">סכום זה, חלק של </t>
    </r>
    <r>
      <rPr>
        <b/>
        <sz val="12"/>
        <color theme="1"/>
        <rFont val="David"/>
      </rPr>
      <t>100,000</t>
    </r>
    <r>
      <rPr>
        <sz val="12"/>
        <color theme="1"/>
        <rFont val="David"/>
      </rPr>
      <t xml:space="preserve"> ש״ח מיוחס לעלות הקרקע. המבנה הפך </t>
    </r>
    <r>
      <rPr>
        <u/>
        <sz val="12"/>
        <color rgb="FFFF0000"/>
        <rFont val="David"/>
      </rPr>
      <t>לזמין לשימוש ב-1.3.2018</t>
    </r>
    <r>
      <rPr>
        <sz val="12"/>
        <color theme="1"/>
        <rFont val="David"/>
      </rPr>
      <t>. אורך החיים השימושיים</t>
    </r>
  </si>
  <si>
    <r>
      <t xml:space="preserve">של המבנה הנו </t>
    </r>
    <r>
      <rPr>
        <b/>
        <sz val="12"/>
        <color theme="1"/>
        <rFont val="David"/>
      </rPr>
      <t>20 שנים</t>
    </r>
    <r>
      <rPr>
        <sz val="12"/>
        <color theme="1"/>
        <rFont val="David"/>
      </rPr>
      <t xml:space="preserve">. ההפחתה לפי קו ישר. </t>
    </r>
  </si>
  <si>
    <t>מבנה - עלות</t>
  </si>
  <si>
    <t>במבנים: תמיד ולעולם רכיב העלות של הקרקע ״איננו נשחק״ ולכן מטופל כרך שייר / גרט גם אם מונח זה לא אוזכר</t>
  </si>
  <si>
    <t xml:space="preserve">מפורשות. </t>
  </si>
  <si>
    <t>הוצאות פחת לשנה שלמה:</t>
  </si>
  <si>
    <t xml:space="preserve">D = (I0 - Ig)/n = (500,000 - 100,000)/20 = </t>
  </si>
  <si>
    <t>הואיל והפריט הפך לזמין לשימוש ב-1.3.2018, הרי שבשנת 2018 ראוי לרשום הוצאות פחת בגין 10 חודשים בלבד,</t>
  </si>
  <si>
    <t>קרי עבור התקופה: 1.3.2018-31.12.2018:</t>
  </si>
  <si>
    <t xml:space="preserve">D(2018) = 20,000 * 10/12 = </t>
  </si>
  <si>
    <t>לעומת זאת: בשנים 2019 ו-2020, הפריט שהה ברשות החברה שנה שלמה, ולכן הוצאות הפחת בגין כל אחת משנים אלו</t>
  </si>
  <si>
    <t xml:space="preserve">הן 20,000. </t>
  </si>
  <si>
    <t>שאלה 3 - שאלה עם טיפול פשוט במכירה</t>
  </si>
  <si>
    <t>ב-1.1.2018 רכשה חברה מכונה לחימום נקניק לעובדי המשרד בעלות של 100,000 ש״ח. המכונה הפכה לזמינה</t>
  </si>
  <si>
    <t>לשימוש מיד באותו היום, ערך הגרט / שייר שלה 20,000 ש״ח ותקופת הפחתתה 4 שנים. ההפחתה לפי קו ישר.</t>
  </si>
  <si>
    <r>
      <t>ב-</t>
    </r>
    <r>
      <rPr>
        <sz val="12"/>
        <color rgb="FFFF0000"/>
        <rFont val="David"/>
      </rPr>
      <t>31.3.2020</t>
    </r>
    <r>
      <rPr>
        <sz val="12"/>
        <color theme="1"/>
        <rFont val="David"/>
      </rPr>
      <t xml:space="preserve"> נמכרה המכונה בתמורה ל-44,000 ש״ח. </t>
    </r>
  </si>
  <si>
    <t>נדרש: השלימו את הטבלה הבאה בהדגש סימני השאלה.</t>
  </si>
  <si>
    <t>רווח הון</t>
  </si>
  <si>
    <t>הפסד הון</t>
  </si>
  <si>
    <t>הוצאות הפחת בשנים 2018 ו-2019:</t>
  </si>
  <si>
    <t>D = (I0 - Ig)/n = (100,000 - 20,000)/4 = 20,000</t>
  </si>
  <si>
    <t>הוצאות הפחת ב-2020: הואיל ובשנה זו הפריט נמכר ב-31.3, רישום הוצאות הפחת ב-2020 יהיה ל-3 חודשים</t>
  </si>
  <si>
    <t>בלבד, ולא לשנה שלמה:</t>
  </si>
  <si>
    <t xml:space="preserve">D(2020) = 20,000 * 3/12 = </t>
  </si>
  <si>
    <t>לגבי עסקת המכירה והשפעתה על דיווחי 2020:</t>
  </si>
  <si>
    <t xml:space="preserve">ראשית, תמיד ולעולם, בשנה שבה הפריט נמכר, נדווח על יתרותיו כנכס כ-0 (גם אם המכירה ב-31.12). </t>
  </si>
  <si>
    <t>בשפה פשוטה: תמיד מאופסת עלות הפריט והפחת הנצבר בגינו בדיווח של שנת המכירה.</t>
  </si>
  <si>
    <t>עלות מופחתת ערב המכירה</t>
  </si>
  <si>
    <t>תמורת המכירה-נתון</t>
  </si>
  <si>
    <t>ב-1.1.2018 רכשה חברה מחשב Macbook Air בעלות 3,500 ש״ח מחברת KSP. המחשב הפך לזמין לשימוש</t>
  </si>
  <si>
    <t>בתאריך 1.4.2018. אורך החיים השימושיים של המחשב הוא 3 שנים וערך הגרט / השייר המוגדר לו הוא 500 ש״ח.</t>
  </si>
  <si>
    <t xml:space="preserve">בתאריך 30.9.2020 נמכר המחשב בתמורה ל-1,250 ש״ח. </t>
  </si>
  <si>
    <t>נדרש: מהו הרווח / ההפסד הנובע מהמכירה? בצעו חישוב מקוצר, ללא טבלה של כל השנים.</t>
  </si>
  <si>
    <t>בתאריך 1.3.2020 רכשה חברה מכונה לחימום נקניק בעלות של 100,000 ש״ח, ובנוסף נאלצה לשלם על הובלה 10,000 ש״ח</t>
  </si>
  <si>
    <t xml:space="preserve">וכן על בדיקות מטעם משרד הבריאות בסך 5,000 ש״ח. </t>
  </si>
  <si>
    <t xml:space="preserve">המכונה הגיעה לחברה ב-1.4.2020, והפכה לזמינה לשימוש ב-1.7.2020. </t>
  </si>
  <si>
    <t>בתאריך 1.11.2023 נמכרה המכונה תמורת 72,000 ש״ח.</t>
  </si>
  <si>
    <t>נדרש: חשבו רווח / הפסד הון ממכירת המכונה.</t>
  </si>
  <si>
    <t>שאלה 6 (מספקת רמז עבה לשאלה 1 במטלת הגשה מס׳ 8 באתר, רמז נוסף - קרקע היא סוג של גרט / שייר)</t>
  </si>
  <si>
    <t xml:space="preserve">ב-1.4.2018 חברה רכשה מכונה לחימום נקניק שערך השייר / הגרט שלה הוא 10,000 ש״ח. אורך חייה 10 שנים </t>
  </si>
  <si>
    <t>והיא מופחתת בשיטת הקו הישר. יתרת הפחת שנצברה ל-31.12.2022 היא 42,750 ש״ח.</t>
  </si>
  <si>
    <t>א. מהן הוצאות הפחת לשנת 2018 ולשנת 2019?</t>
  </si>
  <si>
    <t>ב. מהי העלות המופחתת ל-31.12.2021?</t>
  </si>
  <si>
    <t>נדרש א</t>
  </si>
  <si>
    <t xml:space="preserve">העלות: </t>
  </si>
  <si>
    <r>
      <t>I</t>
    </r>
    <r>
      <rPr>
        <vertAlign val="subscript"/>
        <sz val="12"/>
        <color theme="1"/>
        <rFont val="David"/>
      </rPr>
      <t>0</t>
    </r>
  </si>
  <si>
    <t xml:space="preserve">גרט: </t>
  </si>
  <si>
    <t>פחנ״צ:</t>
  </si>
  <si>
    <t>נכון ליום: 31.12.2022, משקף את התקופה 1.4.2018 - 31.12.2022: 4 שנים + 9/12</t>
  </si>
  <si>
    <t>אורך חיים:</t>
  </si>
  <si>
    <t>שנים</t>
  </si>
  <si>
    <t>לפי ההגדרה:</t>
  </si>
  <si>
    <r>
      <t>[(I</t>
    </r>
    <r>
      <rPr>
        <vertAlign val="subscript"/>
        <sz val="12"/>
        <color theme="1"/>
        <rFont val="David"/>
      </rPr>
      <t>0</t>
    </r>
    <r>
      <rPr>
        <sz val="12"/>
        <color theme="1"/>
        <rFont val="David"/>
      </rPr>
      <t xml:space="preserve"> - 10,000)/10] * (4 + 9/12) = </t>
    </r>
  </si>
  <si>
    <t xml:space="prese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</si>
  <si>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</si>
  <si>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r>
        <sz val="12"/>
        <color theme="1"/>
        <rFont val="David"/>
      </rPr>
      <t xml:space="preserve"> - 10,000)/10 = 42,750 / (4 + 9/12)</t>
    </r>
  </si>
  <si>
    <r>
      <t>I</t>
    </r>
    <r>
      <rPr>
        <vertAlign val="subscript"/>
        <sz val="12"/>
        <color theme="1"/>
        <rFont val="David"/>
      </rPr>
      <t>0</t>
    </r>
    <r>
      <rPr>
        <sz val="12"/>
        <color theme="1"/>
        <rFont val="David"/>
      </rPr>
      <t xml:space="preserve"> - 10,000 = </t>
    </r>
  </si>
  <si>
    <r>
      <t>I</t>
    </r>
    <r>
      <rPr>
        <vertAlign val="subscript"/>
        <sz val="12"/>
        <color theme="1"/>
        <rFont val="David"/>
      </rPr>
      <t>0</t>
    </r>
    <r>
      <rPr>
        <sz val="12"/>
        <color theme="1"/>
        <rFont val="David"/>
      </rPr>
      <t xml:space="preserve"> = </t>
    </r>
  </si>
  <si>
    <r>
      <t xml:space="preserve">הוצאות הפחת עבור שנת </t>
    </r>
    <r>
      <rPr>
        <u/>
        <sz val="12"/>
        <color theme="1"/>
        <rFont val="David"/>
      </rPr>
      <t>2018</t>
    </r>
    <r>
      <rPr>
        <sz val="12"/>
        <color theme="1"/>
        <rFont val="David"/>
      </rPr>
      <t xml:space="preserve"> - בשנה זו הפריט היה זמין לשימוש בתקופה: 1.4.2018 - 31.12.2018 (9 חודשים):</t>
    </r>
  </si>
  <si>
    <t xml:space="preserve">(100,000 - 10,000) / 10 * (9/12) = </t>
  </si>
  <si>
    <r>
      <t xml:space="preserve">הוצאות הפחת עבור שנת </t>
    </r>
    <r>
      <rPr>
        <u/>
        <sz val="12"/>
        <color theme="1"/>
        <rFont val="David"/>
      </rPr>
      <t>2019</t>
    </r>
    <r>
      <rPr>
        <sz val="12"/>
        <color theme="1"/>
        <rFont val="David"/>
      </rPr>
      <t xml:space="preserve"> - בשנה זו הפריט היה זמין לשימוש כל השנה:</t>
    </r>
  </si>
  <si>
    <t xml:space="preserve">(100,000 - 10,000) / 10 = </t>
  </si>
  <si>
    <t>נדרש ב</t>
  </si>
  <si>
    <t>העלות המופחתת ליום 31.12.2021 מחושבת לפי העלות 100,000 בניכוי פחת נצבר עבור התקופה: 1.4.2018 - 31.12.2021</t>
  </si>
  <si>
    <t xml:space="preserve">(100,000 - 10,000) / 10 * (3 + 9/12) = </t>
  </si>
  <si>
    <t>שאלה 7 (לא פתרנו בכיתה, זה לתרגול עצמי נוסף עם פתרון מלא ולא להגשה למעוניינים)</t>
  </si>
  <si>
    <t>ב-1.1.2017 חברה רכשה מכונה לחימום נקניקיות לעובדי המשרד, בעלות של 100,000 ש״ח. עבור הובלת המכונה</t>
  </si>
  <si>
    <t>לחברה שילמה 10,000 ש״ח נוספים. המכונה הגיעה לחברה מיד באותו היום והפכה לזמינה לשימוש. אורך החיים</t>
  </si>
  <si>
    <t>השימושיים הצפוי למכונה הוא 10 שנים, ובסיומן, צפוי לה ערך שייר / גרט של 25,000 ש״ח. ההפחתה לפי קו ישר.</t>
  </si>
  <si>
    <t>נדרש: השלימו את הטבלה הבאה (בתרגיל ובפתרון המקורי נשמטה עמודת 2019, שהתווספה כעת הודות לתקווה) .</t>
  </si>
  <si>
    <t xml:space="preserve">פתרון (גשו לתאים עצמם כדי לראות את הדרך. אם זה לא מספיק מפורט, גשו לתרגילים שפתרנו בשיעור שמפרטים </t>
  </si>
  <si>
    <t>יותר גם ברמת המלל והתהליך ו/או להקלטה):</t>
  </si>
  <si>
    <t>שאלה 8 (לא פתרנו בכיתה, הנ״ל ללימוד עצמי עם פתרון מלא, לא להגשה)</t>
  </si>
  <si>
    <t>ב-1.1.2018 נרכש מבנה בעלות של 1,000,000 ש״ח על ידי חברת בוריטו בע״מ. מתוך העלות הכוללת,</t>
  </si>
  <si>
    <r>
      <t xml:space="preserve">חלק של 250,000 ש״ח מיוחס לעלות הקרקע. המבנה הפך </t>
    </r>
    <r>
      <rPr>
        <u/>
        <sz val="12"/>
        <rFont val="David"/>
      </rPr>
      <t>לזמין לשימוש ב-1.4.2018</t>
    </r>
    <r>
      <rPr>
        <sz val="12"/>
        <rFont val="David"/>
      </rPr>
      <t>. אורך החיים השימושיים</t>
    </r>
  </si>
  <si>
    <r>
      <t xml:space="preserve">של המבנה הנו </t>
    </r>
    <r>
      <rPr>
        <b/>
        <sz val="12"/>
        <color theme="1"/>
        <rFont val="David"/>
      </rPr>
      <t>50 שנים</t>
    </r>
    <r>
      <rPr>
        <sz val="12"/>
        <color theme="1"/>
        <rFont val="David"/>
      </rPr>
      <t xml:space="preserve">. ההפחתה לפי קו ישר. </t>
    </r>
  </si>
  <si>
    <t>שאלה 9 - שאלה עם טיפול פשוט במכירה - לתרגול עצמי בבית (יש פתרון מלא, לא להגשה)</t>
  </si>
  <si>
    <t>ב-1.1.2018 רכשה חברה מכונה לחימום נקניק לעובדי המשרד בעלות של 250,000 ש״ח. המכונה הפכה לזמינה</t>
  </si>
  <si>
    <t>לשימוש מיד באותו היום, ערך הגרט / שייר שלה 30,000 ש״ח ותקופת הפחתתה 5 שנים. ההפחתה לפי קו ישר.</t>
  </si>
  <si>
    <r>
      <t>ב-</t>
    </r>
    <r>
      <rPr>
        <sz val="12"/>
        <color rgb="FFFF0000"/>
        <rFont val="David"/>
      </rPr>
      <t>30.9.2022</t>
    </r>
    <r>
      <rPr>
        <sz val="12"/>
        <color theme="1"/>
        <rFont val="David"/>
      </rPr>
      <t xml:space="preserve"> נמכרה המכונה בתמורה ל-110,000 ש״ח. </t>
    </r>
  </si>
  <si>
    <t>שאלה 10 - לתרגול עצמי בבית (יש פתרון מלא, לא להגשה)</t>
  </si>
  <si>
    <t>ב-1.1.2022 רכשה חברה מחשב מדגם Macbook Pro M1 Max בעלות של 12,000 ש״ח.</t>
  </si>
  <si>
    <t>המחשב הגיע לחברה והפך לזמין לשימוש ב-31.3.2022.</t>
  </si>
  <si>
    <t>אורך החיים של המחשב 6 שנים והוא מופחת בשיטת הקו הישר על פני 6 שנים, ויש לו גרט (שייר) בסך 3,000 ש״ח.</t>
  </si>
  <si>
    <r>
      <t>ב-1.6.202</t>
    </r>
    <r>
      <rPr>
        <sz val="12"/>
        <rFont val="David"/>
      </rPr>
      <t>5</t>
    </r>
    <r>
      <rPr>
        <sz val="12"/>
        <color theme="1"/>
        <rFont val="David"/>
      </rPr>
      <t xml:space="preserve"> נמכר המחשב תמורת 9,000 ש״ח.</t>
    </r>
  </si>
  <si>
    <t>תמורה</t>
  </si>
  <si>
    <t>הסבר מפורט למטה</t>
  </si>
  <si>
    <t>הסבר מלא (כי היתה טעות בחודשים בפתרון המקורי שעליה עלתה תקווה):</t>
  </si>
  <si>
    <t>תחילת הפחתה:</t>
  </si>
  <si>
    <t>סיום הפחתה / מכירה:</t>
  </si>
  <si>
    <t>פרק זמן בשנים:</t>
  </si>
  <si>
    <t>3+2/12</t>
  </si>
  <si>
    <t>פחת נצבר ערב המכירה:</t>
  </si>
  <si>
    <t xml:space="preserve">(12,000 - 3,000)/6 * (3 + 2/12) = </t>
  </si>
  <si>
    <t>עלות מופחתת ערב המכירה:</t>
  </si>
  <si>
    <t xml:space="preserve">12,000 - 4,750 = </t>
  </si>
  <si>
    <t>ועכשיו לנושא המרכזי של המפגש - רכוש קבוע</t>
  </si>
  <si>
    <t>בקצרה:</t>
  </si>
  <si>
    <t xml:space="preserve">רכוש קבוע: פריט רכוש פיזי לתקופה ממושכת. </t>
  </si>
  <si>
    <r>
      <t xml:space="preserve">הדרך הקלה להבין הגדרה זו היא כמובן באמצעות דוגמאות: </t>
    </r>
    <r>
      <rPr>
        <b/>
        <sz val="12"/>
        <color theme="1"/>
        <rFont val="David"/>
      </rPr>
      <t>מכונות, ציוד, כלי רכב, מבנים, טלפונים סלולריים</t>
    </r>
  </si>
  <si>
    <t>כאשר רכוש קבוע נרכש - הוא מוצג לפי עלותו, אבל לאורך זמן הוא נשחק / מתבלה / מתכלה, וצריך לשקף את הירידה</t>
  </si>
  <si>
    <t xml:space="preserve">בערכו = פחת (שנתי) ופחת נצבר. </t>
  </si>
  <si>
    <t>שאלה 1 - אופן היישום הבסיסי של מדידת רכוש קבוע - פחת נצבר והוצאות פחת</t>
  </si>
  <si>
    <t>עלות היסטורית</t>
  </si>
  <si>
    <t>שייר / גרט</t>
  </si>
  <si>
    <t>בסיס הפחת</t>
  </si>
  <si>
    <t>תקופת</t>
  </si>
  <si>
    <t>הפחתה</t>
  </si>
  <si>
    <t>אורך חיים שימושיים</t>
  </si>
  <si>
    <t>הוצאות פחת לשנה שלמה</t>
  </si>
  <si>
    <t>ערב המכירה</t>
  </si>
  <si>
    <t>לאחר המכירה</t>
  </si>
  <si>
    <t>לאחר</t>
  </si>
  <si>
    <t>מכירת</t>
  </si>
  <si>
    <t>פריט: מתאפס</t>
  </si>
  <si>
    <t>הפסד - הפרש שלילי בין תמורת המכירה 44,000</t>
  </si>
  <si>
    <t>לבין העלות המופחתת ערב המכירה 55,000</t>
  </si>
  <si>
    <t>ההפרש בין תמורת המכירה לבין העלות המופחתת ערב המכירה: רווח הון (חיובי) הפסד הון (שלילי):</t>
  </si>
  <si>
    <t>בניכוי עלות מופחתת ערב המכירה - 31.3.2020</t>
  </si>
  <si>
    <t>ככלל:</t>
  </si>
  <si>
    <t>רווח / הפסד ממכירת רכוש קבוע מוגדר כך:</t>
  </si>
  <si>
    <t>תמורה (הסכום הכספי שהתקבל במכירה)</t>
  </si>
  <si>
    <t>בניכוי עלות מופחתת ערב המכירה</t>
  </si>
  <si>
    <t xml:space="preserve">עלות </t>
  </si>
  <si>
    <t xml:space="preserve">(3500-500)/3*(2 + 6/12) = </t>
  </si>
  <si>
    <r>
      <t xml:space="preserve">רווח הון (הפרש חיובי) </t>
    </r>
    <r>
      <rPr>
        <strike/>
        <sz val="12"/>
        <color theme="1"/>
        <rFont val="David"/>
      </rPr>
      <t>הפסד הון (שלילי)</t>
    </r>
  </si>
  <si>
    <t xml:space="preserve">(3500 - 500) / 3 * (2 + 6/12) </t>
  </si>
  <si>
    <t>בניכוי שייר או גרט</t>
  </si>
  <si>
    <t>מחלקים בתקופת ההפחתה בשנים</t>
  </si>
  <si>
    <t>מקבלים פחת לשנה שלמה אחת</t>
  </si>
  <si>
    <t>כופלים במס׳ השנים</t>
  </si>
  <si>
    <t>שחלפו ממועד הזמינות</t>
  </si>
  <si>
    <t>לשימוש: 1.4.2018</t>
  </si>
  <si>
    <t>עד 30.9.2020</t>
  </si>
  <si>
    <t>הסבר מפורט - פחת נצבר ערב המכירה:</t>
  </si>
  <si>
    <t>שלב 1: חישוב עלו מופחתת</t>
  </si>
  <si>
    <t xml:space="preserve">שלב 2: </t>
  </si>
  <si>
    <t>הצבת העלות</t>
  </si>
  <si>
    <t>המופחתת</t>
  </si>
  <si>
    <t>כדי לחשב</t>
  </si>
  <si>
    <t>רווח / הפסד</t>
  </si>
  <si>
    <t>הון במכירה</t>
  </si>
  <si>
    <t>נתון</t>
  </si>
  <si>
    <t xml:space="preserve">המכונה מופחתת על פני 5 שנים בשיטת הקו הישר, וערך השייר / הגרט שלה 15,000 ש״ח. </t>
  </si>
  <si>
    <t xml:space="preserve">(115,000-15,000)/5*(3+4/12) =  </t>
  </si>
  <si>
    <t>פחת נצבר - פירוט:</t>
  </si>
  <si>
    <t>(115,000 - 15,000) / 5 * (3+4/12)</t>
  </si>
  <si>
    <t>העלות כוללת גם את העלויות החיוניות הנלוות</t>
  </si>
  <si>
    <t>כגון הובלה ובדיקות</t>
  </si>
  <si>
    <t>בניכוי שייר</t>
  </si>
  <si>
    <t>מחלקים בתקופת הפחתה</t>
  </si>
  <si>
    <t>בשנים כדי לקבל פחת</t>
  </si>
  <si>
    <t>לשנה</t>
  </si>
  <si>
    <t>פרק הזמן שחלף בשנים</t>
  </si>
  <si>
    <t>ממועד הזמינות לשימוש</t>
  </si>
  <si>
    <t>ה-1.7.2020 עד לערב המכירה</t>
  </si>
  <si>
    <t>ה-1.11.2023</t>
  </si>
  <si>
    <t>סיכום ביניים למפגש 6 - התחלת הדיון ברכוש קבוע</t>
  </si>
  <si>
    <t>למדנו על מהות רכוש קבוע (מבנים, מכונות, ציוד, כלי רכב).</t>
  </si>
  <si>
    <t>על אופן הפחתתו והמשמעות גם בשנים לא שלמות.</t>
  </si>
  <si>
    <t>הראינו כיצד מחשבים את העלות המופחתת, וכיצד מטפלים במכירת הפריט, לרבות רווח / הפסד הון.</t>
  </si>
  <si>
    <t>על היסודות הללו נבנה טיפולים מורכבים יותר במפגש הבא.</t>
  </si>
  <si>
    <t>מפגש 7 - חיבור לאחור והמשך רכוש קבוע - 15/12/2024</t>
  </si>
  <si>
    <t>חיבור לאחור:</t>
  </si>
  <si>
    <t xml:space="preserve">לאחר שבמפגשים הראשונים עסקנו בהגדרות בסיסיות - נכסים, התחייבויות, הון, הכנסות, הוצאות - </t>
  </si>
  <si>
    <t>עברנו לדון בפריטים ספציפיים.</t>
  </si>
  <si>
    <t>הפריט הראשון שעבדנו עליו היה לקוחות - נכס שוטף שבהגדרה - משקף את כושר הגבייה מלקוחות,</t>
  </si>
  <si>
    <t xml:space="preserve">ומתחשב בחובות בעייתיים שנקראים הלח״מ. </t>
  </si>
  <si>
    <t xml:space="preserve">באופן עקבי, במפגש הקודם עסקנו גם כן בנכס ובמדידתו - הפעם - נכס לא שוטף (לזמן ארוך) - </t>
  </si>
  <si>
    <t>רכוש קבוע. הגדרנו אותו ובעיקר הבהרנו שאופן מדידתו דורש הבנת עלותו (שכוללת לא רק עלות רכישה</t>
  </si>
  <si>
    <t xml:space="preserve">אלא את מכלול העלויות הנדרשות עבורו - עד זמינותו לשימוש) וכן את אופן הפחתתו. </t>
  </si>
  <si>
    <t xml:space="preserve">היום - נרצה לעסוק במדידת רכוש קבוע בשאלות שמחדדות את ההגדרה, החילוצים והקשרים באופן רחב יותר, </t>
  </si>
  <si>
    <t xml:space="preserve">ובשאיפה - מתוך שיתוף משמעותי יותר שלכם. </t>
  </si>
  <si>
    <t>שאלה 6 - חישוב הוצאות פחת בסיסיות, והצגת עלות מופחתת לתאריך ספציפי - כשהעלות לא ידועה</t>
  </si>
  <si>
    <t>מיני תזכורת קטנה:</t>
  </si>
  <si>
    <t>העלות</t>
  </si>
  <si>
    <t>ערך השייר / הגרט</t>
  </si>
  <si>
    <t>תקופת ההפחתה בשנים</t>
  </si>
  <si>
    <r>
      <t xml:space="preserve">הוצ׳ פחת </t>
    </r>
    <r>
      <rPr>
        <b/>
        <sz val="12"/>
        <color theme="1"/>
        <rFont val="David"/>
      </rPr>
      <t>לשנה</t>
    </r>
    <r>
      <rPr>
        <sz val="12"/>
        <color theme="1"/>
        <rFont val="David"/>
      </rPr>
      <t xml:space="preserve"> שלמה</t>
    </r>
  </si>
  <si>
    <r>
      <t>I</t>
    </r>
    <r>
      <rPr>
        <vertAlign val="subscript"/>
        <sz val="12"/>
        <rFont val="David"/>
      </rPr>
      <t>0</t>
    </r>
  </si>
  <si>
    <t>איננה נתונה</t>
  </si>
  <si>
    <r>
      <t>ב-</t>
    </r>
    <r>
      <rPr>
        <b/>
        <sz val="12"/>
        <color rgb="FFFF0000"/>
        <rFont val="David"/>
      </rPr>
      <t>1.4.2018</t>
    </r>
    <r>
      <rPr>
        <sz val="12"/>
        <color theme="1"/>
        <rFont val="David"/>
      </rPr>
      <t xml:space="preserve"> חברה רכשה מכונה לחימום נקניק שערך השייר / הגרט שלה הוא 10,000 ש״ח. אורך חייה 10 שנים </t>
    </r>
  </si>
  <si>
    <r>
      <t>והיא מופחתת בשיטת הקו הישר. יתרת הפחת שנצברה ל-</t>
    </r>
    <r>
      <rPr>
        <b/>
        <sz val="12"/>
        <color rgb="FFFF0000"/>
        <rFont val="David"/>
      </rPr>
      <t>31.12.2022</t>
    </r>
    <r>
      <rPr>
        <sz val="12"/>
        <color theme="1"/>
        <rFont val="David"/>
      </rPr>
      <t xml:space="preserve"> היא 42,750 ש״ח.</t>
    </r>
  </si>
  <si>
    <t>ספציפית לשם חישוב הוצאות הפחת ניתן להיעזר בהגדרת הפחת הנצבר = פחת לשנה כפול שנים שחלפו:</t>
  </si>
  <si>
    <t>פחת נצבר 31.12.2022</t>
  </si>
  <si>
    <t>D * (4 +9/12)</t>
  </si>
  <si>
    <t>הגדרה</t>
  </si>
  <si>
    <t>D * (4 + 9/12) = 42,750</t>
  </si>
  <si>
    <t>לכן:</t>
  </si>
  <si>
    <t>פחת לשנה שלמה D:</t>
  </si>
  <si>
    <t xml:space="preserve">D = 42,750/4.75 = </t>
  </si>
  <si>
    <t xml:space="preserve">הפריט נרכש (נתון) ב-1.4.2018. </t>
  </si>
  <si>
    <t>לכן - הוצאות הפחת ב-2018 אינן לשנה שלמה, כי אם ל-9 חודשים.</t>
  </si>
  <si>
    <t xml:space="preserve">לעומת זאת, ב-2019 הפריט שהה בחברה שנה שלמה. </t>
  </si>
  <si>
    <t xml:space="preserve">D(2018) = 9,000 * (9/12) = </t>
  </si>
  <si>
    <t>הוצ׳ פחת ב-2018:</t>
  </si>
  <si>
    <t>הוצ׳ פחת ב-2019:</t>
  </si>
  <si>
    <t xml:space="preserve">D(2019) = </t>
  </si>
  <si>
    <t>נתוני
השאלה</t>
  </si>
  <si>
    <t>הגדרת הפחת הנצבר</t>
  </si>
  <si>
    <t>ממנה אגזור את תהליך</t>
  </si>
  <si>
    <t>הפתרון לחילוץ הוצאות</t>
  </si>
  <si>
    <t>הפחת</t>
  </si>
  <si>
    <t>התשובה</t>
  </si>
  <si>
    <t>לנדרש</t>
  </si>
  <si>
    <t>ג. מהי העלות המופחתת ל-31.12.2021?</t>
  </si>
  <si>
    <t>ב. מהי עלות הפריט / הרכוש הקבוע?</t>
  </si>
  <si>
    <t xml:space="preserve">נדרש זה דורש מאיתנו את עלות הרכוש הקבוע, כמה הוא עלה היסטורית במועד רכישתו. </t>
  </si>
  <si>
    <t xml:space="preserve">זהו הגדול המסומן כ-I0. </t>
  </si>
  <si>
    <t>ואת הוצאות הפחת לשנה גילינו בסעיף א</t>
  </si>
  <si>
    <t xml:space="preserve">גרט IG: </t>
  </si>
  <si>
    <t>אורך חיים n</t>
  </si>
  <si>
    <t>זוהי העלות ההיסטורית / העלות ברכישה של פריט הרכוש הקבוע.</t>
  </si>
  <si>
    <t>נדרש ג: מהי העלות המופחתת ל-31.12.2021?</t>
  </si>
  <si>
    <t xml:space="preserve">העלות המופחתת היא הערך העדכני (נטו, לדיווח) שיוצג כנכס לא שוטף בדוח על המצב הכספי (המאזן). </t>
  </si>
  <si>
    <t>לשם כך, אנו זקוקים לעלות הפריט ההיסטורית (שכבר חולצה בנדרש ב) ולנכות ממנה את סך הפחת שנצבר עד אותו מועד.</t>
  </si>
  <si>
    <t>בניכוי פחת נצבר</t>
  </si>
  <si>
    <t xml:space="preserve">תזכורת קטנה: הפריט נרכש (והיה זמין לשימוש) ב-1.4.2018. </t>
  </si>
  <si>
    <t>פחת לשנה</t>
  </si>
  <si>
    <t>שנים שחלפו: מ-1.4.2018 עד ל-31.12.2021</t>
  </si>
  <si>
    <t xml:space="preserve">9000 * (3+9/12) = </t>
  </si>
  <si>
    <t>שאלה 9 - שאלה עם טיפול פשוט במכירה - עברנו בכיתה</t>
  </si>
  <si>
    <t>זמינות לשימוש</t>
  </si>
  <si>
    <t>תחילת הפחתה</t>
  </si>
  <si>
    <t>ערך שייר</t>
  </si>
  <si>
    <t>תקופת הפחתה</t>
  </si>
  <si>
    <t>מועד מכירה</t>
  </si>
  <si>
    <t>ריכוז נתונים לחובבי הז׳אנר</t>
  </si>
  <si>
    <t>עמודת עזר</t>
  </si>
  <si>
    <t xml:space="preserve">עלות פחות שייר / גרט </t>
  </si>
  <si>
    <t>חלקי תקופת הפחתה בשנים</t>
  </si>
  <si>
    <t>ההפרש בין תמורת המכירה לעלות המופחתת</t>
  </si>
  <si>
    <t>ערב המכירה (אם חיובי, זה רווח, ואם שלילי,</t>
  </si>
  <si>
    <t>מדובר בהפסד).</t>
  </si>
  <si>
    <t>110,000 - 41,000 = 69,000</t>
  </si>
  <si>
    <t xml:space="preserve">עצירת ביניים - והקשר לתכני הבחינה בנושא רכוש קבוע - פרקים, נושאים, הספק </t>
  </si>
  <si>
    <t>שאלת ״קיבוצי״ - המשמעות של שינוי אומדן ותקופת הפחתה, והשפעתו על הדיווחים</t>
  </si>
  <si>
    <t xml:space="preserve">חברת ״קיבוצי״ בע״מ רכשה מבנה לחימום נקניק לעובדי הקיבוץ. </t>
  </si>
  <si>
    <t>עלות המבנה 1,000,000 ש״ח כאשר 1/4 מעלות המבנה מיוחסת לקרקע.</t>
  </si>
  <si>
    <t xml:space="preserve">המבנה נרכש ב-1/1/2020, ואורך חייו השימושיים מוערך ב-25 שנה. </t>
  </si>
  <si>
    <t>החל מה-1/1/2024, שונה דפוס השימוש במבנה, ולכן החברה מעריכה שהחל מאותו מועד יתרת אורך חייו היא 10 שנים</t>
  </si>
  <si>
    <t xml:space="preserve">בלבד. </t>
  </si>
  <si>
    <t>ב-30/6/2027 נמכר המבנה, כאשר נוצר במכירה רווח הון בסך 28,000 ש״ח.</t>
  </si>
  <si>
    <t xml:space="preserve">א. חשבו והציגו את העלות, הפחת הנצבר, העלות המופחתת והוצאות הפחת לכל אחת מהשנים 2020-2026. </t>
  </si>
  <si>
    <t>ב. מהי תמורת המכירה בגין מכירת המבנה ב-30/6/2027?</t>
  </si>
  <si>
    <t>רגע לפני</t>
  </si>
  <si>
    <t>שינוי השימושים</t>
  </si>
  <si>
    <t>הוצאות הפחת מחושבות</t>
  </si>
  <si>
    <t>לפי עלות בניכוי שייר / גרט</t>
  </si>
  <si>
    <t>חלקי תקופת הפחתה.</t>
  </si>
  <si>
    <t>הקרקע, שהיא 1/4 מהעלות כאן, מטופלת כשייר / גרט, שהרי איננה נשחקת.</t>
  </si>
  <si>
    <t xml:space="preserve">מדובר בפחת לשנה שלמה בכל אחת מהשנים. </t>
  </si>
  <si>
    <t>מפה ואילך</t>
  </si>
  <si>
    <t>שינוי בהפחתה</t>
  </si>
  <si>
    <t>החל מ-1.1.2024 נרשם כי שנות ההפחתה של המבנה ״מכאן ואילך״</t>
  </si>
  <si>
    <t>הן 10 שנים. כלומר, ״שארית המבנה״ (עלותו המופחתת לפני השינוי 880,000)</t>
  </si>
  <si>
    <t xml:space="preserve">תופחת מפה והלאה על פני תקופה זו. </t>
  </si>
  <si>
    <t>אם לא נאמר אחרת - מניחים השייר / הגרט / החלק של הקרקע נותר זהה:</t>
  </si>
  <si>
    <t>ה״עלות״ החדשה שתשמש לצורך הפחתה בהמשך</t>
  </si>
  <si>
    <t>היא העלות המופחתת רגע לפני שינוי התנאים</t>
  </si>
  <si>
    <t>ל-31.12.2023</t>
  </si>
  <si>
    <t>רכיב השייר / הקרקע</t>
  </si>
  <si>
    <t>ללא שינוי אלא אם נאמר</t>
  </si>
  <si>
    <t>אחרת</t>
  </si>
  <si>
    <t>יתרת אורך חיים עדכנית ממועד השינוי</t>
  </si>
  <si>
    <t>ואילך</t>
  </si>
  <si>
    <t xml:space="preserve">שנתיות, לכל </t>
  </si>
  <si>
    <t>שנה ושנה</t>
  </si>
  <si>
    <t>לאחר השינוי</t>
  </si>
  <si>
    <t>פתרון א</t>
  </si>
  <si>
    <t>פתרון ב</t>
  </si>
  <si>
    <t>רגע לפני המכירה</t>
  </si>
  <si>
    <t>הוצ׳ פחת</t>
  </si>
  <si>
    <t>הפריט הוחזק חצי שנה</t>
  </si>
  <si>
    <t>לכן הוצאות הפחת הן חצי שנתיות</t>
  </si>
  <si>
    <t>כשמוכרים פריט רכוש קבוע, ידוע ש:</t>
  </si>
  <si>
    <t>תמורת המכירה:</t>
  </si>
  <si>
    <t>X</t>
  </si>
  <si>
    <t>בניכוי עלות מופחתת</t>
  </si>
  <si>
    <t>שווה לרווח הון נתון</t>
  </si>
  <si>
    <t>ולכן:</t>
  </si>
  <si>
    <t>X - 659,500 = 28,000</t>
  </si>
  <si>
    <t xml:space="preserve">X = </t>
  </si>
  <si>
    <t>התמורה</t>
  </si>
  <si>
    <r>
      <t xml:space="preserve">הוצאות 
ביטוח
מראש
</t>
    </r>
    <r>
      <rPr>
        <b/>
        <sz val="12"/>
        <color theme="1"/>
        <rFont val="David"/>
      </rPr>
      <t>(חייבים)</t>
    </r>
  </si>
  <si>
    <r>
      <t xml:space="preserve">מחשבים
ניידים
</t>
    </r>
    <r>
      <rPr>
        <b/>
        <sz val="12"/>
        <color theme="1"/>
        <rFont val="David"/>
      </rPr>
      <t>(רכוש 
קבוע)</t>
    </r>
  </si>
  <si>
    <t>שיפורים 
במושכר</t>
  </si>
  <si>
    <t>הלוואה לזמן 
ארוך</t>
  </si>
  <si>
    <r>
      <t xml:space="preserve">ריבית
לשלם
</t>
    </r>
    <r>
      <rPr>
        <b/>
        <sz val="12"/>
        <color theme="1"/>
        <rFont val="David"/>
      </rPr>
      <t>(זכאים)</t>
    </r>
  </si>
  <si>
    <r>
      <t xml:space="preserve">דיבידנד
לשלם
</t>
    </r>
    <r>
      <rPr>
        <b/>
        <sz val="12"/>
        <color theme="1"/>
        <rFont val="David"/>
      </rPr>
      <t>(זכאים)</t>
    </r>
  </si>
  <si>
    <t>פרמיה</t>
  </si>
  <si>
    <t>עודפים
(רווח צבור
ה"שייך
לחברה")</t>
  </si>
  <si>
    <t>הכנסה</t>
  </si>
  <si>
    <t>הוצאה</t>
  </si>
  <si>
    <t>ריבית</t>
  </si>
  <si>
    <t>ביטוח</t>
  </si>
  <si>
    <t>ייעוץ</t>
  </si>
  <si>
    <t>הכנסה משירות</t>
  </si>
  <si>
    <t>ט1</t>
  </si>
  <si>
    <t>טלפון</t>
  </si>
  <si>
    <t>ט2</t>
  </si>
  <si>
    <t>פרסום</t>
  </si>
  <si>
    <t>ט3</t>
  </si>
  <si>
    <t>תפעול</t>
  </si>
  <si>
    <t>יב1</t>
  </si>
  <si>
    <t>מסים עירוניים</t>
  </si>
  <si>
    <t>יב2</t>
  </si>
  <si>
    <t>סה"כ</t>
  </si>
  <si>
    <t>סך הנכסים:</t>
  </si>
  <si>
    <t>סך התחייבויות והון:</t>
  </si>
  <si>
    <t>"ייעוד הרווחים" - אופן חישוב עודפים (רווח צבור, בהון) לתום השנה</t>
  </si>
  <si>
    <t xml:space="preserve">חברת קוקילידה בע"מ-הדוח על המצב הכספי (המאזן) ליום </t>
  </si>
  <si>
    <t>31.12.XX</t>
  </si>
  <si>
    <t>ביאור - יתרת עודפים ל-</t>
  </si>
  <si>
    <t>יתרת פתיחה (ל-1.1)</t>
  </si>
  <si>
    <t>כאן: החברה חדשה, מתחילה מ"0"</t>
  </si>
  <si>
    <t>הוסף: רווח נקי השנה</t>
  </si>
  <si>
    <t xml:space="preserve">700,000 - 213,000 = </t>
  </si>
  <si>
    <t>דיבידנד שהוכרז</t>
  </si>
  <si>
    <t>יתרת סגירה</t>
  </si>
  <si>
    <t>זכאים</t>
  </si>
  <si>
    <r>
      <t>חברת נאור בע"מ (</t>
    </r>
    <r>
      <rPr>
        <b/>
        <u/>
        <sz val="12"/>
        <color rgb="FFFF0000"/>
        <rFont val="David"/>
      </rPr>
      <t>חברה המעניקה שירות</t>
    </r>
    <r>
      <rPr>
        <b/>
        <sz val="12"/>
        <color theme="1"/>
        <rFont val="David"/>
      </rPr>
      <t>) 
- דוח רווח והפסד לשנה שנסתיימה ב- 31.12</t>
    </r>
  </si>
  <si>
    <t>חייבים</t>
  </si>
  <si>
    <t>הלוואה ז"א</t>
  </si>
  <si>
    <r>
      <t xml:space="preserve">הכנסות </t>
    </r>
    <r>
      <rPr>
        <u/>
        <sz val="12"/>
        <color theme="1"/>
        <rFont val="David"/>
      </rPr>
      <t>משירות</t>
    </r>
  </si>
  <si>
    <t>הוצאות תפעוליות (א)</t>
  </si>
  <si>
    <t>רכוש קבוע</t>
  </si>
  <si>
    <t>הוצאות מימון (ריבית)</t>
  </si>
  <si>
    <t>רווח תפעולי בניכוי הוצ' מימון</t>
  </si>
  <si>
    <t>עודפים</t>
  </si>
  <si>
    <t>רווח לפני מס בניכוי מס הכנסה</t>
  </si>
  <si>
    <t>ביאור (א) - הוצאות תפעוליות</t>
  </si>
  <si>
    <t>הוצאות ביטוח</t>
  </si>
  <si>
    <t>הוצאות ייעוץ</t>
  </si>
  <si>
    <t>הוצאות פרסום</t>
  </si>
  <si>
    <t>הוצאות תפעול</t>
  </si>
  <si>
    <t>דומים ל"שכירות"</t>
  </si>
  <si>
    <t>הוצאות תפעוליות למעשה כוללות את מכלול ההוצאות שהעסק</t>
  </si>
  <si>
    <t>נותן השירותים צריך לשאת בהן לטובת פעילותו - לא כולל מסים על ההכנסה</t>
  </si>
  <si>
    <t>ולא כולל ריבית / מימון.</t>
  </si>
  <si>
    <t>ביאורים והסברים נבחרים:</t>
  </si>
  <si>
    <t>סעיף א׳: כאשר חברה מנפיקה 30,000 מניות, בנות 2 ש״ח ערך נקוב כל אחת, תמורת 125,000 ש״ח - סך הגידול בהון</t>
  </si>
  <si>
    <t>חייב להיות 125,000 ש״ח.</t>
  </si>
  <si>
    <t xml:space="preserve">אך נשאלת השאלה: הרי 30,000 * 2 = 60,000. </t>
  </si>
  <si>
    <t>כיצד ייתכן שהתמורה היא 125,000? מה פשר ההפרש?</t>
  </si>
  <si>
    <t>הון מניות = זכויות בעלות בחברה. במקרים רבים, זכויות הבעלות יכולות להיות בעלות שווי גבוה / נמוך מהמצויין עליהן.</t>
  </si>
  <si>
    <t>נתעד בקטגוריית ההון העצמי בסעיף ״הון המניות״ את הגידול בערך הנקוב</t>
  </si>
  <si>
    <t>ההפרש / המשלים: ״פרמיה״</t>
  </si>
  <si>
    <t>סך הגידול בהון - בהתאם לסך תמורת הנפקת המניות</t>
  </si>
  <si>
    <r>
      <rPr>
        <b/>
        <sz val="12"/>
        <color rgb="FFFF0000"/>
        <rFont val="David"/>
      </rPr>
      <t xml:space="preserve">סעיף ד' </t>
    </r>
    <r>
      <rPr>
        <sz val="12"/>
        <color theme="1"/>
        <rFont val="David"/>
      </rPr>
      <t xml:space="preserve">דן בדמי ביטוח אשר שולמו בסך 90,000 ש"ח ל-3 שנים מראש. </t>
    </r>
  </si>
  <si>
    <t>עד לתום שנת הדיווח, צרכנו שנה אחת מתוך 3 השנים: כלומר, צרכנו שירות בשווי 30,000 בלבד.</t>
  </si>
  <si>
    <r>
      <t>לכן, סכום ההוצאה שתוכר, שתמיד תהא בהתאם ל</t>
    </r>
    <r>
      <rPr>
        <b/>
        <sz val="12"/>
        <color theme="1"/>
        <rFont val="David"/>
      </rPr>
      <t>שווי</t>
    </r>
    <r>
      <rPr>
        <sz val="12"/>
        <color theme="1"/>
        <rFont val="David"/>
      </rPr>
      <t xml:space="preserve"> השירות שנצרך, תהא 30,000 ובסכום זה נרשום קיטון בצד ההון העצמי (הוצאות).</t>
    </r>
  </si>
  <si>
    <t xml:space="preserve">יחד עם זאת, אין ספק שהקיטון במזומן הוא בגובה התשלום הכולל בפועל: 90,000. </t>
  </si>
  <si>
    <t>מהו פשר ההפרש?</t>
  </si>
  <si>
    <t>שילמנו</t>
  </si>
  <si>
    <t>צרכנו</t>
  </si>
  <si>
    <t>חייבים לי</t>
  </si>
  <si>
    <t xml:space="preserve">תשלום מראש, בעד שירות שטרם נצרך. </t>
  </si>
  <si>
    <r>
      <t xml:space="preserve">כאשר משלמים מראש בעד שירות שטרם התקבל, הסכום הרלוונטי יסווג </t>
    </r>
    <r>
      <rPr>
        <b/>
        <sz val="12"/>
        <color theme="1"/>
        <rFont val="David"/>
      </rPr>
      <t xml:space="preserve">לנכס </t>
    </r>
    <r>
      <rPr>
        <sz val="12"/>
        <color theme="1"/>
        <rFont val="David"/>
      </rPr>
      <t>שנקרא "</t>
    </r>
    <r>
      <rPr>
        <b/>
        <sz val="12"/>
        <color theme="1"/>
        <rFont val="David"/>
      </rPr>
      <t>הוצאות מראש</t>
    </r>
    <r>
      <rPr>
        <sz val="12"/>
        <color theme="1"/>
        <rFont val="David"/>
      </rPr>
      <t xml:space="preserve">". </t>
    </r>
  </si>
  <si>
    <t xml:space="preserve">זהו נכס, שכן הוא משקף את זכותי לקבל בשנים הבאות שירותי ביטוח נוספים ללא חיוב נוסף. </t>
  </si>
  <si>
    <t>באופן כללי, כאשר חייבים לחברה שירות מדובר בנכס מבחינתה.</t>
  </si>
  <si>
    <t>תשלום שטרם נצרך יוצר נכס.</t>
  </si>
  <si>
    <r>
      <t xml:space="preserve">יש לשים לב להבדל בין סעיף ד </t>
    </r>
    <r>
      <rPr>
        <b/>
        <sz val="12"/>
        <color rgb="FFFF0000"/>
        <rFont val="David"/>
      </rPr>
      <t>לסעיף ה</t>
    </r>
    <r>
      <rPr>
        <sz val="12"/>
        <color theme="1"/>
        <rFont val="David"/>
      </rPr>
      <t>. סעיף ה דן בסיטואציה שבה חותמים על הסכם ל-20 שנים, אך בכל שנה משלמים בנפרד</t>
    </r>
  </si>
  <si>
    <t xml:space="preserve">עבור שווי השירות שנצרך. כלומר: אין תשלום עודף, אין תשלום מראש, והרישום פשוט יותר. </t>
  </si>
  <si>
    <t>מציינים את מה ששולם במזומן ואת הסכום גם בהוצאות.</t>
  </si>
  <si>
    <r>
      <rPr>
        <b/>
        <sz val="12"/>
        <color rgb="FFFF0000"/>
        <rFont val="David"/>
      </rPr>
      <t xml:space="preserve">סעיף ו </t>
    </r>
    <r>
      <rPr>
        <sz val="12"/>
        <color theme="1"/>
        <rFont val="David"/>
      </rPr>
      <t>דן ברכישת מחשבים. מחשבים הם נכס "בר קיימא" כלומר, כזה שצפוי להניב הטבות כלכליות לחברה לאורך זמן.</t>
    </r>
  </si>
  <si>
    <t>באופן כללי, רכישת פריטים כאלו, לרבות מכונות, ציוד, כלי רכב, מבנים ועוד - תוביל לרישום נכס בגובה עלותם.</t>
  </si>
  <si>
    <t xml:space="preserve">ככל שתחול בהמשך ירידה בערכם של נכסים אלו  - היא תתועד בנפרד. </t>
  </si>
  <si>
    <r>
      <rPr>
        <b/>
        <sz val="12"/>
        <color rgb="FFFF0000"/>
        <rFont val="David"/>
      </rPr>
      <t>סעיף ז</t>
    </r>
    <r>
      <rPr>
        <b/>
        <sz val="12"/>
        <color theme="1"/>
        <rFont val="David"/>
      </rPr>
      <t xml:space="preserve"> </t>
    </r>
    <r>
      <rPr>
        <sz val="12"/>
        <color theme="1"/>
        <rFont val="David"/>
      </rPr>
      <t xml:space="preserve">דן בשיפורים במושכר: מדובר בעלות מהותית שהושקעה בדירה / משרד / נדל"ן שהחברה שכרה לפרק זמן ממושך. </t>
    </r>
  </si>
  <si>
    <t>הואיל והשיפור צפוי לשרת את החברה במהלכה של תקופת השכירות הממושכת, ומשכך, להניב לה הטבות כלכליות</t>
  </si>
  <si>
    <t>לאורך זמן, מדובר בנכס.</t>
  </si>
  <si>
    <r>
      <rPr>
        <b/>
        <sz val="12"/>
        <color rgb="FFFF0000"/>
        <rFont val="David"/>
      </rPr>
      <t>סעיף ח</t>
    </r>
    <r>
      <rPr>
        <sz val="12"/>
        <color theme="1"/>
        <rFont val="David"/>
      </rPr>
      <t xml:space="preserve"> דן במצב שבו הענקנו שירותים בהיקף משמעותי שהנו 700,000 ש"ח. לפי ההגדרה, יש להכיר בהכנסה במלוא</t>
    </r>
  </si>
  <si>
    <t xml:space="preserve">סכום זה - גם אם לא קיבלנו את כולו במזומן בתקופת הדיווח. </t>
  </si>
  <si>
    <t>מדוע? משום שמטרת ההכנסות בדוח רווח והפסד היא לשקף את שווי הפעילות שבוצעה, ולא את עיתוי זרימת המזומן בעד</t>
  </si>
  <si>
    <t>הפעילות.</t>
  </si>
  <si>
    <t>סיפקנו שירות:</t>
  </si>
  <si>
    <t>החלק שהתקבל - נתון - 60%:</t>
  </si>
  <si>
    <t>היתרה - אשראי לקוחות:</t>
  </si>
  <si>
    <t>סעיף יג</t>
  </si>
  <si>
    <t>כאשר חברה מכריזה על דיבידנד, הרי היא מתחייבת לחלק סכום זה מתוך העודפים. במלים אחרות, בעוד שהעודפים</t>
  </si>
  <si>
    <t>הם חלק מההון העצמי של החברה עצמה, והשימוש בהם הוא לשיקול דעתה בלבד, הכרזת דיבידנד למעשה מייעדת</t>
  </si>
  <si>
    <t xml:space="preserve">באופן מחייב חלק מהם לבעלים (חלוקת דיבידנד היא תמיד לבעלים - לבעלי המניות). </t>
  </si>
  <si>
    <t>לפיכך, הכרזת דיבידנד תמיד תקטין את ההון העצמי - את סעיף העודפים במלוא הסכום שהוכרז.</t>
  </si>
  <si>
    <t>לצד זאת, במידה וחלק מהדיבידנד חולק - יש להקטין את המזומן או אמצעי התשלום האחר.</t>
  </si>
  <si>
    <t>רכיב הדיבידנד שהוכרז וטרם חולק יוצר התחייבות לחלוקתו הנקראת דיבידנד לשלם.</t>
  </si>
  <si>
    <t>הוכרז:</t>
  </si>
  <si>
    <t>קיטון בעודפים</t>
  </si>
  <si>
    <t>חלוקה:</t>
  </si>
  <si>
    <t>קיטון במזומן</t>
  </si>
  <si>
    <t>טרם חולק:</t>
  </si>
  <si>
    <t>ביאורים לגבי הדוחות הכספיים - חייבים שוטפים ולא שוטפים:</t>
  </si>
  <si>
    <t>נכס ההוצאות מראש מסתכם ב-60,000 ש"ח.</t>
  </si>
  <si>
    <t>מתוך סכום זה, 30,000 ש"ח ינוצלו בשנת הביטוח הקרובה.</t>
  </si>
  <si>
    <t>כלומר, מהווים נכס שוטף.</t>
  </si>
  <si>
    <t>היתרה, 30,000 הש"ח הנותרים, ינוצלו רק בעתיד הרחוק - רק בשנה שאחרי השנה הבאה.</t>
  </si>
  <si>
    <t>כלומר, יתרה זו מהווה נכס לא שוטף.</t>
  </si>
  <si>
    <t>בסך הכל:</t>
  </si>
  <si>
    <t>חייבים לנו</t>
  </si>
  <si>
    <t>מחציתו</t>
  </si>
  <si>
    <t>שוטף</t>
  </si>
  <si>
    <t>מחצית נותרת</t>
  </si>
  <si>
    <t>לא שוטפת</t>
  </si>
  <si>
    <t>לפיכך:</t>
  </si>
  <si>
    <t>סימנו כנכס חייבים בקבוצת הנכסים השוטפים:</t>
  </si>
  <si>
    <t>נכס חייבים לא שוטף:</t>
  </si>
  <si>
    <t>זכאים:</t>
  </si>
  <si>
    <t>יתרת הזכאים היא התחייבות, שוטפת בדרך כלל, המייצגת את התחייבות החברה קצרת המועד לגורמים שאינם ספקים.</t>
  </si>
  <si>
    <t>דוגמאות נפוצות כוללות:</t>
  </si>
  <si>
    <t>ריבית לשלם - התחייבות כלפי הבנק.</t>
  </si>
  <si>
    <t>שכר לשלם - התחייבות כלפי העובדים.</t>
  </si>
  <si>
    <t>דיבידנד לשלם - התחייבות כלפי בעלי המניות.</t>
  </si>
  <si>
    <t>במקרה שלנו, יתרת הזכאים תכלול לפיכך:</t>
  </si>
  <si>
    <t>דיב' לשלם</t>
  </si>
  <si>
    <t>סה"כ זכאים</t>
  </si>
  <si>
    <t xml:space="preserve">30,000 + 20,000 = </t>
  </si>
  <si>
    <t>וכעת לפתרון המלא:</t>
  </si>
  <si>
    <t>שיעור 8 - מנהלות ונושא ״מרכזי״ אחרון - הון עצמי</t>
  </si>
  <si>
    <t>מנהלות</t>
  </si>
  <si>
    <t xml:space="preserve">כפי ששמתם לב, לא עלו תרגילים להגשה השבוע. </t>
  </si>
  <si>
    <t>הסיבה לכך היתה שבימים אלו ממש מבוצע סנכרון תכנים הרמטי ונכתבת טיוטת הבחינה.</t>
  </si>
  <si>
    <t>המטרה היא לייצר הקבלה משמעותית בין ניסוח השאלות בבחינה לבין ניסוחי השאלות במטלות ההגשה, כדי לתת</t>
  </si>
  <si>
    <t xml:space="preserve">תמריץ רלוונטי לביצוען. </t>
  </si>
  <si>
    <t>יחד עם זאת, ובהתאם לבקשות שקיבלתי, אעלה גם שאלות יותר ״כלליות לתרגול״ שלא תהיינה להגשה, וזאת</t>
  </si>
  <si>
    <t>כדי שתוכלו לתרגל את הבסיס ולא ״לשכוח את החומר״.</t>
  </si>
  <si>
    <t>אנחנו מתחילים להתכנס בהיבט התכנים ליישורת האחרונה - עקרונית סיימנו עם רכוש קבוע, ולכן, בהתאם למיקוד</t>
  </si>
  <si>
    <t>הבחינה שכבר פורסם אנחנו כאן:</t>
  </si>
  <si>
    <t>נושא חדש - הון עצמי</t>
  </si>
  <si>
    <t>אנו כבר יודעים, בשלב הזה, שבמאזן, קיימים:</t>
  </si>
  <si>
    <t>השקעות לזמן קצר</t>
  </si>
  <si>
    <t>נכסים בלתי מוחשיים</t>
  </si>
  <si>
    <t>התח׳ לא שוטפות (מעל שנה)</t>
  </si>
  <si>
    <t>״כל מקור מימון שאיננו</t>
  </si>
  <si>
    <t>התחייבות״</t>
  </si>
  <si>
    <t>הצגנו בקצרה במפגשים הראשונים</t>
  </si>
  <si>
    <t>אבל היום נעמיק משמעותית</t>
  </si>
  <si>
    <t>ברכיבים</t>
  </si>
  <si>
    <t xml:space="preserve">למעשה, אנו טוענים שלכל נכס חייב להיות מקור מימון ששימש בהיווצרותו. </t>
  </si>
  <si>
    <t xml:space="preserve">מקור המימון יכול להיות התחייבותי (כזה שנובע מהתחייבות, כמו הלוואה), </t>
  </si>
  <si>
    <t xml:space="preserve">או שנובע ממקור שלא יוצר התחייבות (דוגמאות פשוטות ונרחיב בהמשך - השקעת בעלים, רווח שנצבר). </t>
  </si>
  <si>
    <t xml:space="preserve">כל מקור מימון שלא יוצר התחייבות הוא הון עצמי. </t>
  </si>
  <si>
    <t>להון העצמי יש חשיבות מיוחדת כשדנים בחוסן פיננסי (יציבות) של חברות.</t>
  </si>
  <si>
    <t xml:space="preserve">מדוע? </t>
  </si>
  <si>
    <t>משום שאם, באופן יחסי לנכסים, ההתחייבויות נמוכות (מה שמעיד על הון עצמי גבוה) המשמעות היא שהחברה</t>
  </si>
  <si>
    <t xml:space="preserve">איננה צריכה לעמוד בשוטף בתשלומי ריבית וקרן, כך שגם אם החברה תעבור תקופה קשה (עם הפסדים, רווחים נמוכים וכיו״ב) - </t>
  </si>
  <si>
    <t>יש סיכוי גבוה יותר שהיא ״תחזיק מעמד״.</t>
  </si>
  <si>
    <t>פריטי הון עצמי המחייבים בקורס</t>
  </si>
  <si>
    <t>הון מניות:</t>
  </si>
  <si>
    <t>הון מניות הוא המכפלה של מספר המניות המונפקות בערך הנקוב למניה.</t>
  </si>
  <si>
    <t>המשמעות הבסיסית היא - הון מניות משקף את מכלול זכויות הבעלות שחברה מעבירה</t>
  </si>
  <si>
    <t>לבעלים. למה הכוונה?</t>
  </si>
  <si>
    <t>נניח שהקמתי חברה. ובמועד הקמתה, החברה הנפיקה למשקיעים 60,000 מניות</t>
  </si>
  <si>
    <t>הון המניות: 180,000 = 3 * 60,000</t>
  </si>
  <si>
    <t>מה זה אומר, בגסות? נניח שתמר מתעניינת בהשקעה בחברה. והיא רוצה להחזיק</t>
  </si>
  <si>
    <t>ב-10% מהבעלות על החברה.</t>
  </si>
  <si>
    <t>במצב כזה, כדי להגשים את היעד, תמר תצטרך לרכוש 10% מהון המניות 18,000 = 180,000 * 10%.</t>
  </si>
  <si>
    <r>
      <t xml:space="preserve">בנות 3 </t>
    </r>
    <r>
      <rPr>
        <b/>
        <sz val="12"/>
        <color theme="1"/>
        <rFont val="David"/>
      </rPr>
      <t>ש״ח</t>
    </r>
    <r>
      <rPr>
        <sz val="12"/>
        <color theme="1"/>
        <rFont val="David"/>
      </rPr>
      <t xml:space="preserve"> ערך נקוב כל אחת.</t>
    </r>
  </si>
  <si>
    <t xml:space="preserve">בהחלט ייתכן שהשווי של המניות האלו גבוה יותר. </t>
  </si>
  <si>
    <t>בצורה הכי גסה: הון מניות = אחוזי בעלות בחברה; אם חברה שווה ״המון״ שווי מניה יהיה גבוה בהרבה מהון המניות שהיא יוצרת.</t>
  </si>
  <si>
    <t>אם הון מניות הוא גודל טכני (מס׳ מניות * ערך נקוב) ולא שווי כלכלי / תמורה שמתקבלת בעד המניות, איך מטפלים בהפרש?</t>
  </si>
  <si>
    <t>פרמיה:</t>
  </si>
  <si>
    <t xml:space="preserve">פרמיה היא ההפרש בין תמורת ההנפקה (שנשענת על שווי המניות) בין הערך הנקוב של המניות שהונפקו (הון מניות). </t>
  </si>
  <si>
    <t xml:space="preserve">הגודל הזה הוא לגמרי טכני. </t>
  </si>
  <si>
    <t>שאלה מס׳ 1 - הון מניות ופרמיה</t>
  </si>
  <si>
    <t>תמורת ההנפקה הסתכמה ב-285,000 ש״ח.</t>
  </si>
  <si>
    <t>נדרש: הציגו את השינויים בסעיפי ההון העצמי הנובעים מאירועים אלו בשנת 2024.</t>
  </si>
  <si>
    <t>הנפקת מניות בהקמה - 21.11.2024</t>
  </si>
  <si>
    <t>סה״כ הון עצמי</t>
  </si>
  <si>
    <t>מניות, שווה לתמורת ההנפקה נטו</t>
  </si>
  <si>
    <t>לערך הנקוב שהונפק (הון מניות)</t>
  </si>
  <si>
    <r>
      <rPr>
        <u/>
        <sz val="9"/>
        <color theme="1"/>
        <rFont val="David"/>
      </rPr>
      <t>הון מניות</t>
    </r>
    <r>
      <rPr>
        <sz val="9"/>
        <color theme="1"/>
        <rFont val="David"/>
      </rPr>
      <t>: מס׳ מניות * ערך נקוב למניה</t>
    </r>
  </si>
  <si>
    <r>
      <rPr>
        <u/>
        <sz val="9"/>
        <color theme="1"/>
        <rFont val="David"/>
      </rPr>
      <t>סה״כ הון עצמי</t>
    </r>
    <r>
      <rPr>
        <sz val="9"/>
        <color theme="1"/>
        <rFont val="David"/>
      </rPr>
      <t>: כשמדובר בהנפקת</t>
    </r>
  </si>
  <si>
    <r>
      <rPr>
        <u/>
        <sz val="9"/>
        <color theme="1"/>
        <rFont val="David"/>
      </rPr>
      <t>פרמיה</t>
    </r>
    <r>
      <rPr>
        <sz val="9"/>
        <color theme="1"/>
        <rFont val="David"/>
      </rPr>
      <t>: הפרש בין תמורת ההנפקה</t>
    </r>
  </si>
  <si>
    <t>הנפקת מניות נוספות - 15.12.2024</t>
  </si>
  <si>
    <t>הון מניות
3 ש״ח ע״נ</t>
  </si>
  <si>
    <t>בתאריך 21.11.2024 חברת ״תמרים״ בע״מ הוקמה ובמועד זה הונפקו 40,000 מניות בנות 3 ש״ח ערך נקוב (ע״נ) כל אחת.</t>
  </si>
  <si>
    <t>בתאריך 15.12.2024 הונפקו 10,000 מניות נוספות בנות 1 ש״ח ערך נקוב (ע״נ) כל אחת, בתמורה ל-88,000 ש״ח.</t>
  </si>
  <si>
    <t>הון מניות
1 ש״ח ע״נ</t>
  </si>
  <si>
    <t xml:space="preserve">סוגיות נוספות לגבי הון מניות ופרמיה: </t>
  </si>
  <si>
    <t xml:space="preserve">א. גם הנפקת מניות בתמורה לנכסים שאינם מזומן - יוצרת שינוי בהון העצמי בהתאם. </t>
  </si>
  <si>
    <t xml:space="preserve">ב. אם נוצרו עלויות הנפקת מניות בעסקת ההנפקה, כגון עלויות משפטיות, הן ישפיעו על סך השינוי בהון ועל הפרמיה. </t>
  </si>
  <si>
    <t xml:space="preserve">ג. לעתים חברות מבצעות פיצול מניות - ללא שינוי בערכן הנקוב. פעולה זו לא משפיעה על סך ההון העצמי אלא על הרכבו. </t>
  </si>
  <si>
    <t>ה. אם חברה מנפיקה מניות ללא תמורה למשקיעים קיימים - מדובר בהטבה לבעלי המניות - מניות הטבה: עלייה בהון המניות וירידה בפרמיה.</t>
  </si>
  <si>
    <t>שאלה 2 - הון מניות ופרמיה, סוגיות נוספות</t>
  </si>
  <si>
    <t xml:space="preserve">חברת ״ליקו פיט״ בע״מ הוקמה ב-1.1.2024. </t>
  </si>
  <si>
    <t xml:space="preserve">במועד הקמתה, הנפיקה החברה 40,000 מניות בנות 5 ש״ח ערך נקוב כל אחת, בתמורה ל-500,000 ש״ח. </t>
  </si>
  <si>
    <t xml:space="preserve">עלויות ההנפקה בעסקה הסתכמו בסכום של 22,000 ש״ח. </t>
  </si>
  <si>
    <t>לאור עלייה משמעותית בשווי המניה, ביצעה החברה פיצול מניות: כך שכל מי שהחזיק במניה בת 5 ש״ח ערך נקוב,</t>
  </si>
  <si>
    <t xml:space="preserve">קיבל במקומה 5 מניות בנות 1 ש״ח ערך נקוב. </t>
  </si>
  <si>
    <t>כמו כן, בהמשך השנה, החברה הנפיקה 12,000 מניות בנות 1 ש״ח ערך נקוב כל אחת, בתמורה למכונות חימום נקניק</t>
  </si>
  <si>
    <t>ששוויין ההוגן 200,000 ש״ח.</t>
  </si>
  <si>
    <t>לקראת סוף השנה, הנפיקה החברה מניות הטבה בשיעור של 10% לבעלי המניות.</t>
  </si>
  <si>
    <t xml:space="preserve">נדרש: הציגו את השינויים בסעיפי ההון העצמי כתוצאה מהעסקאות המתוארות באירוע. </t>
  </si>
  <si>
    <t>הנפקת מניות 1.1.2024</t>
  </si>
  <si>
    <t>הון מניות
5 ש״ח ע״נ</t>
  </si>
  <si>
    <t>סך השינוי
בהון העצמי</t>
  </si>
  <si>
    <t>פיצול מניות</t>
  </si>
  <si>
    <t>הנפקת מניות בתמורה למ.נק</t>
  </si>
  <si>
    <t>הנפקת מניות הטבה</t>
  </si>
  <si>
    <t>הנפקת הטבה: מגדילה את הערך הנקוב של המניות הזכאיות להטבה בשיעור ההטבה.</t>
  </si>
  <si>
    <t xml:space="preserve">כאן - המניות היחידות שקיימות ערב ההטבה אלו מניות 1 ש״ח ערך נקוב. </t>
  </si>
  <si>
    <t>בסך הכל, ישנן 212,000 ערך נקוב מניות כאלו = 12,000 + 200,000</t>
  </si>
  <si>
    <t>וההטבה, שהיא בשיעור 10%, מחושבת מתוך סכום זה: 21,200 = 212,000 * 10%</t>
  </si>
  <si>
    <t>יתרת עודפים:</t>
  </si>
  <si>
    <t>עודפים מוגדרים בתור יתרת הרווח המצטברת: במלים אחרות, יתרת העודפים גדלה כאשר נוצר רווח;</t>
  </si>
  <si>
    <t>היא קטנה כאשר נוצר הפסד;</t>
  </si>
  <si>
    <t xml:space="preserve">ובנוסף - היא קטנה כאשר מבוצע ייעוד של הרווח חזרה למשקיעים (דיבידנד). </t>
  </si>
  <si>
    <t>באיור המדהים משמאל: הבריכה היא בריכת העודפים / הרווח שנצבר,</t>
  </si>
  <si>
    <t xml:space="preserve">וממנה זולג החוצה (ומקטין אותה) הדיבידנד. </t>
  </si>
  <si>
    <t>שאלה 3 - הון מניות, פרמיה - רווח ודיבידנדים (עודפים)</t>
  </si>
  <si>
    <t>בחברת ״אדי הסעדה״ שהוקמה ב-1.1.2023 בוצעו הפעולות הבאות במהלך שנה זו:</t>
  </si>
  <si>
    <t xml:space="preserve">הונפקו 30,000 מניות בנות 4 ש״ח ערך נקוב תמורת 190,000 ש״ח, עלויות הנפקה: 5,000. </t>
  </si>
  <si>
    <t>בוצע פיצול מניות: כל המחזיק במניה בת 4 ש״ח, קיבל במקומה 4 מניות 1 ש״ח.</t>
  </si>
  <si>
    <t>הונפקו מניות הטבה בשיעור 10%.</t>
  </si>
  <si>
    <t>הונפקו מניות כנגד נכסי נקניק ששוויים ההוגן 140,000 ש״ח. בסך הכל הונפקו 20,000 מניות בנות 1 ש״ח ע״נ.</t>
  </si>
  <si>
    <t>רווחי החברה לשנת 2024 הסתכמו ב-700,000 ש״ח.</t>
  </si>
  <si>
    <t xml:space="preserve">של 140,000 ש״ח שולם באותו היום, היתרה תשולם בתחילת 2025. </t>
  </si>
  <si>
    <t xml:space="preserve">החברה הכריזה (התחייבה לשלם) למשקיעים (בעלי מניות) דיבידנד בסך 240,000 ש״ח. סכום  </t>
  </si>
  <si>
    <t xml:space="preserve">נדרש: הציגו את הדוח על השינויים בהון העצמי (יפרט את השינויים בכל רכיב הון, ויסכום את הערכים). </t>
  </si>
  <si>
    <t>פרטים</t>
  </si>
  <si>
    <t>סך ההון העצמי</t>
  </si>
  <si>
    <t>הנפקת מניות</t>
  </si>
  <si>
    <t>הון מניות
4 ש״ח ע״נ</t>
  </si>
  <si>
    <t>הנפקת הטבה</t>
  </si>
  <si>
    <t>הנפקת מניות כנגד רכוש קבוע</t>
  </si>
  <si>
    <t>רווח השנה (נקי)</t>
  </si>
  <si>
    <t>עודפים
(יתרת רווח)</t>
  </si>
  <si>
    <t>דיבידנד</t>
  </si>
  <si>
    <t xml:space="preserve">בין אם לאו. </t>
  </si>
  <si>
    <t>סה״כ / יתרות לדיווח</t>
  </si>
  <si>
    <t xml:space="preserve">דיבידנד מתועד בסימן שלילי בעודפים ובהון העצמי בהתאם לסכום הכולל שהחברה התחייבה לחלק, בין אם חילקה אותו במהלך השנה, </t>
  </si>
  <si>
    <t>שאלה 4 - שאלה נוספת לתרגול כיתה</t>
  </si>
  <si>
    <t xml:space="preserve">חברת ״אבנרים״ בע״מ הוקמה ב-1.1.2004. </t>
  </si>
  <si>
    <t xml:space="preserve">החברה עוסקת במתן שירותי חימום נקניקי סויה לעובדי הייטק. </t>
  </si>
  <si>
    <t>להלן נתונים בדבר עסקאות ואירועים בחברה:</t>
  </si>
  <si>
    <t>הונפקו 50,000 מניות בנות 3 ש״ח ערך נקוב כל אחת בתמורה ל-170,000 ש״ח. עלויות הנפקה: 7,000.</t>
  </si>
  <si>
    <t>הונפקו 40,000 מניות בנות 1 ש״ח ערך נקוב כל אחת בתמורה ל-90,000 ש״ח.</t>
  </si>
  <si>
    <t>הונפקו מניות הטבה בשיעור 5%.</t>
  </si>
  <si>
    <t>בוצע פיצול מניות כך שכל המחזיק במניה בת 3 ש״ח ע״נ קיבל במקומה 3 מניות בנות 1 ש״ח ע״נ.</t>
  </si>
  <si>
    <t>הונפקו 10,000 מניות בנות 1 ש״ח ע״נ בתמורה למלאי נקניקי סויה ששוויו 80,000 ש״ח.</t>
  </si>
  <si>
    <t>הרווח הנקי בחברה הסתכם ב-400,000 ש״ח. החברה חילקה לבעלי המניות דיבידנד בשיעור של 15%</t>
  </si>
  <si>
    <t>מערכן הנקוב.</t>
  </si>
  <si>
    <t xml:space="preserve">נדרש: הציגו את הדוח על השינויים בהון העצמי. </t>
  </si>
  <si>
    <t>פתרון באדיבות: תמר סניף ת״א</t>
  </si>
  <si>
    <t>שאלות הקהל:</t>
  </si>
  <si>
    <t>א. איך הגעת ל-9,500 בשורת מניות ההטבה?</t>
  </si>
  <si>
    <t>בהתאם להגדרת ההטבה, הונפקו 7,500 ערך נקוב מניות 3 ש״ח ו-2,000 ערך נקוב מניות 1 ש״ח.</t>
  </si>
  <si>
    <t>הואיל ותמורת ההנפקה 0, יש להקטין את הפרמיה בסיכום הערכים של הערך הנקוב שנוצר: 9,500-.</t>
  </si>
  <si>
    <t>ב. איך הגעת ל157,500- ב-31/3? התשובה היא סכמתי את הון המניות 3 ש״ח ערך נקוב שהתפצלו, איפסתי אותן</t>
  </si>
  <si>
    <t>על ידי הקטנתן בסכום זה, והוספתי ערך זה למניות 1 ש״ח ע״נ.</t>
  </si>
  <si>
    <t>ג. מה קרה ב-31/12/2024?</t>
  </si>
  <si>
    <t>אירוע 1 - רווח נקי בסך 400,000 ש״ח שנזקף ליתרת העודפים / יתרת הרווח ולסך ההון בסימן חיובי.</t>
  </si>
  <si>
    <t>אירוע 2 - דיבידנד, שלפי הנתון מהווה 15% מהערך הנקוב. לשם חישוב ערכו, הייתי צריך לסכום</t>
  </si>
  <si>
    <t>את הערך הנקוב של כל המניות הקיימות (רק מניות 1 ש״ח ערך נקוב - 209,500) ואת הסכום</t>
  </si>
  <si>
    <t>הזה לכפול ב-15%. התוצאה שהיא 31,425 נרשמה כסכום דיבידנד שמקטין את העודפים וההון העצמי</t>
  </si>
  <si>
    <t xml:space="preserve">בסכום זה. </t>
  </si>
  <si>
    <t xml:space="preserve">מפגשונית 9 - המשך תרגול הון עצמי וקשר לנושאים האחרים </t>
  </si>
  <si>
    <t>מטרתנו:</t>
  </si>
  <si>
    <t xml:space="preserve">לבצע תרגול נוסף לגבי הון עצמי, ברמה מסכמת. </t>
  </si>
  <si>
    <t xml:space="preserve">להראות את הקשר בין ההון העצמי לבין נושאים אחרים שנלמדו - גם ברמה התיאורטית, ודרך כל לבצע סוג </t>
  </si>
  <si>
    <t>של חזרה ומיני הכנה לשאלות בנושא.</t>
  </si>
  <si>
    <t>רענון - הון עצמי:</t>
  </si>
  <si>
    <r>
      <t xml:space="preserve">הון עצמי = כל מקור מימון (עסקה שהובילה לגידול במשאבי החברה ונכסיה) </t>
    </r>
    <r>
      <rPr>
        <u/>
        <sz val="12"/>
        <color theme="1"/>
        <rFont val="David"/>
      </rPr>
      <t>שאיננו</t>
    </r>
    <r>
      <rPr>
        <sz val="12"/>
        <color theme="1"/>
        <rFont val="David"/>
      </rPr>
      <t xml:space="preserve"> התחייבות.</t>
    </r>
  </si>
  <si>
    <t>סעיפי ההון העצמי בקורסנו הם:</t>
  </si>
  <si>
    <t>הון מניות.</t>
  </si>
  <si>
    <t xml:space="preserve">פרמיה. </t>
  </si>
  <si>
    <t xml:space="preserve">יתרת רווח (עודפים). </t>
  </si>
  <si>
    <t>עסקאות שישפיעו על ההון העצמי:</t>
  </si>
  <si>
    <t xml:space="preserve">הנפקת מניות. </t>
  </si>
  <si>
    <t>הנפקת מניות הטבה (ללא תמורה).</t>
  </si>
  <si>
    <t xml:space="preserve">רווחים / הפסדים. </t>
  </si>
  <si>
    <t xml:space="preserve">דיבידנדים. </t>
  </si>
  <si>
    <t>כששואלים אותי: כמה הון עצמי יש</t>
  </si>
  <si>
    <t>בחברה? בעצם שואלים על ערכי הסעיפים</t>
  </si>
  <si>
    <t xml:space="preserve">הללו וסכומם הכולל. </t>
  </si>
  <si>
    <t>כששואלים: ״כיצד ישפיע האירוע על ההון העצמי...״</t>
  </si>
  <si>
    <t xml:space="preserve">אני צריך לדעת זאת בהתאם להגדרת האירועים לעיל. </t>
  </si>
  <si>
    <t>סגנון שאלות</t>
  </si>
  <si>
    <t xml:space="preserve">במבחן צפויה שאלה ספציפית העוסקת רק בהון העצמי. </t>
  </si>
  <si>
    <t>בנוסף, במסגרת השאלה ה״גדולה״ של עריכת דיווחים ייתכנו סעיפים (בעיקר תיאורטיים) ששואלים על השפעת</t>
  </si>
  <si>
    <t>אירועים שיש להם משמעות לגבי ההון העצמי - על הערכים בדיווח - - - &gt; ובסוגיה זו נתמקד מיד.</t>
  </si>
  <si>
    <t>שאלה 1 - שאלה ספציפית כמותית הממוקדת בהון העצמי</t>
  </si>
  <si>
    <t xml:space="preserve">חברת ״שירה״ בע״מ הוקמה ב-1.1.2020. </t>
  </si>
  <si>
    <t>להלן נתונים בדבר יתרות סעיפי ההון העצמי בחברה ליום 31.12.2023:</t>
  </si>
  <si>
    <t>הון מניות רגילות בנות 1 ש״ח ע״נ</t>
  </si>
  <si>
    <t>עודפים (יתרת רווח)</t>
  </si>
  <si>
    <t>החברה הנפיקה 100,000 מניות בנות 3 ש״ח ערך נקוב כל אחת, בתמורה ל-450,000 ש״ח.</t>
  </si>
  <si>
    <t>החברה הנפיקה 80,000 מניות בנות 1 ש״ח ערך נקוב כל אחת, בתמורה ל-120,000 ש״ח. בעסקה זו</t>
  </si>
  <si>
    <t xml:space="preserve">נוצרו עלויות הנפקה בסך 15,000 ש״ח. </t>
  </si>
  <si>
    <t>הונפקו מניות הטבה לבעלי המניות הרגילות בשיעור 5% כנגד הפרמיה.</t>
  </si>
  <si>
    <t>בוצע פיצול מניות כך שכל המחזיק במניה בת 3 ש״ח ערך נקוב, קיבל במקומה 3 מניות בנות 1 ש״ח</t>
  </si>
  <si>
    <t>ערך נקוב כל אחת.</t>
  </si>
  <si>
    <t>להלן נתונים בדבר עסקאות ואירועים שהתרחשו בחברה במהלך 2024:</t>
  </si>
  <si>
    <t xml:space="preserve">הרווח הנקי בחברה הסתכם ב-300,000 ש״ח. </t>
  </si>
  <si>
    <t>החברה הכריזה דיבידנד בסכום של 75,000 ש״ח, מחצית שולמה עד תום 2024, היתרה תשולם</t>
  </si>
  <si>
    <t xml:space="preserve">במהלך שנת 2025. </t>
  </si>
  <si>
    <t>נדרש: הציגו את הדוח על השינויים בהון העצמי לשנה שנסתיימה ב-31/12/2024.</t>
  </si>
  <si>
    <t>חברת ״שירה״ בע״מ - הדוח על השינויים בהון העצמי לשנת 2024</t>
  </si>
  <si>
    <t>הון מניות 1</t>
  </si>
  <si>
    <t>יתרות פתיחה</t>
  </si>
  <si>
    <t>הון מניות 3</t>
  </si>
  <si>
    <t xml:space="preserve">120,000 - 15,000 = </t>
  </si>
  <si>
    <t>תמורה ברוטו</t>
  </si>
  <si>
    <t>עלויות הנפקה</t>
  </si>
  <si>
    <t>יתרות לדיווח</t>
  </si>
  <si>
    <t>שאלה 2 - דיון תיאורטי ורחב יותר - השפעות אירועי הון עצמי על הדיווחים הכספיים</t>
  </si>
  <si>
    <t xml:space="preserve">התפעול של החברה בישיבת ההנהלה האחרונה. </t>
  </si>
  <si>
    <t xml:space="preserve">נדרש: מה דעתכם על הטענה הזו? השיבו בהתאם להגדרות רכיבי ההון העצמי ומשמעותם. </t>
  </si>
  <si>
    <t>״כאשר חברה מציגה הון עצמי חיובי וגבוה, המשמעות היא שהחברה רווחית ויש בה מזומן בהיקף גבוה״. כך טען סמנכ״ל</t>
  </si>
  <si>
    <t>תזכורת: מה כלול בהון העצמי בקורסנו?</t>
  </si>
  <si>
    <t>נוצרים / גדלים בעקבות השקעת הבעלים</t>
  </si>
  <si>
    <t>בחברה</t>
  </si>
  <si>
    <t>נוצרים / גדלים בעקבות רווח נקי</t>
  </si>
  <si>
    <t xml:space="preserve">הון עצמי יכול בהחלט לנבוע מרווחים. אך הוא יכול לנבוע גם מהשקעת בעלים שאיננה רווח. </t>
  </si>
  <si>
    <t xml:space="preserve">לכן, אם אמרו לי שההון העצמי גבוה, לא אוכל להסיק מכך מפורשות שהרווח גבוה. </t>
  </si>
  <si>
    <t>דוגמא מספרית קטנה:</t>
  </si>
  <si>
    <t>חברה הוקמה ב-31.12.2020 ולאור הפוטנציאל העסקי שלה הצליחה לגייס ממשקיעים מליארד דולר בתמורה</t>
  </si>
  <si>
    <t>להנפקת 5,000,000 מניות בנות 1 ש״ח ערך נקוב כל אחת.</t>
  </si>
  <si>
    <t xml:space="preserve">זהו האירוע היחידי שחל בחברה ב-2020. </t>
  </si>
  <si>
    <t>הנפקה</t>
  </si>
  <si>
    <t>סך ההון</t>
  </si>
  <si>
    <t>זו הדגמה לחברה שההון העצמי של גבוה - אך היא טרם ביצעה מכירות / מתן שירות / הכנסות / רווחים:</t>
  </si>
  <si>
    <t xml:space="preserve">כל ההון העצמי שלה נובע מהשקעת בעלים. </t>
  </si>
  <si>
    <t>נשלול את החלק הראשון של הטענה ״הון עצמי גבוה מעיד על רווחיות גבוה״</t>
  </si>
  <si>
    <t>נשלול גם את החלק השני של המשפט ״הון עצמי גבוה משמעו מזומן בהיקף גבוה״</t>
  </si>
  <si>
    <t>ד״ר צבאן, זה דווקא ברור! הרי הנכסים בחברה לא כוללים רק מזומן!</t>
  </si>
  <si>
    <t xml:space="preserve">למשל, נניח שבשאלה הקודמת החברה רכשה מיד עם הקמתה באמצעות המזומן שקיבלה רכוש קבוע. </t>
  </si>
  <si>
    <t>חברה הוקמה:</t>
  </si>
  <si>
    <t>התחייבויות והון</t>
  </si>
  <si>
    <t>מזומן 1 מליארד</t>
  </si>
  <si>
    <t>השקעת בעלים:</t>
  </si>
  <si>
    <t>לאחר שהחברה רכשה רכוש קבוע עם המזומן:</t>
  </si>
  <si>
    <t>רכוש קבוע 1 מליארד</t>
  </si>
  <si>
    <t>רכוש קבוע: כגון מכונות, ציוד, כלי רכב</t>
  </si>
  <si>
    <t xml:space="preserve">מבנים שעלותם 1 מליארד. </t>
  </si>
  <si>
    <t>מלאי</t>
  </si>
  <si>
    <t>השקעות לזמן ארוך</t>
  </si>
  <si>
    <t>לפניכם נתוני הדוח על המצב הכספי (המאזן) של חברת ״רעועים״ בע״מ ליום 31.12.2023 - במיליוני ש״ח:</t>
  </si>
  <si>
    <t>שאלה 3 - דיון רחב יותר - השפעות אירועי הון עצמי על הדיווחים הכספיים</t>
  </si>
  <si>
    <t>נדרש: בישיבת ההנהלה צרח ליקו המנכ״ל ״לא יעלה על הדעת שבחברה יהיה כל כך מעט הון עצמי! אני דורש מכל</t>
  </si>
  <si>
    <t xml:space="preserve">הנוגעים בדבר לבצע בהקדם האפשרי פעולות שיסייעו להגדלת ההון העצמי בחברה״. </t>
  </si>
  <si>
    <t>להלן מספר הצעות שעלו בישיבה:</t>
  </si>
  <si>
    <t xml:space="preserve">הצעה 1, של קיבוצי: ״אפשר אולי להנפיק מניות במזומן״. </t>
  </si>
  <si>
    <t>הצעה 2, של שירה: ״אפשר אולי להנפיק מניות הטבה״.</t>
  </si>
  <si>
    <t>הצעה 3, של ורודי: ״אפשר לקחת הלוואה לזמן ארוך, וכספי המזומן שיועברו לעו״ש בזכותה, יגדילו את ההון העצמי״.</t>
  </si>
  <si>
    <t>נדרש: מי מבין ההצעות מתאימה? נמקו בקצרה.</t>
  </si>
  <si>
    <t>הצעה 1: מתאימה. הראינו כי הנפקת מניות במזומן מגדילה את סך ההון העצמי (וספציפית - את רכיבי הון המניות והפרמיה).</t>
  </si>
  <si>
    <t>הצעה 2: לא מתאימה. אמנם הראינו שהנפקת מניות הטבה מגדילה את הון המניות - אך סך ההון העצמי לא משתנה - משום שמדובר בהנפקה ללא תמורה.</t>
  </si>
  <si>
    <t>הצעה 3: ורודי טועה. נטילת הלוואה לזמן ארוך אכן תגדיל את המזומן - אך לא את ההון העצמי, אלא את ההתחייבויות:</t>
  </si>
  <si>
    <r>
      <t xml:space="preserve">אמרנו בתחילת המפגש: ״הון עצמי הוא בעצם כל מקור מימון </t>
    </r>
    <r>
      <rPr>
        <u/>
        <sz val="12"/>
        <color theme="1"/>
        <rFont val="David"/>
      </rPr>
      <t>שאיננו</t>
    </r>
    <r>
      <rPr>
        <sz val="12"/>
        <color theme="1"/>
        <rFont val="David"/>
      </rPr>
      <t xml:space="preserve"> התחייבות״</t>
    </r>
  </si>
  <si>
    <t>הואיל והלוואה היא מקור מימון שיוצר התחייבות כלפי המלווה - היא לא תסווג להון העצמי.</t>
  </si>
  <si>
    <t>סיכומון - לנושא ההון העצמי והקשריו</t>
  </si>
  <si>
    <t xml:space="preserve">הון עצמי כולל את השקעת הבעלים (הון מניות ופרמיה) ורווחים שנצברו המושפעים שלילית מדיבידנדים (עודפים). </t>
  </si>
  <si>
    <t>שאלות בנושא ההון העצמי יכולות לכלול שאלות ספציפיות לגבי העסקאות שמשפיעות על ההון העצמי - כולל הצגה</t>
  </si>
  <si>
    <t>מלאה של הדוח על השינויים בהון;</t>
  </si>
  <si>
    <t xml:space="preserve">וכן - סעיפים תיאורטיים ששואלים כיצד עסקאות ספציפיות ישפיעו על ההון העצמי ומה משמעותן. </t>
  </si>
  <si>
    <t xml:space="preserve">עיקר הדיון בסעיפים התיאורטיים וההשפעות - ייוצר כסוג של המשך לשאלה הגדולה, שאליה נגיע בקרוב אי״ה. </t>
  </si>
  <si>
    <t>עיקר הדיון בסעיפים התיאורטיים וההשפעות - ייוצר כסוג של המשך לשאלה הגדולה, שאליה נגיע בקרוב אי״ה. V</t>
  </si>
  <si>
    <t>שיעור 10 - חזרה לבחינה - 12/1/2025</t>
  </si>
  <si>
    <t>מלאי לתום השנה (מאזן)</t>
  </si>
  <si>
    <t>מלאי לתום השנה (רווח והפסד)</t>
  </si>
  <si>
    <t>מכונות נקניק, עלות</t>
  </si>
  <si>
    <t>מכונות נקניק, פחת נצבר</t>
  </si>
  <si>
    <t>יתרת רווח (עודפים) ליום 1.1.2025</t>
  </si>
  <si>
    <t>קניות</t>
  </si>
  <si>
    <t>הוצאות חשמל (40% להנהלה, 60% לשיווק)</t>
  </si>
  <si>
    <t>הוצאות שכר (50% להנהלה, 50% לשיווק)</t>
  </si>
  <si>
    <t>הוצאות מסים עירוניים (ארנונה)</t>
  </si>
  <si>
    <t>עמלות סוכני מכירות</t>
  </si>
  <si>
    <t>שכר טרחת רואי חשבון</t>
  </si>
  <si>
    <t>הוצאות מסים על ההכנסה</t>
  </si>
  <si>
    <t>הלח״מ (יתרת הפרשה לחובות מסופקים)</t>
  </si>
  <si>
    <t>לפניכם רשימת יתרות כרטיסי חשבון בחברת ״מצליחים״ ליום 31.12.2025 (באלפי ש״ח). החברה עוסקת במכירת</t>
  </si>
  <si>
    <t>נקניק מחומם.</t>
  </si>
  <si>
    <t xml:space="preserve">א. חלצו את יתרת העודפים ליום 1.1.2025. </t>
  </si>
  <si>
    <t>ב. ערכו את הדוח על המצב הכספי (מאזן) ליום 31.12.2025 ואת דוח רווח והפסד לשנה שהסתיימה בתאריך זה.</t>
  </si>
  <si>
    <t>עליית ערך נדל״ן להשקעה</t>
  </si>
  <si>
    <t>shay.tsaban@gmail.com</t>
  </si>
  <si>
    <t>דוח רווח והפסד לשנת 2025</t>
  </si>
  <si>
    <t>הדוח על המצב הכספי (מאזן) ליום 31.12.2025</t>
  </si>
  <si>
    <r>
      <t>לקוחות, נטו</t>
    </r>
    <r>
      <rPr>
        <sz val="8"/>
        <color theme="1"/>
        <rFont val="David"/>
      </rPr>
      <t xml:space="preserve"> (ברוטו בניכוי הלח״מ)</t>
    </r>
  </si>
  <si>
    <r>
      <t xml:space="preserve">מלאי </t>
    </r>
    <r>
      <rPr>
        <sz val="9"/>
        <color theme="1"/>
        <rFont val="David"/>
      </rPr>
      <t>(מאזן: סגירה = לתום השנה)</t>
    </r>
  </si>
  <si>
    <r>
      <t>רכוש קבוע, נטו</t>
    </r>
    <r>
      <rPr>
        <sz val="8"/>
        <color theme="1"/>
        <rFont val="David"/>
      </rPr>
      <t>(ברוטו בניכוי פחנ״צ)</t>
    </r>
  </si>
  <si>
    <t>סך הנכסים הלא שוטפים</t>
  </si>
  <si>
    <r>
      <t xml:space="preserve">סך הנכסים </t>
    </r>
    <r>
      <rPr>
        <b/>
        <sz val="8"/>
        <color theme="1"/>
        <rFont val="David"/>
      </rPr>
      <t>(שוטפים ולא שוטפים)</t>
    </r>
  </si>
  <si>
    <t>סך ההתחייבויות הלא שוטפות</t>
  </si>
  <si>
    <t>ידוע כי:</t>
  </si>
  <si>
    <t xml:space="preserve">      סך הנכסים = סך ההתחייבויות וההון</t>
  </si>
  <si>
    <t>סך ההתחייבות</t>
  </si>
  <si>
    <t>מכירות (נטו)</t>
  </si>
  <si>
    <t>רווח לפני מס</t>
  </si>
  <si>
    <t>על פי נתוני השאלה, החברה עוסקת במכירות (סוכני מכירות, מכירות זו ההכנסה העיקרית)</t>
  </si>
  <si>
    <t>אלפי ש״ח</t>
  </si>
  <si>
    <t>מכירות (ברוטו) בניכוי החזרות מלקוחות והנחות ללקוחות</t>
  </si>
  <si>
    <t>עלות המוצרים שנמכרו</t>
  </si>
  <si>
    <t>מלאי פתיחה (לתחילת השנה)</t>
  </si>
  <si>
    <t>בניכוי מלאי סגירה (לתום השנה) - רווח והפסד</t>
  </si>
  <si>
    <r>
      <t xml:space="preserve">קניות, נטו: </t>
    </r>
    <r>
      <rPr>
        <sz val="8"/>
        <color theme="1"/>
        <rFont val="David"/>
      </rPr>
      <t>קניות (ברוטו) + הובלה למחסן בניכוי החזרות לספקים והנחות מסחריות מספקים</t>
    </r>
  </si>
  <si>
    <t>מכירות נטו בניכוי עלות המכירות</t>
  </si>
  <si>
    <t>פרסום, שיווק, הפצה, הובלה ללקוח, עמלות סוכני מכירה</t>
  </si>
  <si>
    <t>כל ההוצאות הכלליות - ללא עלות מכר הוצאות אחרות והוצאות מימון</t>
  </si>
  <si>
    <t>הכנסות מיוחדות / צדדיות שאינן מימון, כגון: עליית ערך נדל״ן ורווח הון</t>
  </si>
  <si>
    <t>הוצאות מיוחדות שלא מתאימות לסעיפים אחרים / למימון, כגון הפסד הון</t>
  </si>
  <si>
    <t>רווח גולמי בניכוי הוצאות מכירה ושיווק ובניכוי הוצאות הנהלה וכלליות</t>
  </si>
  <si>
    <t>הוצאות ריבית, עמלות בנק, הפסדים מניירות ערך</t>
  </si>
  <si>
    <t>הכנסות ריבית, רווח מניירות ערך</t>
  </si>
  <si>
    <t>רווח תפעולי בניכוי הוצאות מימון בתוספת הכנסות מימון</t>
  </si>
  <si>
    <t>רווח לפני מס בניכוי מסים על ההכנסה</t>
  </si>
  <si>
    <t>כמו כן, אם נדרש לחשב את העודפים ל-1.1 (תחילת השנה):</t>
  </si>
  <si>
    <t>מההון העצמי במאזן לסוף השנה</t>
  </si>
  <si>
    <t>אין נתוני דיבידנד בשאלה</t>
  </si>
  <si>
    <t>עודפים 1.1.2025</t>
  </si>
  <si>
    <t>רווח נקי השנה - 2025</t>
  </si>
  <si>
    <t>דיבידנד השנה - 2025</t>
  </si>
  <si>
    <t>עודפים 31.12.2025</t>
  </si>
  <si>
    <t>שימו לב! זה לא תרגיל מסה שלם. תרגיל המסה השלם יכלול עוד אירועים שצריך לבטא את השפעתם</t>
  </si>
  <si>
    <t>התיאורטית על הדיווחים באופן מילולי לא חישובי. נציג אותם ונטפל בהם בשיעור הבא.</t>
  </si>
  <si>
    <t>שאלה 1 - 40% - דוחות כספיים (שימו לב להערה למטה מדובר בחלק מהדרישות בלבד)</t>
  </si>
  <si>
    <t>שיעור 11 - חזרה לבחינה - 19/1/2025</t>
  </si>
  <si>
    <t>המשך שאלה 1 - 40% - סעיפים תיאורטיים לניתוח</t>
  </si>
  <si>
    <t>הצגנו במפגש קודם!</t>
  </si>
  <si>
    <t>המשך הנדרשים - למפגש הנוכחי:</t>
  </si>
  <si>
    <t>ג. אם מלאי הסגירה גבוה יותר מהערך שדווח לעיל, מה תהיה ההשפעה על הרווח המדווח בשנה הנוכחית? וכיצד הדבר עשוי להשפיע על הרווח בשנה הבאה?</t>
  </si>
  <si>
    <t xml:space="preserve">ד. כיצד תשפיע עלייה בשיעור ההלח״מ על הדוחות הכספיים? פרטו. </t>
  </si>
  <si>
    <t>ה. הניחו כעת כי החברה החליטה לחלק דיבידנד בתום השנה וטרם חילקה אותו. מה תהיה ההשפעה על הנכסים, ההתחייבויות וההון העצמי?</t>
  </si>
  <si>
    <t>פתרון הנדרשים הנוספים - רקע - מה אתם רוצים בכלל?</t>
  </si>
  <si>
    <t>הנדרשים הנוספים, אחרי החלק הטכני של עריכת הדוחות הכספיים בשאלת המסה - דורשים מאיתנו להבין איזה / אילו רכיבים בדוחות הכספיים</t>
  </si>
  <si>
    <t xml:space="preserve">יושפעו (עקרונית - ברמת ״עלה״ / ״ירד״ / ״לא השתנה״) ללא חישובים, כתוצאה מאירועים נוספים או שינויים בבסיס לדיווח. </t>
  </si>
  <si>
    <t>הרציונל הוא שאם אני באמת מבין דוחות כספיים - הידע שלי לא יתמצה רק ב״אוקיי, קיבלתי נתונים והכנסתי לתבנית״ אלא אם החברה עוברת</t>
  </si>
  <si>
    <t xml:space="preserve">אירוע מסוים, עסקה נוספת, מתגלה טעות כלשהי - איך זה ישפיע על המידע הכספי. </t>
  </si>
  <si>
    <t>אנחנו לא נצפה לניתוח של ״רואי ורואות חשבון״ אבל לפעמים דווקא בתרגילים ובפתרונות שנציג, נרחיב מעבר כדי לספק לכם תשתית מושגית.</t>
  </si>
  <si>
    <t>לכן, אנו נציג, לפחות בתור התחלה, שתי וריאציות פתרון לכל סעיף: וריאציה מורחבת, שכוללת חזרה על מושגים, עקרונות, משמעות, ולצידה</t>
  </si>
  <si>
    <t xml:space="preserve">וריאציה מתומצתת שמתאימה לכתיבת סטודנטית במבחן. </t>
  </si>
  <si>
    <t>הסבר מרצה:</t>
  </si>
  <si>
    <t xml:space="preserve">מלאי סגירה = המלאי לתום שנת הדיווח. </t>
  </si>
  <si>
    <t>השפעה על הדוחות הכספיים:</t>
  </si>
  <si>
    <r>
      <rPr>
        <sz val="12"/>
        <color theme="0"/>
        <rFont val="David"/>
      </rPr>
      <t>,</t>
    </r>
    <r>
      <rPr>
        <sz val="12"/>
        <color theme="1"/>
        <rFont val="David"/>
      </rPr>
      <t>(1)</t>
    </r>
  </si>
  <si>
    <t>התחייבויות ללא שינוי</t>
  </si>
  <si>
    <t>אם שינו את המלאי:</t>
  </si>
  <si>
    <t>שינוי בנכסים השוטפים</t>
  </si>
  <si>
    <t>שינוי בסך הנכסים</t>
  </si>
  <si>
    <t>ההון עצמי משתנה באותו כיוון</t>
  </si>
  <si>
    <t>העודפים משתנים באותו כיוון</t>
  </si>
  <si>
    <t>הוצאה - עלות המכר:</t>
  </si>
  <si>
    <t>עלייה במלאי סגירה:</t>
  </si>
  <si>
    <t>עלות המכר קטנה</t>
  </si>
  <si>
    <t>ירידה במלאי סגירה:</t>
  </si>
  <si>
    <t>עלות המכר גדלה</t>
  </si>
  <si>
    <t>גדל</t>
  </si>
  <si>
    <t>קטן</t>
  </si>
  <si>
    <t>רווח גולמי (ובכלל):</t>
  </si>
  <si>
    <r>
      <t xml:space="preserve">במאזן (הדוח על המצב הכספי) </t>
    </r>
    <r>
      <rPr>
        <b/>
        <sz val="12"/>
        <color theme="1"/>
        <rFont val="David"/>
      </rPr>
      <t>של השנה הנוכחית</t>
    </r>
  </si>
  <si>
    <r>
      <t xml:space="preserve">בדוח רווח והפסד - </t>
    </r>
    <r>
      <rPr>
        <b/>
        <sz val="12"/>
        <color theme="1"/>
        <rFont val="David"/>
      </rPr>
      <t>של השנה</t>
    </r>
  </si>
  <si>
    <r>
      <rPr>
        <b/>
        <sz val="12"/>
        <color theme="0"/>
        <rFont val="David"/>
      </rPr>
      <t>,</t>
    </r>
    <r>
      <rPr>
        <b/>
        <sz val="12"/>
        <color theme="1"/>
        <rFont val="David"/>
      </rPr>
      <t>(1)</t>
    </r>
  </si>
  <si>
    <r>
      <rPr>
        <b/>
        <sz val="12"/>
        <color theme="0"/>
        <rFont val="David"/>
      </rPr>
      <t>,</t>
    </r>
    <r>
      <rPr>
        <b/>
        <sz val="12"/>
        <color theme="1"/>
        <rFont val="David"/>
      </rPr>
      <t>(2)</t>
    </r>
  </si>
  <si>
    <r>
      <rPr>
        <b/>
        <sz val="12"/>
        <color theme="0"/>
        <rFont val="David"/>
      </rPr>
      <t>,</t>
    </r>
    <r>
      <rPr>
        <b/>
        <sz val="12"/>
        <color theme="1"/>
        <rFont val="David"/>
      </rPr>
      <t>(3)</t>
    </r>
  </si>
  <si>
    <t>בדוח רווח והפסד-שנה הבאה</t>
  </si>
  <si>
    <t>בשנה הבאה - מלאי הסגירה</t>
  </si>
  <si>
    <t xml:space="preserve">של השנה הופך להיות </t>
  </si>
  <si>
    <t>מלאי פתיחה.</t>
  </si>
  <si>
    <t>עלייה במלאי פתיחה:</t>
  </si>
  <si>
    <t>ירידה במלאי פתיחה:</t>
  </si>
  <si>
    <t xml:space="preserve">הסבר מרצה: שיעור הלח״מ = % ההפרשה לחובות מסופקים = האחוז מתוך סך חובות הלקוחות שהחברה מעריכה שלא ייגבה. למשל אם הלקוחות ברוטו הם בסך 500, </t>
  </si>
  <si>
    <t xml:space="preserve">ושיעור ההלח״מ הנתון 5%, המשמעות היא שהחברה צופה שלא תצליח לגבות 25 מהסכום הזה = 5% * 500. </t>
  </si>
  <si>
    <t>הלקוחות = נכס שוטף. ובמאזן, הם מוצגים כך:</t>
  </si>
  <si>
    <t>לקוחות (ברוטו)</t>
  </si>
  <si>
    <t xml:space="preserve">* לקוחות = </t>
  </si>
  <si>
    <t>לקוחות נטו</t>
  </si>
  <si>
    <t>הסכום שמוצג כנכס ״לקוחות״ במאזן</t>
  </si>
  <si>
    <t>סך החוב כלפי החברה</t>
  </si>
  <si>
    <t>שינוי בנכסים השוטפים בכיוון הפוך</t>
  </si>
  <si>
    <t>״בכיוון הפוך״ = אם שיעור ההלח״מ גדל, יתרת הלקוחות כנכס במאזן קטנה</t>
  </si>
  <si>
    <t>אם שיעור ההלח״מ קטן, יתרת הלקוחות כנכס במאזן גדלה</t>
  </si>
  <si>
    <t>שינוי בסך הנכסים בכיוון הפוך</t>
  </si>
  <si>
    <t>ההון עצמי משתנה בהתאם</t>
  </si>
  <si>
    <t>העודפים משתנים בהתאם</t>
  </si>
  <si>
    <t xml:space="preserve">״בהתאם״ = </t>
  </si>
  <si>
    <t>אם הלקוחות (נטו) קטנו, גם ההון העצמי יקטן - וספציפית: העודפים</t>
  </si>
  <si>
    <t>אם הלקוחות (נטו) גדלו, גם ההון העצמי יגדל - וספציפית: העודפים</t>
  </si>
  <si>
    <r>
      <t xml:space="preserve">בדוח רווח והפסד של </t>
    </r>
    <r>
      <rPr>
        <b/>
        <sz val="12"/>
        <color theme="1"/>
        <rFont val="David"/>
      </rPr>
      <t>השנה הנוכחית</t>
    </r>
  </si>
  <si>
    <t>הוצאות ההלח״מ בדוח רווח והפסד (חוב בעייתי שנוצר השנה) = חלק מהוצ׳ הנהלה וכלליות</t>
  </si>
  <si>
    <t>אופן החילוץ:</t>
  </si>
  <si>
    <t>יתרת הלח״מ (מצטברת) לתחילת השנה</t>
  </si>
  <si>
    <t>בניכוי חוב אבוד</t>
  </si>
  <si>
    <t>יתרת הלח״מ (מצטברת) לסוף השנה</t>
  </si>
  <si>
    <t>הוצאות הלח״מ PN (הערך המשלים)</t>
  </si>
  <si>
    <t>השפעה ישירה</t>
  </si>
  <si>
    <t>השפעה נוספת</t>
  </si>
  <si>
    <t>הוצאות ההלח״מ משתנות בכיוון השינוי</t>
  </si>
  <si>
    <t>הוצאות ההנהלה והכלליות ישתנו בכיוון השינוי</t>
  </si>
  <si>
    <t>הרווח התפעולי (לא הגולמי), הרווח לפני מס והרווח הנקי - ישתנו בכיוון הפוך</t>
  </si>
  <si>
    <t xml:space="preserve">החלטה על חלוקת דיבידנד = הכרזת דיבידנד. </t>
  </si>
  <si>
    <t xml:space="preserve">החברה מתחייבת לחלק דיבידנד (חלק מהרווח לבעלי המניות). </t>
  </si>
  <si>
    <t>ירידה בהון העצמי (עודפים)</t>
  </si>
  <si>
    <t>ירידה בנכסים (מזומן)</t>
  </si>
  <si>
    <r>
      <t xml:space="preserve">אם היא מתחייבת לחלק אותו - והיא </t>
    </r>
    <r>
      <rPr>
        <b/>
        <u/>
        <sz val="12"/>
        <color theme="1"/>
        <rFont val="David"/>
      </rPr>
      <t>חילקה</t>
    </r>
    <r>
      <rPr>
        <sz val="12"/>
        <color theme="1"/>
        <rFont val="David"/>
      </rPr>
      <t xml:space="preserve"> עד סוף השנה:</t>
    </r>
  </si>
  <si>
    <r>
      <t xml:space="preserve">אם היא מתחייבת </t>
    </r>
    <r>
      <rPr>
        <b/>
        <sz val="12"/>
        <color theme="1"/>
        <rFont val="David"/>
      </rPr>
      <t>לחלק אותו וטרם חילקה</t>
    </r>
    <r>
      <rPr>
        <sz val="12"/>
        <color theme="1"/>
        <rFont val="David"/>
      </rPr>
      <t xml:space="preserve"> אותו עד סוף השנה:</t>
    </r>
  </si>
  <si>
    <t>עלייה בהתחייבויות - דיבידנד לשלם (התחייבויות שוטפות)</t>
  </si>
  <si>
    <t>אין שינוי בנכסים</t>
  </si>
  <si>
    <t>אין שינוי בהתחייבויות</t>
  </si>
  <si>
    <t xml:space="preserve">חלוקת דיבידנד על ידי החברה למשקיעיה / הכרזת דיבידנד - לא מהווה הוצאה בדוח רווח והפסד. </t>
  </si>
  <si>
    <t>ומה לגבי השפעה על דוח רווח והפסד? אין.</t>
  </si>
  <si>
    <t>ו. הניחו כעת כי נכון לתום השנה החברה ביצעה מכירת מלאי נוספת בתמורה שהיא נמוכה מערכו בספרים. מה יקרה לסך הנכסים השוטפים?</t>
  </si>
  <si>
    <t>מכירת מלאי &gt;&gt;&gt; בחברה יש פחות מלאי &gt;&gt;&gt; נכס המלאי (נכס שוטף) יורד &gt;&gt;&gt; עלות המכר גדלה.</t>
  </si>
  <si>
    <t>עלייה</t>
  </si>
  <si>
    <t>לא יודעים מה חזק יותר???</t>
  </si>
  <si>
    <t>ברווח והפסד (באופן כללי):</t>
  </si>
  <si>
    <t>ערך ספרים</t>
  </si>
  <si>
    <t>אם התמורה גבוהה מערך הספרים של המלאי שנמכר</t>
  </si>
  <si>
    <t>ההשפעה על ההכנסות חזקה יותר מההשפעה על ההוצאות</t>
  </si>
  <si>
    <t>והרווח (הגולמי, התפעולי, לפני מס ונקי) יגדל</t>
  </si>
  <si>
    <t>אם התמורה נמוכה מערך הספרים של המלאי שנמכר</t>
  </si>
  <si>
    <t>ההשפעה על ההכנסות חלשה יותר מההשפעה על ההוצאות</t>
  </si>
  <si>
    <t>והרווח (הגולמי, התפעולי, לפני מס ונקי) יקטן</t>
  </si>
  <si>
    <r>
      <rPr>
        <sz val="12"/>
        <color theme="0"/>
        <rFont val="David"/>
      </rPr>
      <t>,</t>
    </r>
    <r>
      <rPr>
        <sz val="12"/>
        <color theme="1"/>
        <rFont val="David"/>
      </rPr>
      <t>(2)</t>
    </r>
  </si>
  <si>
    <t>במאזן (הדוח על המצב הכספי):</t>
  </si>
  <si>
    <t xml:space="preserve">מצד שני &gt;&gt;&gt; נוצרת הכנסה (מכירות) &gt;&gt;&gt; וגם - יש להכיר בנכס התמורה שהתקבלה - מזומן (אם גביתי) או לקוחות (אם טרם גביתי). </t>
  </si>
  <si>
    <t>בנכסים השוטפים:</t>
  </si>
  <si>
    <t>ירידה בנכס מלאי</t>
  </si>
  <si>
    <t>עלייה בנכס התמורה שהתקבלה (מזומן / לקוחות)</t>
  </si>
  <si>
    <t>סך השינוי בנכסים השוטפים - לפי ״החזק מביניהם״</t>
  </si>
  <si>
    <t>סך השינוי בנכסים - בהתאם</t>
  </si>
  <si>
    <t>בהתחייבויות:</t>
  </si>
  <si>
    <t>אין שינוי</t>
  </si>
  <si>
    <t>בהון העצמי</t>
  </si>
  <si>
    <t>אם התמורה &gt; ערך הספרים של המלאי = העודפים (וההון) יעלו: נוצר רווח</t>
  </si>
  <si>
    <t>אם התמורה &lt; ערך הספרים של המלאי = העודפים (וההון) ירדו: נוצר הפסד</t>
  </si>
  <si>
    <t>ז. הניחו כעת כי סמוך לתום השנה החברה הנפיקה מניות הטבה כנגד הפרמיה. מה תהיה ההשפעה על הדיווחים הכספיים?</t>
  </si>
  <si>
    <t xml:space="preserve">הגדרה: הנפקת מניות הטבה היא הנפקת מניות נוספות לבעלי מניות קיימים ללא תמורה נוספת מצידם. </t>
  </si>
  <si>
    <t xml:space="preserve">הואיל ומונפקות מניות = הון המניות חייב לגדול. </t>
  </si>
  <si>
    <t xml:space="preserve">לצד זאת - אין השפעה על סך ההון העצמי (משום שלא מתקבלת תמורה). </t>
  </si>
  <si>
    <t>לכן, מקטינים במקביל סעיף הוני אחר - פרמיה.</t>
  </si>
  <si>
    <t>הון המניות</t>
  </si>
  <si>
    <t>שאלת מסה נוספת - עריכת דוחות כספיים וחילוצים</t>
  </si>
  <si>
    <t>בחברת נקניקי נתניה בע״מ מוכרים נקניקים מפלסטיק. להלן נתונים לגבי ערכים כספיים בחברה. כל הערכים</t>
  </si>
  <si>
    <t>נכונים ל-31/12/2024 אלא אם נאמר מפורשות אחרת:</t>
  </si>
  <si>
    <t>הובלת קניות למחסן</t>
  </si>
  <si>
    <t>יתרת רווח (עודפים) ליום 1.1.2024</t>
  </si>
  <si>
    <t>הוצאות משפטיות</t>
  </si>
  <si>
    <t>ירידת ערך נדל״ן להשקעה</t>
  </si>
  <si>
    <t>הדוח על המצב הכספי (מאזן) חברת ״נקניקי נתניה״ בע״מ ליום 31/12/2024</t>
  </si>
  <si>
    <t>חברת ״נקניקי נתניה״ - דוח רווח והפסד לשנת 2024</t>
  </si>
  <si>
    <t>שיעור 12 - חזרה למבחן חלק ב</t>
  </si>
  <si>
    <t>שאלה ברמת מבחן בנושא הון עצמי (15 נק׳)</t>
  </si>
  <si>
    <t>חברת ״קיבוצי״ הציגה בתאריך 31.12.2020 את יתרות ההון העצמי הבאות:</t>
  </si>
  <si>
    <t>טיפ מהדוקטור: שאלות בבחינה יכולות</t>
  </si>
  <si>
    <t>לכלול מקרה שבו יש יתרת פתיחה (התחלתית)</t>
  </si>
  <si>
    <t>של הון עצמי, או שאלות שבהן אין יתרת פתיחה.</t>
  </si>
  <si>
    <t>כאן, יש יתרת פתיחה.</t>
  </si>
  <si>
    <t>הון מניות בנות 2 ש״ח ערך נקוב</t>
  </si>
  <si>
    <t>הון מניות בנות 3 ש״ח ערך נקוב</t>
  </si>
  <si>
    <t>הון מניות בנות 1 ש״ח ערך נקוב</t>
  </si>
  <si>
    <t>להלן נתונים בדבר עסקאות ואירועים שהתרחשו בחברה בשנת 2021:</t>
  </si>
  <si>
    <t xml:space="preserve">א. החברה הנפיקה מניות בנות 5 ש״ח ערך נקוב כל אחת. בסך הכל הונפקו 120,000 מניות, כאשר תמורת ההנפקה </t>
  </si>
  <si>
    <t xml:space="preserve">הסתכמה בסכום של 8 ש״ח למניה. עלויות בעסקת ההנפקה - היו 11,000 ש״ח. </t>
  </si>
  <si>
    <t xml:space="preserve">ב. החברה הנפיקה 50,000 מניות בנות 1 ש״ח ערך נקוב כל אחת, בתמורה ל-44,000 ש״ח. </t>
  </si>
  <si>
    <t xml:space="preserve">ג. החברה הנפיקה מניות הטבה לבעלי המניות בשיעור 10%. </t>
  </si>
  <si>
    <t>ד. החברה ביצעה פיצול מניות, כך שכל המחזיק/ה במניה בת 2 ש״ח ערך נקוב, קיבלה במקומה 2 מניות בנות 1 ש״ח</t>
  </si>
  <si>
    <t xml:space="preserve">ערך נקוב. </t>
  </si>
  <si>
    <t>ה. החברה הציגה בשנת 2021 רווח נקי בסך 500 אלפי ש״ח. הרווח התפעולי בחברה לשנה זו היה 920 אלפי ש״ח.</t>
  </si>
  <si>
    <t>ו. החברה נטלה הלוואות בסכום כולל של 900,000 ש״ח, מתוכן סכום של 100,000 ש״ח מהווה חלויות שוטפות.</t>
  </si>
  <si>
    <t>ז. החברה הכריזה על דיבידנד בסכום המהווה 30% מהרווח הנקי. עד לתום השנה, חילקה החברה 20% מהסכום</t>
  </si>
  <si>
    <t>עליו הכריזה.</t>
  </si>
  <si>
    <t xml:space="preserve">נדרש: הציגו את הדוח על השינויים בהון העצמי בחברה בשנת 2021. </t>
  </si>
  <si>
    <t>בנות 2 ש״ח</t>
  </si>
  <si>
    <t>ערך נקוב</t>
  </si>
  <si>
    <t>בנות 3 ש״ח</t>
  </si>
  <si>
    <t>בנות 1 ש״ח</t>
  </si>
  <si>
    <t xml:space="preserve">יתרת </t>
  </si>
  <si>
    <t>רווח</t>
  </si>
  <si>
    <t>יתרת פתיחה</t>
  </si>
  <si>
    <t>הנפקת מניות 5</t>
  </si>
  <si>
    <t>בנות 5 ש״ח</t>
  </si>
  <si>
    <t>חדש!!!</t>
  </si>
  <si>
    <t>הנפקת מניות 1</t>
  </si>
  <si>
    <t>רווח נקי השנה</t>
  </si>
  <si>
    <t>הכרזת דיב׳</t>
  </si>
  <si>
    <t>יתרה לדיווח</t>
  </si>
  <si>
    <t>חברת ״קיבוצי״ - הדוח על השינויים בהון העצמי לשנה שנסתיימה ב-31.12.2021</t>
  </si>
  <si>
    <t>שאלות תאוריה של סוסים ברמת מבחן (15 נק׳)</t>
  </si>
  <si>
    <t>בחברת ״שיר הארגנטינאית״ בע״מ מבוצעות פעולות עסקיות מגוונות.</t>
  </si>
  <si>
    <t>להלן טענות שנאמרו על ידי נושאי משרה בחברה, כהערות לגבי טיוטת הדיווח הכספי:</t>
  </si>
  <si>
    <t>טענה 1: ״הרווח הגולמי השנה נמוך מדי. זה מעורר דאגה. אני חושב שאם היינו קצת יותר אחראים במדיניות השכר</t>
  </si>
  <si>
    <t>שלנו, ולא מפנקים את המנהלת שיר בבונוס שמנמן, הרווח הגולמי שעליו היינו מדווחים היה גבוה הרבה יותר״.</t>
  </si>
  <si>
    <t xml:space="preserve">טענה 2: ״אני רוצה להוסיף שלדעתי צריך להתייחס לעובדה שלאור המלחמה בישראל, רבים מהעסקים שהם </t>
  </si>
  <si>
    <t>לקוחות שלנו נפגעו מאד, ויש לתת לך ביטוי במדידה (קביעת הסכום הכספי) של אחד מהנכסים השוטפים העיקריים</t>
  </si>
  <si>
    <t>שלנו״</t>
  </si>
  <si>
    <t>טענה 3: ״גם הרווח הנקי נמוך - וגם חילקנו דיבידנד. זה לא מוגזם? הרי הדיבידנד יהפוך את הרווח הנקי לשלילי״.</t>
  </si>
  <si>
    <t xml:space="preserve">נדרש: חוו דעתכם בקצרה בדבר נכונות כל אחת מהטענות, ונמקו. </t>
  </si>
  <si>
    <t>עלות המכירות (עלות המוצרים שנמכרו)</t>
  </si>
  <si>
    <t>ההפרש - רווח גולמי</t>
  </si>
  <si>
    <t>הכנסות / הוצאות אחרות</t>
  </si>
  <si>
    <t>הטענה שגויה.</t>
  </si>
  <si>
    <t>הואיל והוצאות השכר של ההנהלה הן חלק</t>
  </si>
  <si>
    <t>מהוצאות ההנהלה והכלליות, הן משפיעות</t>
  </si>
  <si>
    <t xml:space="preserve">על הרווח התפעולי, הרווח לפני מס והרווח הנקי - </t>
  </si>
  <si>
    <r>
      <t xml:space="preserve">אך </t>
    </r>
    <r>
      <rPr>
        <b/>
        <sz val="12"/>
        <color theme="1"/>
        <rFont val="David"/>
      </rPr>
      <t>לא</t>
    </r>
    <r>
      <rPr>
        <sz val="12"/>
        <color theme="1"/>
        <rFont val="David"/>
      </rPr>
      <t xml:space="preserve"> על הרווח הגולמי. </t>
    </r>
  </si>
  <si>
    <t>הפתרון המלא והמספק:</t>
  </si>
  <si>
    <t>הסבר מורחב לשם נוחות הפותר:</t>
  </si>
  <si>
    <t>פגיעה בלקוחות ובכושר הפירעון שלהם &gt;&gt;&gt;</t>
  </si>
  <si>
    <t>חובות של לקוחות רבים יותר הופכים לחובות בעיתיים (הלח״מ) &gt;&gt;&gt;</t>
  </si>
  <si>
    <t>ההגדרה של נכס הלקוחות בחברה (אחד מהנכסים השוטפים המרכזיים):</t>
  </si>
  <si>
    <t>לקוחות, ברוטו (סך החוב)</t>
  </si>
  <si>
    <t>בניכוי הלח״מ</t>
  </si>
  <si>
    <t>נכס הלקוחות נטו</t>
  </si>
  <si>
    <t xml:space="preserve">הטענה נכונה: עלייה ברמת הסיכון של הלקוחות משמעה עלייה בהסתברות לקשיי גבייה (שיעור הלח״מ - </t>
  </si>
  <si>
    <t>האחוז מתוך החובות שהם בעייתיים, ולכן גם ההלח״מ עצמו - סך החובות הבעייתיים), העלייה בהלח״מ מלווה</t>
  </si>
  <si>
    <t xml:space="preserve">בירידה בנכס הלקוחות (שממנו מנכים את ההלח״מ). </t>
  </si>
  <si>
    <t>תרגום: נניח שבחברה יש רווח נקי בסך 8 א׳ ש״ח, והיא מחלקת דיבידנד בסך 10 א׳ ש״ח.</t>
  </si>
  <si>
    <t>האם זה אומר שלאחר הפעולה הרווח הנקי יהפוך להפסד בסך 2 א׳ ש״ח?</t>
  </si>
  <si>
    <t>התשובה שלילית.</t>
  </si>
  <si>
    <t xml:space="preserve">הרווח הנקי מחושב אך ורק לפי ההכנסות השנה בניכוי ההוצאות השנה. </t>
  </si>
  <si>
    <t>ההשפעה של הדיבידנד איננה על הרווח הנקי השנה, אלא על הרווח המצטבר (עודפים):</t>
  </si>
  <si>
    <t>עודפים לתחילת השנה 1.1</t>
  </si>
  <si>
    <t>הוסף רווח נקי השנה</t>
  </si>
  <si>
    <t>בניכוי דיבידנד שהוכרז</t>
  </si>
  <si>
    <t>עודפים לתום השנה 31.12</t>
  </si>
  <si>
    <t>בשפה פשוטה: דיבידנד משפיע על הדוח על השינויים בהון העצמי (השפעה על סעיף העודפים) אך לא על דוח רווח והפסד.</t>
  </si>
  <si>
    <t xml:space="preserve">שאלת רכוש קבוע </t>
  </si>
  <si>
    <t>חברת ליקו נקניקים עוסקת במגוון פעילויות עסקיות. להלן נתונים לגבי מצבת הרכוש הקבוע בחברה:</t>
  </si>
  <si>
    <t>פריט</t>
  </si>
  <si>
    <t>גרט</t>
  </si>
  <si>
    <t>מכונת נקניק</t>
  </si>
  <si>
    <t>מחשב Macbook</t>
  </si>
  <si>
    <t>iPhone 16 Pro</t>
  </si>
  <si>
    <t>כל הנתונים בש״ח ונכונים ל-31.12.2020:</t>
  </si>
  <si>
    <t>תקופת הפחתה - שנים</t>
  </si>
  <si>
    <t>נתונים נוספים:</t>
  </si>
  <si>
    <t xml:space="preserve">נתון 1: מכונת הנקניק נרכשה ב-1.1.2018. </t>
  </si>
  <si>
    <t xml:space="preserve">ב-30.6.2021 נרכשה מכונה נוספת זהה. </t>
  </si>
  <si>
    <t xml:space="preserve">נתון 2: מחשב ה-Macbook נרכש ב-1.1.2020. </t>
  </si>
  <si>
    <t>ב-30.9.2021 המחשב נמכר תמורת 22,000 ש״ח.</t>
  </si>
  <si>
    <t xml:space="preserve">נתון 3: ה-iPhone נרכש ב-30.9.2020. </t>
  </si>
  <si>
    <t xml:space="preserve">א. חשבו את סך הוצאות הפחת בגין כל פריט בנפרד וסה״כ לשנת 2021. </t>
  </si>
  <si>
    <t>ב. מהו רווח ההון/הפסד ההון ממכירת מחשב ה-Macbook.</t>
  </si>
  <si>
    <t xml:space="preserve">ג. הציגו את ביאור הרכוש הקבוע (עלות, פחת נצבר ועלות מופחתת, וסיכום) ליום 31.12.2021. </t>
  </si>
  <si>
    <t>הוצאות פחת מחשב Macbook</t>
  </si>
  <si>
    <t>הוצאות פחת iPhone</t>
  </si>
  <si>
    <t xml:space="preserve">(400,000 - 20,000)/10 = </t>
  </si>
  <si>
    <t>הוצאות פחת מכונת נקניק (ישנה - מה-1.1.18)</t>
  </si>
  <si>
    <t>הוצאות פחת מכונת נקניק חדשה (מה-30.6.21)</t>
  </si>
  <si>
    <t>א. חישוב הוצאות פחת (2021):</t>
  </si>
  <si>
    <t xml:space="preserve">(400,000 - 20,000)/10 * (6/12) = </t>
  </si>
  <si>
    <t xml:space="preserve">(30,000 - 10,000)/5 * (9/12) = </t>
  </si>
  <si>
    <t>(10,000 - 2,000)/3 =</t>
  </si>
  <si>
    <t>סך הוצאות הפחת</t>
  </si>
  <si>
    <t>ב. רווח / הפסד הון ממכירת מחשב Macbook:</t>
  </si>
  <si>
    <t>מוגדר בתור ההפרש בין תמורת המכירה (נתונה) לבין העלות המופחתת (עלות בניכוי פחת נצבר) ערב המכירה.</t>
  </si>
  <si>
    <t>תמורת המכירה</t>
  </si>
  <si>
    <t>עלות מופחתת (עלות בניכוי פחת נצבר)</t>
  </si>
  <si>
    <t>(-) / +</t>
  </si>
  <si>
    <t>נתון (שורה 131)</t>
  </si>
  <si>
    <t>העלות ההיסטורית / המקורית של הפריט הנמכר:</t>
  </si>
  <si>
    <t>בניכוי פחת נצבר מתחילת ההפחתה עד 30.9.2021</t>
  </si>
  <si>
    <t xml:space="preserve">(30,000 - 10,000) / 5 * (1 + 9/12) = </t>
  </si>
  <si>
    <t>Macbook</t>
  </si>
  <si>
    <t>ממועד הזמינות של הפריט</t>
  </si>
  <si>
    <t xml:space="preserve">שכנתון: 1.1.2020, </t>
  </si>
  <si>
    <t>עד מועד הדיווח / המכירה</t>
  </si>
  <si>
    <t>שכנתון: 30.9.2021</t>
  </si>
  <si>
    <t>עלות מופחתת של הפריט הנמכר (ערב המכירה)</t>
  </si>
  <si>
    <r>
      <rPr>
        <strike/>
        <sz val="12"/>
        <color theme="1"/>
        <rFont val="David"/>
      </rPr>
      <t>רווח הון (הפרש חיובי)</t>
    </r>
    <r>
      <rPr>
        <sz val="12"/>
        <color theme="1"/>
        <rFont val="David"/>
      </rPr>
      <t xml:space="preserve"> / </t>
    </r>
    <r>
      <rPr>
        <b/>
        <sz val="12"/>
        <color theme="1"/>
        <rFont val="David"/>
      </rPr>
      <t>הפסד הון (הפרש שלילי)</t>
    </r>
  </si>
  <si>
    <t>ג. ביאור הרכוש הקבוע - 31/12/2021 (לסעיף הרכוש הקבוע במאזן):</t>
  </si>
  <si>
    <t>מכונות נקניק</t>
  </si>
  <si>
    <t>iPhone 16</t>
  </si>
  <si>
    <t xml:space="preserve">ומה לגבי ה-Macbook? הואיל ונמכר במהלך השנה, נכון לתום השנה הוא כבר לא נכס שלי. </t>
  </si>
  <si>
    <t>פחת נצבר iPhone 16:</t>
  </si>
  <si>
    <t>היה ברשותי מ-30.9.2020 עד מועד הדיווח 31.12.2021 (כלומר שנה ו-3 חודשים).</t>
  </si>
  <si>
    <t xml:space="preserve">(10,000 - 2,000) / 3 * (1 + 3/12) = </t>
  </si>
  <si>
    <t>(***)</t>
  </si>
  <si>
    <t>עלות מכונות נקניק:</t>
  </si>
  <si>
    <t>כנתון, ב-31.12.2020 היתה לי מכונה בעלות של:</t>
  </si>
  <si>
    <t>שנרכשה ב-2018</t>
  </si>
  <si>
    <t>ב-30.6.2021 נרכשה מכונה נוספת בעלות של:</t>
  </si>
  <si>
    <t>סך העלויות של הפריטים שאצלי</t>
  </si>
  <si>
    <t>פחת נצבר נקניק:</t>
  </si>
  <si>
    <t>פחת נצבר מכונה ישנה - 1.1.2018 - 31.12.2021</t>
  </si>
  <si>
    <t>פחת נצבר מכונת נקניק חדשה (מה-30.6.21)</t>
  </si>
  <si>
    <t xml:space="preserve">(400,000 - 20,000)/10 * 4 = </t>
  </si>
  <si>
    <t>סך הכל פחת נצבר מכונות נקניק</t>
  </si>
  <si>
    <t>שיעור חזרה נוסף למבחן</t>
  </si>
  <si>
    <t>סיווג</t>
  </si>
  <si>
    <t>ערכו את הדוח על המצב הכספי (המאזן) ליום 31.12.2024 ואת דוח רווח והפסד לשנת 2024.</t>
  </si>
  <si>
    <t>הכנסות (מכירות)</t>
  </si>
  <si>
    <t>הוצאה (עלות המכירות)</t>
  </si>
  <si>
    <t>הוצאה (קניות)</t>
  </si>
  <si>
    <t>הקטנת הוצאה (עלות המכר)</t>
  </si>
  <si>
    <t>הוצאה (הנהלה וכלליות)</t>
  </si>
  <si>
    <t>נכסים לא שוטפים (במינוס)</t>
  </si>
  <si>
    <t>הוצאה (מכירה ושיווק)</t>
  </si>
  <si>
    <t>הוצאה (מסים על ההכנסה)</t>
  </si>
  <si>
    <t>הקטנת הכנסה (מכירות)</t>
  </si>
  <si>
    <t>נכסים שוטפים (במינוס)</t>
  </si>
  <si>
    <t>הוצאה (מימון)</t>
  </si>
  <si>
    <t>הוצאה (הנהלה / שיווק)</t>
  </si>
  <si>
    <t>ירידה בהוצאה (קניות)</t>
  </si>
  <si>
    <t>הכנסות (מימון)</t>
  </si>
  <si>
    <t>הוצאה (אחרות)</t>
  </si>
  <si>
    <t>הש׳ לז״ק</t>
  </si>
  <si>
    <t>השקעות לזמן קצר (הש׳ לז״ק)</t>
  </si>
  <si>
    <t>הערות:</t>
  </si>
  <si>
    <t>רכוש קבוע: סך כל פריטי הרכוש הקבוע - עלות, בניכוי סך כל הפחת הנצבר בגינם.</t>
  </si>
  <si>
    <t>בשאלה זו, קיים פריט רכוש קבוע אחד ויחיד, מכונות לחימום נקניק, וההפרש בין עלותו</t>
  </si>
  <si>
    <t xml:space="preserve">לבין הפחת הנצבר בגינו הוא סעיף הרכוש הקבוע בשאלה. </t>
  </si>
  <si>
    <t>נדל״ן להשק׳</t>
  </si>
  <si>
    <t>נדל״ן להשקעה (נדל״ן להשק׳)</t>
  </si>
  <si>
    <t>התחייבות שוטפת*</t>
  </si>
  <si>
    <t>התחייבויות לא שוטפות^</t>
  </si>
  <si>
    <t>סך ההתח׳ וההון העצמי</t>
  </si>
  <si>
    <t xml:space="preserve">2,390 - 273 = </t>
  </si>
  <si>
    <t xml:space="preserve">2,117 - 131 - 70 = </t>
  </si>
  <si>
    <t>מכירות (מכירות, נטו)</t>
  </si>
  <si>
    <t>מכירות לרווח והפסד</t>
  </si>
  <si>
    <t>קניות נטו</t>
  </si>
  <si>
    <t>סך הכל עלות המכירות</t>
  </si>
  <si>
    <t>מלאי לתחילת השנה (פתיחה)</t>
  </si>
  <si>
    <t>באופן כללי, יכולות להיות הכנסות אחרות בדוח רווח והפסד (מתחת להוצאות הנהלה וכלליות).</t>
  </si>
  <si>
    <t>יחד עם זאת, כל הוצאה או הכנסה שלא קיימת - צריך להמנע מהכללת השורה שלה בדוח.</t>
  </si>
  <si>
    <t xml:space="preserve">להציג את השורה עם ערך 0 מפחית ניקוד. </t>
  </si>
  <si>
    <t>חילוץ יתרת הרווח (עודפים) לתחילת השנה:</t>
  </si>
  <si>
    <t>יתרת רווח (עודפים) 1.1 - לתחילת השנה</t>
  </si>
  <si>
    <t>נכה: דיבידנד שהוכרז השנה</t>
  </si>
  <si>
    <t>יתרת רווח (עודפים) 31.12 לתום השנה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</si>
</sst>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_);\(0\)"/>
  </numFmts>
  <fonts count="49" x14ac:knownFonts="1">
    <font>
      <sz val="12"/>
      <color theme="1"/>
      <name val="Aptos Narrow"/>
      <family val="2"/>
      <scheme val="minor"/>
    </font>
    <font>
      <sz val="12"/>
      <color theme="1"/>
      <name val="David"/>
    </font>
    <font>
      <b/>
      <sz val="12"/>
      <color theme="1"/>
      <name val="David"/>
    </font>
    <font>
      <b/>
      <u/>
      <sz val="12"/>
      <color theme="1"/>
      <name val="David"/>
    </font>
    <font>
      <b/>
      <sz val="12"/>
      <color rgb="FFFF0000"/>
      <name val="David"/>
    </font>
    <font>
      <sz val="12"/>
      <name val="David"/>
    </font>
    <font>
      <sz val="12"/>
      <color rgb="FF000000"/>
      <name val="David"/>
    </font>
    <font>
      <b/>
      <sz val="12"/>
      <color rgb="FF00B0F0"/>
      <name val="David"/>
    </font>
    <font>
      <b/>
      <sz val="12"/>
      <color rgb="FF942092"/>
      <name val="David"/>
    </font>
    <font>
      <b/>
      <sz val="12"/>
      <color rgb="FF00B050"/>
      <name val="David"/>
    </font>
    <font>
      <b/>
      <sz val="12"/>
      <color theme="0"/>
      <name val="David"/>
    </font>
    <font>
      <u/>
      <sz val="12"/>
      <color theme="1"/>
      <name val="David"/>
    </font>
    <font>
      <sz val="12"/>
      <color rgb="FFFF0000"/>
      <name val="David"/>
    </font>
    <font>
      <sz val="10"/>
      <color theme="1"/>
      <name val="David"/>
    </font>
    <font>
      <sz val="12"/>
      <color theme="0"/>
      <name val="David"/>
    </font>
    <font>
      <b/>
      <sz val="12"/>
      <name val="David"/>
    </font>
    <font>
      <b/>
      <sz val="16"/>
      <color theme="1"/>
      <name val="David"/>
    </font>
    <font>
      <sz val="10"/>
      <name val="David"/>
    </font>
    <font>
      <sz val="11"/>
      <name val="David"/>
    </font>
    <font>
      <b/>
      <sz val="12"/>
      <color rgb="FFFF8AD8"/>
      <name val="David"/>
    </font>
    <font>
      <b/>
      <sz val="18"/>
      <name val="David"/>
    </font>
    <font>
      <b/>
      <sz val="18"/>
      <color theme="1"/>
      <name val="David"/>
    </font>
    <font>
      <b/>
      <sz val="12"/>
      <color rgb="FF0070C0"/>
      <name val="David"/>
    </font>
    <font>
      <sz val="12"/>
      <color rgb="FF0070C0"/>
      <name val="David"/>
    </font>
    <font>
      <b/>
      <sz val="12"/>
      <color rgb="FF000000"/>
      <name val="David"/>
    </font>
    <font>
      <sz val="12"/>
      <color theme="0" tint="-0.249977111117893"/>
      <name val="David"/>
    </font>
    <font>
      <sz val="12"/>
      <color theme="6" tint="-0.249977111117893"/>
      <name val="David"/>
    </font>
    <font>
      <vertAlign val="subscript"/>
      <sz val="12"/>
      <color theme="1"/>
      <name val="David"/>
    </font>
    <font>
      <u/>
      <sz val="12"/>
      <color rgb="FFFF0000"/>
      <name val="David"/>
    </font>
    <font>
      <b/>
      <sz val="12"/>
      <color rgb="FF7030A0"/>
      <name val="David"/>
    </font>
    <font>
      <u/>
      <sz val="12"/>
      <name val="David"/>
    </font>
    <font>
      <strike/>
      <sz val="12"/>
      <color theme="1"/>
      <name val="David"/>
    </font>
    <font>
      <sz val="11"/>
      <color theme="1"/>
      <name val="David"/>
    </font>
    <font>
      <vertAlign val="subscript"/>
      <sz val="12"/>
      <name val="David"/>
    </font>
    <font>
      <sz val="10"/>
      <color rgb="FF000000"/>
      <name val="David"/>
    </font>
    <font>
      <b/>
      <sz val="12"/>
      <color rgb="FF9900FF"/>
      <name val="David"/>
    </font>
    <font>
      <b/>
      <sz val="10"/>
      <color rgb="FFFF0000"/>
      <name val="David"/>
    </font>
    <font>
      <sz val="12"/>
      <color rgb="FFFFFFFF"/>
      <name val="David"/>
    </font>
    <font>
      <b/>
      <u/>
      <sz val="12"/>
      <color rgb="FFFF0000"/>
      <name val="David"/>
    </font>
    <font>
      <sz val="9"/>
      <color theme="1"/>
      <name val="David"/>
    </font>
    <font>
      <u/>
      <sz val="9"/>
      <color theme="1"/>
      <name val="David"/>
    </font>
    <font>
      <sz val="8"/>
      <color theme="1"/>
      <name val="David"/>
    </font>
    <font>
      <u/>
      <sz val="12"/>
      <color theme="10"/>
      <name val="Aptos Narrow"/>
      <family val="2"/>
      <scheme val="minor"/>
    </font>
    <font>
      <sz val="10"/>
      <color rgb="FF000000"/>
      <name val="Tahoma"/>
      <family val="2"/>
    </font>
    <font>
      <b/>
      <sz val="10"/>
      <color rgb="FF000000"/>
      <name val="Tahoma"/>
      <family val="2"/>
    </font>
    <font>
      <b/>
      <sz val="8"/>
      <color theme="1"/>
      <name val="David"/>
    </font>
    <font>
      <b/>
      <sz val="14"/>
      <color theme="1"/>
      <name val="David"/>
    </font>
    <font>
      <b/>
      <sz val="11"/>
      <color theme="1"/>
      <name val="David"/>
    </font>
    <font>
      <i/>
      <sz val="12"/>
      <color theme="1"/>
      <name val="David"/>
    </font>
  </fonts>
  <fills count="3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FD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bgColor indexed="64"/>
      </patternFill>
    </fill>
    <fill>
      <patternFill patternType="solid">
        <fgColor rgb="FF73FEFF"/>
        <bgColor indexed="64"/>
      </patternFill>
    </fill>
    <fill>
      <patternFill patternType="solid">
        <fgColor rgb="FF92D050"/>
        <bgColor indexed="64"/>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theme="9" tint="0.79998168889431442"/>
        <bgColor indexed="64"/>
      </patternFill>
    </fill>
    <fill>
      <patternFill patternType="solid">
        <fgColor rgb="FFFF8AD8"/>
        <bgColor indexed="64"/>
      </patternFill>
    </fill>
    <fill>
      <patternFill patternType="solid">
        <fgColor rgb="FFD5FC79"/>
        <bgColor indexed="64"/>
      </patternFill>
    </fill>
    <fill>
      <patternFill patternType="solid">
        <fgColor rgb="FFFF9392"/>
        <bgColor indexed="64"/>
      </patternFill>
    </fill>
    <fill>
      <patternFill patternType="solid">
        <fgColor rgb="FFD6D6D6"/>
        <bgColor indexed="64"/>
      </patternFill>
    </fill>
    <fill>
      <patternFill patternType="solid">
        <fgColor rgb="FFF08122"/>
        <bgColor indexed="64"/>
      </patternFill>
    </fill>
    <fill>
      <patternFill patternType="solid">
        <fgColor rgb="FFD883FF"/>
        <bgColor indexed="64"/>
      </patternFill>
    </fill>
    <fill>
      <patternFill patternType="solid">
        <fgColor theme="1" tint="0.14999847407452621"/>
        <bgColor indexed="64"/>
      </patternFill>
    </fill>
    <fill>
      <patternFill patternType="solid">
        <fgColor rgb="FFD7AFC1"/>
        <bgColor indexed="64"/>
      </patternFill>
    </fill>
    <fill>
      <patternFill patternType="solid">
        <fgColor theme="4" tint="0.59999389629810485"/>
        <bgColor indexed="64"/>
      </patternFill>
    </fill>
    <fill>
      <patternFill patternType="solid">
        <fgColor rgb="FFFFC4D8"/>
        <bgColor indexed="64"/>
      </patternFill>
    </fill>
  </fills>
  <borders count="4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auto="1"/>
      </top>
      <bottom style="thick">
        <color auto="1"/>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dashed">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dashed">
        <color auto="1"/>
      </bottom>
      <diagonal/>
    </border>
    <border>
      <left style="thin">
        <color indexed="64"/>
      </left>
      <right style="thin">
        <color indexed="64"/>
      </right>
      <top/>
      <bottom style="thin">
        <color indexed="64"/>
      </bottom>
      <diagonal/>
    </border>
    <border>
      <left/>
      <right/>
      <top style="thin">
        <color rgb="FF000000"/>
      </top>
      <bottom style="dotted">
        <color rgb="FF000000"/>
      </bottom>
      <diagonal/>
    </border>
    <border>
      <left style="medium">
        <color indexed="64"/>
      </left>
      <right/>
      <top/>
      <bottom style="thin">
        <color indexed="64"/>
      </bottom>
      <diagonal/>
    </border>
    <border>
      <left/>
      <right style="medium">
        <color indexed="64"/>
      </right>
      <top style="thin">
        <color auto="1"/>
      </top>
      <bottom style="dashed">
        <color auto="1"/>
      </bottom>
      <diagonal/>
    </border>
    <border>
      <left/>
      <right style="medium">
        <color indexed="64"/>
      </right>
      <top style="thin">
        <color auto="1"/>
      </top>
      <bottom style="medium">
        <color indexed="64"/>
      </bottom>
      <diagonal/>
    </border>
  </borders>
  <cellStyleXfs count="2">
    <xf numFmtId="0" fontId="0" fillId="0" borderId="0"/>
    <xf numFmtId="0" fontId="42" fillId="0" borderId="0" applyNumberFormat="0" applyFill="0" applyBorder="0" applyAlignment="0" applyProtection="0"/>
  </cellStyleXfs>
  <cellXfs count="407">
    <xf numFmtId="0" fontId="0" fillId="0" borderId="0" xfId="0"/>
    <xf numFmtId="0" fontId="1" fillId="0" borderId="0" xfId="0" applyFont="1"/>
    <xf numFmtId="0" fontId="2" fillId="2" borderId="0" xfId="0" applyFont="1" applyFill="1"/>
    <xf numFmtId="0" fontId="2" fillId="0" borderId="0" xfId="0" applyFont="1"/>
    <xf numFmtId="0" fontId="1" fillId="0" borderId="0" xfId="0" applyFont="1" applyAlignment="1">
      <alignment horizontal="center"/>
    </xf>
    <xf numFmtId="0" fontId="2" fillId="0" borderId="1"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 xfId="0" applyFont="1" applyBorder="1" applyAlignment="1">
      <alignment horizontal="center"/>
    </xf>
    <xf numFmtId="3" fontId="1" fillId="0" borderId="0" xfId="0" applyNumberFormat="1" applyFont="1" applyAlignment="1">
      <alignment horizontal="center"/>
    </xf>
    <xf numFmtId="37" fontId="1" fillId="0" borderId="0" xfId="0" applyNumberFormat="1" applyFont="1" applyAlignment="1">
      <alignment horizontal="center"/>
    </xf>
    <xf numFmtId="0" fontId="2" fillId="0" borderId="5" xfId="0" applyFont="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10" xfId="0" applyFont="1" applyFill="1" applyBorder="1"/>
    <xf numFmtId="0" fontId="1" fillId="3" borderId="1" xfId="0" applyFont="1" applyFill="1" applyBorder="1"/>
    <xf numFmtId="0" fontId="1" fillId="3" borderId="11" xfId="0" applyFont="1" applyFill="1" applyBorder="1"/>
    <xf numFmtId="37" fontId="1" fillId="0" borderId="0" xfId="0" applyNumberFormat="1" applyFont="1"/>
    <xf numFmtId="37" fontId="1" fillId="0" borderId="0" xfId="0" applyNumberFormat="1" applyFont="1" applyAlignment="1">
      <alignment horizontal="right"/>
    </xf>
    <xf numFmtId="0" fontId="1" fillId="2" borderId="0" xfId="0" applyFont="1" applyFill="1" applyAlignment="1">
      <alignment horizontal="center"/>
    </xf>
    <xf numFmtId="0" fontId="1" fillId="4" borderId="0" xfId="0" applyFont="1" applyFill="1"/>
    <xf numFmtId="0" fontId="0" fillId="4" borderId="0" xfId="0" applyFill="1"/>
    <xf numFmtId="0" fontId="2" fillId="4" borderId="0" xfId="0" applyFont="1" applyFill="1"/>
    <xf numFmtId="0" fontId="1" fillId="5" borderId="0" xfId="0" applyFont="1" applyFill="1"/>
    <xf numFmtId="0" fontId="0" fillId="5" borderId="0" xfId="0" applyFill="1"/>
    <xf numFmtId="0" fontId="5" fillId="0" borderId="0" xfId="0" applyFont="1"/>
    <xf numFmtId="37" fontId="5" fillId="0" borderId="0" xfId="0" applyNumberFormat="1" applyFont="1"/>
    <xf numFmtId="37" fontId="5" fillId="0" borderId="0" xfId="0" applyNumberFormat="1" applyFont="1" applyAlignment="1">
      <alignment horizontal="right"/>
    </xf>
    <xf numFmtId="37" fontId="0" fillId="0" borderId="0" xfId="0" applyNumberFormat="1"/>
    <xf numFmtId="0" fontId="2" fillId="0" borderId="0" xfId="0" applyFont="1" applyAlignment="1">
      <alignment horizontal="center"/>
    </xf>
    <xf numFmtId="37" fontId="2" fillId="0" borderId="12" xfId="0" applyNumberFormat="1" applyFont="1" applyBorder="1" applyAlignment="1">
      <alignment horizontal="center"/>
    </xf>
    <xf numFmtId="37" fontId="1" fillId="0" borderId="3" xfId="0" applyNumberFormat="1"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37" fontId="1" fillId="0" borderId="18" xfId="0" applyNumberFormat="1" applyFont="1" applyBorder="1"/>
    <xf numFmtId="37" fontId="1" fillId="0" borderId="13" xfId="0" applyNumberFormat="1" applyFont="1" applyBorder="1"/>
    <xf numFmtId="37" fontId="2" fillId="0" borderId="13" xfId="0" applyNumberFormat="1" applyFont="1" applyBorder="1"/>
    <xf numFmtId="3" fontId="1" fillId="0" borderId="13" xfId="0" applyNumberFormat="1" applyFont="1" applyBorder="1"/>
    <xf numFmtId="0" fontId="1" fillId="0" borderId="21" xfId="0" applyFont="1" applyBorder="1"/>
    <xf numFmtId="0" fontId="1" fillId="0" borderId="22" xfId="0" applyFont="1" applyBorder="1"/>
    <xf numFmtId="3" fontId="1" fillId="0" borderId="12" xfId="0" applyNumberFormat="1" applyFont="1" applyBorder="1" applyAlignment="1">
      <alignment horizontal="center"/>
    </xf>
    <xf numFmtId="0" fontId="6" fillId="0" borderId="0" xfId="0" applyFont="1" applyAlignment="1">
      <alignment readingOrder="2"/>
    </xf>
    <xf numFmtId="37" fontId="6" fillId="0" borderId="0" xfId="0" applyNumberFormat="1" applyFont="1" applyAlignment="1">
      <alignment readingOrder="1"/>
    </xf>
    <xf numFmtId="37" fontId="1" fillId="0" borderId="12" xfId="0" applyNumberFormat="1" applyFont="1" applyBorder="1"/>
    <xf numFmtId="0" fontId="1" fillId="6" borderId="0" xfId="0" applyFont="1" applyFill="1"/>
    <xf numFmtId="0" fontId="1" fillId="6" borderId="23" xfId="0" applyFont="1" applyFill="1" applyBorder="1" applyAlignment="1">
      <alignment horizontal="center"/>
    </xf>
    <xf numFmtId="0" fontId="7" fillId="6" borderId="24" xfId="0" applyFont="1" applyFill="1" applyBorder="1" applyAlignment="1">
      <alignment horizontal="center"/>
    </xf>
    <xf numFmtId="0" fontId="8" fillId="6" borderId="24" xfId="0" applyFont="1" applyFill="1" applyBorder="1" applyAlignment="1">
      <alignment horizontal="center"/>
    </xf>
    <xf numFmtId="0" fontId="1" fillId="6" borderId="16" xfId="0" applyFont="1" applyFill="1" applyBorder="1" applyAlignment="1">
      <alignment horizontal="center"/>
    </xf>
    <xf numFmtId="0" fontId="1" fillId="6" borderId="25" xfId="0" applyFont="1" applyFill="1" applyBorder="1" applyAlignment="1">
      <alignment horizontal="center"/>
    </xf>
    <xf numFmtId="0" fontId="1" fillId="6" borderId="18" xfId="0" applyFont="1" applyFill="1" applyBorder="1"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37" fontId="1" fillId="0" borderId="12" xfId="0" applyNumberFormat="1" applyFont="1" applyBorder="1" applyAlignment="1">
      <alignment horizontal="center"/>
    </xf>
    <xf numFmtId="3" fontId="1" fillId="0" borderId="0" xfId="0" applyNumberFormat="1" applyFont="1"/>
    <xf numFmtId="0" fontId="1" fillId="0" borderId="20" xfId="0" applyFont="1" applyBorder="1" applyAlignment="1">
      <alignment horizontal="center"/>
    </xf>
    <xf numFmtId="37" fontId="1" fillId="0" borderId="20" xfId="0" applyNumberFormat="1" applyFont="1" applyBorder="1" applyAlignment="1">
      <alignment horizontal="center"/>
    </xf>
    <xf numFmtId="37" fontId="1" fillId="2" borderId="0" xfId="0" applyNumberFormat="1" applyFont="1" applyFill="1" applyAlignment="1">
      <alignment horizontal="center"/>
    </xf>
    <xf numFmtId="0" fontId="4" fillId="0" borderId="14" xfId="0" applyFont="1" applyBorder="1"/>
    <xf numFmtId="0" fontId="4" fillId="0" borderId="17" xfId="0" applyFont="1" applyBorder="1"/>
    <xf numFmtId="0" fontId="4" fillId="0" borderId="19" xfId="0" applyFont="1" applyBorder="1"/>
    <xf numFmtId="0" fontId="1" fillId="0" borderId="26" xfId="0" applyFont="1" applyBorder="1"/>
    <xf numFmtId="14" fontId="2" fillId="2" borderId="0" xfId="0" applyNumberFormat="1" applyFont="1" applyFill="1"/>
    <xf numFmtId="0" fontId="2" fillId="7" borderId="0" xfId="0" applyFont="1" applyFill="1"/>
    <xf numFmtId="0" fontId="1" fillId="7" borderId="0" xfId="0" applyFont="1" applyFill="1"/>
    <xf numFmtId="0" fontId="2" fillId="0" borderId="12"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1" fillId="0" borderId="18" xfId="0" applyFont="1" applyBorder="1" applyAlignment="1">
      <alignment horizontal="center"/>
    </xf>
    <xf numFmtId="0" fontId="1" fillId="0" borderId="0" xfId="0" applyFont="1" applyAlignment="1">
      <alignment horizontal="right"/>
    </xf>
    <xf numFmtId="0" fontId="1" fillId="2" borderId="17" xfId="0" applyFont="1" applyFill="1" applyBorder="1"/>
    <xf numFmtId="0" fontId="1" fillId="0" borderId="26" xfId="0" applyFont="1" applyBorder="1" applyAlignment="1">
      <alignment horizontal="center"/>
    </xf>
    <xf numFmtId="0" fontId="1" fillId="0" borderId="13" xfId="0" applyFont="1" applyBorder="1"/>
    <xf numFmtId="0" fontId="1" fillId="2" borderId="14" xfId="0" applyFont="1" applyFill="1" applyBorder="1"/>
    <xf numFmtId="0" fontId="1" fillId="0" borderId="13" xfId="0" applyFont="1" applyBorder="1" applyAlignment="1">
      <alignment horizontal="center"/>
    </xf>
    <xf numFmtId="0" fontId="1" fillId="2" borderId="0" xfId="0" applyFont="1" applyFill="1"/>
    <xf numFmtId="3" fontId="1" fillId="8" borderId="0" xfId="0" applyNumberFormat="1" applyFont="1" applyFill="1"/>
    <xf numFmtId="3" fontId="5" fillId="0" borderId="18" xfId="0" applyNumberFormat="1" applyFont="1" applyBorder="1"/>
    <xf numFmtId="3" fontId="14" fillId="0" borderId="0" xfId="0" applyNumberFormat="1" applyFont="1"/>
    <xf numFmtId="0" fontId="14" fillId="0" borderId="0" xfId="0" applyFont="1"/>
    <xf numFmtId="0" fontId="5" fillId="0" borderId="18" xfId="0" applyFont="1" applyBorder="1"/>
    <xf numFmtId="3" fontId="5" fillId="8" borderId="18" xfId="0" applyNumberFormat="1" applyFont="1" applyFill="1" applyBorder="1"/>
    <xf numFmtId="37" fontId="5" fillId="0" borderId="18" xfId="0" applyNumberFormat="1" applyFont="1" applyBorder="1"/>
    <xf numFmtId="37" fontId="14" fillId="0" borderId="0" xfId="0" applyNumberFormat="1" applyFont="1"/>
    <xf numFmtId="3" fontId="1" fillId="0" borderId="16" xfId="0" applyNumberFormat="1" applyFont="1" applyBorder="1"/>
    <xf numFmtId="0" fontId="16" fillId="7" borderId="0" xfId="0" applyFont="1" applyFill="1"/>
    <xf numFmtId="0" fontId="5" fillId="0" borderId="0" xfId="0" applyFont="1" applyAlignment="1">
      <alignment wrapText="1"/>
    </xf>
    <xf numFmtId="0" fontId="17" fillId="0" borderId="0" xfId="0" applyFont="1"/>
    <xf numFmtId="0" fontId="18" fillId="0" borderId="0" xfId="0" applyFont="1"/>
    <xf numFmtId="0" fontId="5" fillId="0" borderId="17" xfId="0" applyFont="1" applyBorder="1"/>
    <xf numFmtId="0" fontId="5" fillId="0" borderId="19" xfId="0" applyFont="1" applyBorder="1"/>
    <xf numFmtId="0" fontId="5" fillId="0" borderId="20" xfId="0" applyFont="1" applyBorder="1"/>
    <xf numFmtId="37" fontId="15" fillId="8" borderId="26" xfId="0" applyNumberFormat="1" applyFont="1" applyFill="1" applyBorder="1"/>
    <xf numFmtId="3" fontId="9" fillId="0" borderId="13" xfId="0" applyNumberFormat="1" applyFont="1" applyBorder="1"/>
    <xf numFmtId="3" fontId="19" fillId="0" borderId="13" xfId="0" applyNumberFormat="1" applyFont="1" applyBorder="1"/>
    <xf numFmtId="3" fontId="9" fillId="0" borderId="18" xfId="0" applyNumberFormat="1" applyFont="1" applyBorder="1"/>
    <xf numFmtId="37" fontId="19" fillId="0" borderId="18" xfId="0" applyNumberFormat="1" applyFont="1" applyBorder="1"/>
    <xf numFmtId="3" fontId="20" fillId="10" borderId="13" xfId="0" applyNumberFormat="1" applyFont="1" applyFill="1" applyBorder="1"/>
    <xf numFmtId="0" fontId="1" fillId="11" borderId="1" xfId="0" applyFont="1" applyFill="1" applyBorder="1"/>
    <xf numFmtId="0" fontId="1" fillId="10" borderId="1" xfId="0" applyFont="1" applyFill="1" applyBorder="1"/>
    <xf numFmtId="37" fontId="5" fillId="11" borderId="28" xfId="0" applyNumberFormat="1" applyFont="1" applyFill="1" applyBorder="1"/>
    <xf numFmtId="37" fontId="5" fillId="10" borderId="28" xfId="0" applyNumberFormat="1" applyFont="1" applyFill="1" applyBorder="1"/>
    <xf numFmtId="0" fontId="1" fillId="0" borderId="24" xfId="0" applyFont="1" applyBorder="1"/>
    <xf numFmtId="0" fontId="2" fillId="12" borderId="0" xfId="0" applyFont="1" applyFill="1"/>
    <xf numFmtId="0" fontId="1" fillId="12" borderId="0" xfId="0" applyFont="1" applyFill="1"/>
    <xf numFmtId="0" fontId="1" fillId="2" borderId="1" xfId="0" applyFont="1" applyFill="1" applyBorder="1" applyAlignment="1">
      <alignment horizontal="center"/>
    </xf>
    <xf numFmtId="0" fontId="1" fillId="8" borderId="1" xfId="0" applyFont="1" applyFill="1" applyBorder="1" applyAlignment="1">
      <alignment horizontal="center"/>
    </xf>
    <xf numFmtId="0" fontId="22" fillId="0" borderId="0" xfId="0" applyFont="1"/>
    <xf numFmtId="0" fontId="1" fillId="0" borderId="3" xfId="0" applyFont="1" applyBorder="1" applyAlignment="1">
      <alignment horizontal="center"/>
    </xf>
    <xf numFmtId="0" fontId="1" fillId="0" borderId="3" xfId="0" applyFont="1" applyBorder="1" applyAlignment="1">
      <alignment wrapText="1"/>
    </xf>
    <xf numFmtId="0" fontId="12" fillId="0" borderId="0" xfId="0" applyFont="1" applyAlignment="1">
      <alignment horizontal="center"/>
    </xf>
    <xf numFmtId="0" fontId="12" fillId="0" borderId="0" xfId="0" applyFont="1"/>
    <xf numFmtId="37" fontId="12" fillId="0" borderId="0" xfId="0" applyNumberFormat="1" applyFont="1" applyAlignment="1">
      <alignment horizontal="center"/>
    </xf>
    <xf numFmtId="3" fontId="12" fillId="0" borderId="0" xfId="0" applyNumberFormat="1" applyFont="1" applyAlignment="1">
      <alignment horizontal="center"/>
    </xf>
    <xf numFmtId="3" fontId="23" fillId="0" borderId="0" xfId="0" applyNumberFormat="1" applyFont="1"/>
    <xf numFmtId="0" fontId="1" fillId="0" borderId="3" xfId="0" applyFont="1" applyBorder="1" applyAlignment="1">
      <alignment horizontal="center" wrapText="1"/>
    </xf>
    <xf numFmtId="0" fontId="12" fillId="0" borderId="0" xfId="0" applyFont="1" applyAlignment="1">
      <alignment horizontal="center" wrapText="1"/>
    </xf>
    <xf numFmtId="0" fontId="6" fillId="0" borderId="0" xfId="0" applyFont="1" applyAlignment="1">
      <alignment readingOrder="1"/>
    </xf>
    <xf numFmtId="0" fontId="6" fillId="0" borderId="0" xfId="0" applyFont="1" applyAlignment="1">
      <alignment horizontal="center" readingOrder="2"/>
    </xf>
    <xf numFmtId="0" fontId="6" fillId="0" borderId="0" xfId="0" applyFont="1" applyAlignment="1">
      <alignment horizontal="center" readingOrder="1"/>
    </xf>
    <xf numFmtId="0" fontId="24" fillId="0" borderId="0" xfId="0" applyFont="1" applyAlignment="1">
      <alignment horizontal="right" readingOrder="2"/>
    </xf>
    <xf numFmtId="0" fontId="6" fillId="0" borderId="0" xfId="0" applyFont="1" applyAlignment="1">
      <alignment horizontal="right" readingOrder="2"/>
    </xf>
    <xf numFmtId="0" fontId="1" fillId="0" borderId="27" xfId="0" applyFont="1" applyBorder="1"/>
    <xf numFmtId="0" fontId="1" fillId="13" borderId="14" xfId="0" applyFont="1" applyFill="1" applyBorder="1"/>
    <xf numFmtId="0" fontId="1" fillId="13" borderId="16" xfId="0" applyFont="1" applyFill="1" applyBorder="1"/>
    <xf numFmtId="0" fontId="1" fillId="13" borderId="17" xfId="0" applyFont="1" applyFill="1" applyBorder="1"/>
    <xf numFmtId="0" fontId="1" fillId="13" borderId="18" xfId="0" applyFont="1" applyFill="1" applyBorder="1"/>
    <xf numFmtId="0" fontId="2" fillId="13" borderId="17" xfId="0" applyFont="1" applyFill="1" applyBorder="1"/>
    <xf numFmtId="0" fontId="2" fillId="13" borderId="19" xfId="0" applyFont="1" applyFill="1" applyBorder="1"/>
    <xf numFmtId="0" fontId="1" fillId="13" borderId="26" xfId="0" applyFont="1" applyFill="1" applyBorder="1"/>
    <xf numFmtId="0" fontId="2" fillId="14" borderId="0" xfId="0" applyFont="1" applyFill="1"/>
    <xf numFmtId="0" fontId="1" fillId="9" borderId="0" xfId="0" applyFont="1" applyFill="1"/>
    <xf numFmtId="14" fontId="1" fillId="0" borderId="0" xfId="0" applyNumberFormat="1" applyFont="1"/>
    <xf numFmtId="14" fontId="1" fillId="0" borderId="1" xfId="0" applyNumberFormat="1" applyFont="1" applyBorder="1"/>
    <xf numFmtId="0" fontId="2" fillId="0" borderId="20" xfId="0" applyFont="1" applyBorder="1"/>
    <xf numFmtId="3" fontId="1" fillId="2" borderId="13" xfId="0" applyNumberFormat="1" applyFont="1" applyFill="1" applyBorder="1"/>
    <xf numFmtId="0" fontId="2" fillId="9" borderId="0" xfId="0" applyFont="1" applyFill="1"/>
    <xf numFmtId="3" fontId="1" fillId="0" borderId="12" xfId="0" applyNumberFormat="1" applyFont="1" applyBorder="1"/>
    <xf numFmtId="3" fontId="2" fillId="0" borderId="12" xfId="0" applyNumberFormat="1" applyFont="1" applyBorder="1"/>
    <xf numFmtId="3" fontId="1" fillId="2" borderId="0" xfId="0" applyNumberFormat="1" applyFont="1" applyFill="1"/>
    <xf numFmtId="3" fontId="2" fillId="2" borderId="12" xfId="0" applyNumberFormat="1" applyFont="1" applyFill="1" applyBorder="1"/>
    <xf numFmtId="3" fontId="1" fillId="2" borderId="21" xfId="0" applyNumberFormat="1" applyFont="1" applyFill="1" applyBorder="1"/>
    <xf numFmtId="3" fontId="1" fillId="2" borderId="22" xfId="0" applyNumberFormat="1" applyFont="1" applyFill="1" applyBorder="1"/>
    <xf numFmtId="3" fontId="1" fillId="2" borderId="27" xfId="0" applyNumberFormat="1" applyFont="1" applyFill="1" applyBorder="1"/>
    <xf numFmtId="14" fontId="2" fillId="0" borderId="1" xfId="0" applyNumberFormat="1" applyFont="1" applyBorder="1"/>
    <xf numFmtId="14" fontId="2" fillId="0" borderId="0" xfId="0" applyNumberFormat="1" applyFont="1"/>
    <xf numFmtId="3" fontId="2" fillId="0" borderId="0" xfId="0" applyNumberFormat="1" applyFont="1"/>
    <xf numFmtId="14" fontId="1" fillId="0" borderId="1" xfId="0" applyNumberFormat="1" applyFont="1" applyBorder="1" applyAlignment="1">
      <alignment horizontal="center"/>
    </xf>
    <xf numFmtId="0" fontId="5" fillId="9" borderId="0" xfId="0" applyFont="1" applyFill="1"/>
    <xf numFmtId="0" fontId="15" fillId="0" borderId="0" xfId="0" applyFont="1"/>
    <xf numFmtId="0" fontId="5" fillId="0" borderId="0" xfId="0" applyFont="1" applyAlignment="1">
      <alignment horizontal="center"/>
    </xf>
    <xf numFmtId="0" fontId="5" fillId="0" borderId="1" xfId="0" applyFont="1" applyBorder="1" applyAlignment="1">
      <alignment horizontal="center"/>
    </xf>
    <xf numFmtId="14" fontId="5" fillId="0" borderId="0" xfId="0" applyNumberFormat="1" applyFont="1"/>
    <xf numFmtId="3" fontId="5" fillId="0" borderId="0" xfId="0" applyNumberFormat="1" applyFont="1"/>
    <xf numFmtId="3" fontId="5" fillId="0" borderId="0" xfId="0" applyNumberFormat="1" applyFont="1" applyAlignment="1">
      <alignment horizontal="center"/>
    </xf>
    <xf numFmtId="37" fontId="5" fillId="0" borderId="0" xfId="0" applyNumberFormat="1" applyFont="1" applyAlignment="1">
      <alignment horizontal="center"/>
    </xf>
    <xf numFmtId="3" fontId="5" fillId="0" borderId="29" xfId="0" applyNumberFormat="1" applyFont="1" applyBorder="1" applyAlignment="1">
      <alignment horizontal="center"/>
    </xf>
    <xf numFmtId="3" fontId="5" fillId="2" borderId="0" xfId="0" applyNumberFormat="1" applyFont="1" applyFill="1" applyAlignment="1">
      <alignment horizontal="center"/>
    </xf>
    <xf numFmtId="14" fontId="5" fillId="0" borderId="1" xfId="0" applyNumberFormat="1" applyFont="1" applyBorder="1"/>
    <xf numFmtId="3" fontId="5" fillId="0" borderId="12" xfId="0" applyNumberFormat="1" applyFont="1" applyBorder="1"/>
    <xf numFmtId="164" fontId="5" fillId="0" borderId="0" xfId="0" applyNumberFormat="1" applyFont="1" applyAlignment="1">
      <alignment horizontal="center"/>
    </xf>
    <xf numFmtId="9" fontId="5" fillId="0" borderId="0" xfId="0" applyNumberFormat="1" applyFont="1" applyAlignment="1">
      <alignment horizontal="center"/>
    </xf>
    <xf numFmtId="10" fontId="5" fillId="0" borderId="0" xfId="0" applyNumberFormat="1" applyFont="1" applyAlignment="1">
      <alignment horizontal="center"/>
    </xf>
    <xf numFmtId="0" fontId="5" fillId="15" borderId="0" xfId="0" applyFont="1" applyFill="1"/>
    <xf numFmtId="0" fontId="17" fillId="0" borderId="0" xfId="0" applyFont="1" applyAlignment="1">
      <alignment horizontal="center"/>
    </xf>
    <xf numFmtId="37" fontId="5" fillId="0" borderId="13" xfId="0" applyNumberFormat="1" applyFont="1" applyBorder="1" applyAlignment="1">
      <alignment horizontal="center"/>
    </xf>
    <xf numFmtId="14" fontId="5" fillId="0" borderId="1" xfId="0" applyNumberFormat="1" applyFont="1" applyBorder="1" applyAlignment="1">
      <alignment horizontal="center"/>
    </xf>
    <xf numFmtId="37" fontId="5" fillId="0" borderId="29" xfId="0" applyNumberFormat="1" applyFont="1" applyBorder="1" applyAlignment="1">
      <alignment horizontal="center"/>
    </xf>
    <xf numFmtId="37" fontId="5" fillId="2" borderId="0" xfId="0" applyNumberFormat="1" applyFont="1" applyFill="1" applyAlignment="1">
      <alignment horizontal="center"/>
    </xf>
    <xf numFmtId="0" fontId="23" fillId="0" borderId="0" xfId="0" applyFont="1" applyAlignment="1">
      <alignment readingOrder="2"/>
    </xf>
    <xf numFmtId="0" fontId="1" fillId="0" borderId="0" xfId="0" applyFont="1" applyAlignment="1">
      <alignment horizontal="center" wrapText="1"/>
    </xf>
    <xf numFmtId="0" fontId="4" fillId="0" borderId="0" xfId="0" applyFont="1"/>
    <xf numFmtId="0" fontId="26" fillId="0" borderId="0" xfId="0" applyFont="1" applyAlignment="1">
      <alignment horizontal="right"/>
    </xf>
    <xf numFmtId="0" fontId="1" fillId="0" borderId="21" xfId="0" applyFont="1" applyBorder="1" applyAlignment="1">
      <alignment horizontal="center"/>
    </xf>
    <xf numFmtId="0" fontId="1" fillId="0" borderId="22" xfId="0" applyFont="1" applyBorder="1" applyAlignment="1">
      <alignment horizontal="center"/>
    </xf>
    <xf numFmtId="0" fontId="1" fillId="0" borderId="27" xfId="0" applyFont="1" applyBorder="1" applyAlignment="1">
      <alignment horizontal="center"/>
    </xf>
    <xf numFmtId="0" fontId="1" fillId="0" borderId="0" xfId="0" applyFont="1" applyAlignment="1">
      <alignment wrapText="1"/>
    </xf>
    <xf numFmtId="14" fontId="1" fillId="2" borderId="0" xfId="0" applyNumberFormat="1" applyFont="1" applyFill="1"/>
    <xf numFmtId="0" fontId="1" fillId="0" borderId="17" xfId="0" applyFont="1" applyBorder="1" applyAlignment="1">
      <alignment horizontal="center"/>
    </xf>
    <xf numFmtId="0" fontId="2" fillId="11" borderId="0" xfId="0" applyFont="1" applyFill="1"/>
    <xf numFmtId="0" fontId="1" fillId="11" borderId="0" xfId="0" applyFont="1" applyFill="1"/>
    <xf numFmtId="14" fontId="1" fillId="13" borderId="1" xfId="0" applyNumberFormat="1" applyFont="1" applyFill="1" applyBorder="1" applyAlignment="1">
      <alignment horizontal="center"/>
    </xf>
    <xf numFmtId="37" fontId="1" fillId="13" borderId="0" xfId="0" applyNumberFormat="1" applyFont="1" applyFill="1" applyAlignment="1">
      <alignment horizontal="center"/>
    </xf>
    <xf numFmtId="37" fontId="1" fillId="13" borderId="12" xfId="0" applyNumberFormat="1" applyFont="1" applyFill="1" applyBorder="1" applyAlignment="1">
      <alignment horizontal="center"/>
    </xf>
    <xf numFmtId="0" fontId="1" fillId="15" borderId="0" xfId="0" applyFont="1" applyFill="1" applyAlignment="1">
      <alignment horizontal="center"/>
    </xf>
    <xf numFmtId="0" fontId="29" fillId="0" borderId="0" xfId="0" applyFont="1"/>
    <xf numFmtId="0" fontId="2" fillId="0" borderId="13" xfId="0" applyFont="1" applyBorder="1" applyAlignment="1">
      <alignment horizontal="center"/>
    </xf>
    <xf numFmtId="3" fontId="1" fillId="2" borderId="0" xfId="0" applyNumberFormat="1" applyFont="1" applyFill="1" applyAlignment="1">
      <alignment horizontal="center"/>
    </xf>
    <xf numFmtId="37" fontId="1" fillId="2" borderId="12" xfId="0" applyNumberFormat="1" applyFont="1" applyFill="1" applyBorder="1" applyAlignment="1">
      <alignment horizontal="center"/>
    </xf>
    <xf numFmtId="0" fontId="2" fillId="16" borderId="0" xfId="0" applyFont="1" applyFill="1"/>
    <xf numFmtId="0" fontId="1" fillId="16" borderId="0" xfId="0" applyFont="1" applyFill="1"/>
    <xf numFmtId="14" fontId="12" fillId="0" borderId="1" xfId="0" applyNumberFormat="1" applyFont="1" applyBorder="1" applyAlignment="1">
      <alignment horizontal="center"/>
    </xf>
    <xf numFmtId="37" fontId="12" fillId="0" borderId="12" xfId="0" applyNumberFormat="1" applyFont="1" applyBorder="1" applyAlignment="1">
      <alignment horizontal="center"/>
    </xf>
    <xf numFmtId="0" fontId="1" fillId="10" borderId="0" xfId="0" applyFont="1" applyFill="1"/>
    <xf numFmtId="37" fontId="14" fillId="0" borderId="0" xfId="0" applyNumberFormat="1" applyFont="1" applyAlignment="1">
      <alignment horizontal="center"/>
    </xf>
    <xf numFmtId="37" fontId="5" fillId="0" borderId="12" xfId="0" applyNumberFormat="1" applyFont="1" applyBorder="1" applyAlignment="1">
      <alignment horizontal="center"/>
    </xf>
    <xf numFmtId="37" fontId="14" fillId="13" borderId="0" xfId="0" applyNumberFormat="1" applyFont="1" applyFill="1" applyAlignment="1">
      <alignment horizontal="center"/>
    </xf>
    <xf numFmtId="37" fontId="5" fillId="13" borderId="0" xfId="0" applyNumberFormat="1" applyFont="1" applyFill="1" applyAlignment="1">
      <alignment horizontal="center"/>
    </xf>
    <xf numFmtId="37" fontId="5" fillId="13" borderId="12" xfId="0" applyNumberFormat="1" applyFont="1" applyFill="1" applyBorder="1" applyAlignment="1">
      <alignment horizontal="center"/>
    </xf>
    <xf numFmtId="0" fontId="5" fillId="15" borderId="0" xfId="0" applyFont="1" applyFill="1" applyAlignment="1">
      <alignment horizontal="center"/>
    </xf>
    <xf numFmtId="0" fontId="1" fillId="0" borderId="23" xfId="0" applyFont="1" applyBorder="1"/>
    <xf numFmtId="0" fontId="1" fillId="0" borderId="25" xfId="0" applyFont="1" applyBorder="1"/>
    <xf numFmtId="14" fontId="1" fillId="0" borderId="30" xfId="0" applyNumberFormat="1" applyFont="1" applyBorder="1"/>
    <xf numFmtId="37" fontId="5" fillId="0" borderId="25" xfId="0" applyNumberFormat="1" applyFont="1" applyBorder="1" applyAlignment="1">
      <alignment horizontal="center"/>
    </xf>
    <xf numFmtId="37" fontId="14" fillId="0" borderId="25" xfId="0" applyNumberFormat="1" applyFont="1" applyBorder="1" applyAlignment="1">
      <alignment horizontal="center"/>
    </xf>
    <xf numFmtId="0" fontId="5" fillId="15" borderId="25" xfId="0" applyFont="1" applyFill="1" applyBorder="1" applyAlignment="1">
      <alignment horizontal="center"/>
    </xf>
    <xf numFmtId="0" fontId="5" fillId="0" borderId="24" xfId="0" applyFont="1" applyBorder="1"/>
    <xf numFmtId="37" fontId="5" fillId="10" borderId="31" xfId="0" applyNumberFormat="1" applyFont="1" applyFill="1" applyBorder="1" applyAlignment="1">
      <alignment horizontal="center"/>
    </xf>
    <xf numFmtId="37" fontId="1" fillId="10" borderId="0" xfId="0" applyNumberFormat="1" applyFont="1" applyFill="1" applyAlignment="1">
      <alignment horizontal="center"/>
    </xf>
    <xf numFmtId="37" fontId="1" fillId="4" borderId="12" xfId="0" applyNumberFormat="1" applyFont="1" applyFill="1" applyBorder="1" applyAlignment="1">
      <alignment horizontal="center"/>
    </xf>
    <xf numFmtId="37" fontId="5" fillId="4" borderId="0" xfId="0" applyNumberFormat="1" applyFont="1" applyFill="1" applyAlignment="1">
      <alignment horizontal="center"/>
    </xf>
    <xf numFmtId="37" fontId="1" fillId="0" borderId="0" xfId="0" applyNumberFormat="1" applyFont="1" applyAlignment="1">
      <alignment horizontal="center" vertical="center"/>
    </xf>
    <xf numFmtId="37" fontId="1" fillId="0" borderId="12" xfId="0" applyNumberFormat="1" applyFont="1" applyBorder="1" applyAlignment="1">
      <alignment horizontal="center" vertical="center"/>
    </xf>
    <xf numFmtId="0" fontId="32" fillId="0" borderId="0" xfId="0" applyFont="1"/>
    <xf numFmtId="0" fontId="1" fillId="0" borderId="0" xfId="0" applyFont="1" applyAlignment="1">
      <alignment horizontal="left"/>
    </xf>
    <xf numFmtId="0" fontId="1" fillId="17" borderId="0" xfId="0" applyFont="1" applyFill="1"/>
    <xf numFmtId="0" fontId="2" fillId="0" borderId="21" xfId="0" applyFont="1" applyBorder="1"/>
    <xf numFmtId="0" fontId="2" fillId="17" borderId="0" xfId="0" applyFont="1" applyFill="1"/>
    <xf numFmtId="0" fontId="5" fillId="0" borderId="0" xfId="0" applyFont="1" applyAlignment="1">
      <alignment horizontal="right"/>
    </xf>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6" xfId="0" applyFont="1" applyBorder="1"/>
    <xf numFmtId="0" fontId="14" fillId="0" borderId="6" xfId="0" applyFont="1" applyBorder="1"/>
    <xf numFmtId="0" fontId="5" fillId="0" borderId="8" xfId="0" applyFont="1" applyBorder="1" applyAlignment="1">
      <alignment horizontal="center"/>
    </xf>
    <xf numFmtId="0" fontId="5" fillId="0" borderId="10" xfId="0" applyFont="1" applyBorder="1" applyAlignment="1">
      <alignment horizontal="center"/>
    </xf>
    <xf numFmtId="0" fontId="5" fillId="0" borderId="1" xfId="0" applyFont="1" applyBorder="1"/>
    <xf numFmtId="0" fontId="14" fillId="0" borderId="1" xfId="0" applyFont="1" applyBorder="1"/>
    <xf numFmtId="0" fontId="5" fillId="0" borderId="14" xfId="0" applyFont="1" applyBorder="1"/>
    <xf numFmtId="0" fontId="5" fillId="0" borderId="15" xfId="0" applyFont="1" applyBorder="1"/>
    <xf numFmtId="3" fontId="5" fillId="0" borderId="15" xfId="0" applyNumberFormat="1" applyFont="1" applyBorder="1" applyAlignment="1">
      <alignment horizontal="center"/>
    </xf>
    <xf numFmtId="0" fontId="5" fillId="0" borderId="16" xfId="0" applyFont="1" applyBorder="1"/>
    <xf numFmtId="3" fontId="5" fillId="0" borderId="20" xfId="0" applyNumberFormat="1" applyFont="1" applyBorder="1" applyAlignment="1">
      <alignment horizontal="center"/>
    </xf>
    <xf numFmtId="0" fontId="5" fillId="0" borderId="26" xfId="0" applyFont="1" applyBorder="1"/>
    <xf numFmtId="0" fontId="5" fillId="0" borderId="23" xfId="0" applyFont="1" applyBorder="1"/>
    <xf numFmtId="0" fontId="14" fillId="0" borderId="22" xfId="0" applyFont="1" applyBorder="1"/>
    <xf numFmtId="0" fontId="14" fillId="0" borderId="27" xfId="0" applyFont="1" applyBorder="1"/>
    <xf numFmtId="37" fontId="15" fillId="2" borderId="12" xfId="0" applyNumberFormat="1" applyFont="1" applyFill="1" applyBorder="1" applyAlignment="1">
      <alignment horizontal="center"/>
    </xf>
    <xf numFmtId="0" fontId="1" fillId="0" borderId="8" xfId="0" applyFont="1" applyBorder="1" applyAlignment="1">
      <alignment horizontal="center"/>
    </xf>
    <xf numFmtId="14" fontId="1" fillId="0" borderId="9" xfId="0" applyNumberFormat="1" applyFont="1" applyBorder="1"/>
    <xf numFmtId="14" fontId="1" fillId="0" borderId="0" xfId="0" applyNumberFormat="1" applyFont="1" applyAlignment="1">
      <alignment horizontal="center"/>
    </xf>
    <xf numFmtId="3" fontId="1" fillId="0" borderId="9" xfId="0" applyNumberFormat="1" applyFont="1" applyBorder="1"/>
    <xf numFmtId="37" fontId="1" fillId="0" borderId="33" xfId="0" applyNumberFormat="1" applyFont="1" applyBorder="1" applyAlignment="1">
      <alignment horizontal="center"/>
    </xf>
    <xf numFmtId="37" fontId="1" fillId="0" borderId="34" xfId="0" applyNumberFormat="1"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14" fontId="1" fillId="0" borderId="35" xfId="0" applyNumberFormat="1" applyFont="1" applyBorder="1" applyAlignment="1">
      <alignment horizontal="center"/>
    </xf>
    <xf numFmtId="0" fontId="1" fillId="15" borderId="10" xfId="0" applyFont="1" applyFill="1" applyBorder="1" applyAlignment="1">
      <alignment horizontal="center"/>
    </xf>
    <xf numFmtId="37" fontId="1" fillId="13" borderId="13" xfId="0" applyNumberFormat="1" applyFont="1" applyFill="1" applyBorder="1" applyAlignment="1">
      <alignment horizontal="center"/>
    </xf>
    <xf numFmtId="0" fontId="2" fillId="3" borderId="0" xfId="0" applyFont="1" applyFill="1"/>
    <xf numFmtId="0" fontId="13" fillId="0" borderId="0" xfId="0" applyFont="1" applyAlignment="1">
      <alignment horizontal="center"/>
    </xf>
    <xf numFmtId="0" fontId="2" fillId="0" borderId="13" xfId="0" applyFont="1" applyBorder="1"/>
    <xf numFmtId="3" fontId="2" fillId="2" borderId="13" xfId="0" applyNumberFormat="1" applyFont="1" applyFill="1" applyBorder="1" applyAlignment="1">
      <alignment horizontal="center"/>
    </xf>
    <xf numFmtId="0" fontId="2" fillId="18" borderId="0" xfId="0" applyFont="1" applyFill="1"/>
    <xf numFmtId="0" fontId="1" fillId="18" borderId="0" xfId="0" applyFont="1" applyFill="1"/>
    <xf numFmtId="0" fontId="2" fillId="19" borderId="0" xfId="0" applyFont="1" applyFill="1"/>
    <xf numFmtId="0" fontId="1" fillId="19" borderId="0" xfId="0" applyFont="1" applyFill="1"/>
    <xf numFmtId="0" fontId="34" fillId="0" borderId="0" xfId="0" applyFont="1"/>
    <xf numFmtId="0" fontId="1" fillId="18" borderId="0" xfId="0" applyFont="1" applyFill="1" applyAlignment="1">
      <alignment wrapText="1"/>
    </xf>
    <xf numFmtId="0" fontId="1" fillId="19" borderId="0" xfId="0" applyFont="1" applyFill="1" applyAlignment="1">
      <alignment wrapText="1"/>
    </xf>
    <xf numFmtId="0" fontId="35" fillId="19" borderId="0" xfId="0" applyFont="1" applyFill="1"/>
    <xf numFmtId="0" fontId="35" fillId="0" borderId="0" xfId="0" applyFont="1"/>
    <xf numFmtId="0" fontId="6" fillId="0" borderId="0" xfId="0" applyFont="1"/>
    <xf numFmtId="3" fontId="6" fillId="0" borderId="0" xfId="0" applyNumberFormat="1" applyFont="1"/>
    <xf numFmtId="165" fontId="35" fillId="0" borderId="0" xfId="0" applyNumberFormat="1" applyFont="1"/>
    <xf numFmtId="165" fontId="6" fillId="0" borderId="0" xfId="0" applyNumberFormat="1" applyFont="1"/>
    <xf numFmtId="165" fontId="1" fillId="0" borderId="0" xfId="0" applyNumberFormat="1" applyFont="1"/>
    <xf numFmtId="0" fontId="36" fillId="0" borderId="0" xfId="0" applyFont="1"/>
    <xf numFmtId="165" fontId="2" fillId="18" borderId="0" xfId="0" applyNumberFormat="1" applyFont="1" applyFill="1"/>
    <xf numFmtId="165" fontId="4" fillId="18" borderId="0" xfId="0" applyNumberFormat="1" applyFont="1" applyFill="1"/>
    <xf numFmtId="165" fontId="2" fillId="19" borderId="0" xfId="0" applyNumberFormat="1" applyFont="1" applyFill="1"/>
    <xf numFmtId="0" fontId="2" fillId="20" borderId="0" xfId="0" applyFont="1" applyFill="1"/>
    <xf numFmtId="0" fontId="1" fillId="20" borderId="0" xfId="0" applyFont="1" applyFill="1"/>
    <xf numFmtId="0" fontId="2" fillId="21" borderId="0" xfId="0" applyFont="1" applyFill="1"/>
    <xf numFmtId="0" fontId="1" fillId="21" borderId="0" xfId="0" applyFont="1" applyFill="1"/>
    <xf numFmtId="0" fontId="2" fillId="21" borderId="0" xfId="0" applyFont="1" applyFill="1" applyAlignment="1">
      <alignment horizontal="center"/>
    </xf>
    <xf numFmtId="0" fontId="3" fillId="21" borderId="0" xfId="0" applyFont="1" applyFill="1"/>
    <xf numFmtId="165" fontId="6" fillId="20" borderId="0" xfId="0" applyNumberFormat="1" applyFont="1" applyFill="1"/>
    <xf numFmtId="0" fontId="6" fillId="20" borderId="0" xfId="0" applyFont="1" applyFill="1"/>
    <xf numFmtId="0" fontId="37" fillId="20" borderId="0" xfId="0" applyFont="1" applyFill="1"/>
    <xf numFmtId="0" fontId="24" fillId="21" borderId="0" xfId="0" applyFont="1" applyFill="1"/>
    <xf numFmtId="0" fontId="6" fillId="21" borderId="0" xfId="0" applyFont="1" applyFill="1"/>
    <xf numFmtId="165" fontId="6" fillId="20" borderId="36" xfId="0" applyNumberFormat="1" applyFont="1" applyFill="1" applyBorder="1"/>
    <xf numFmtId="165" fontId="1" fillId="21" borderId="0" xfId="0" applyNumberFormat="1" applyFont="1" applyFill="1"/>
    <xf numFmtId="0" fontId="34" fillId="21" borderId="0" xfId="0" applyFont="1" applyFill="1"/>
    <xf numFmtId="165" fontId="6" fillId="21" borderId="0" xfId="0" applyNumberFormat="1" applyFont="1" applyFill="1"/>
    <xf numFmtId="0" fontId="4" fillId="21" borderId="0" xfId="0" applyFont="1" applyFill="1"/>
    <xf numFmtId="165" fontId="4" fillId="21" borderId="0" xfId="0" applyNumberFormat="1" applyFont="1" applyFill="1"/>
    <xf numFmtId="165" fontId="1" fillId="21" borderId="36" xfId="0" applyNumberFormat="1" applyFont="1" applyFill="1" applyBorder="1"/>
    <xf numFmtId="165" fontId="6" fillId="21" borderId="36" xfId="0" applyNumberFormat="1" applyFont="1" applyFill="1" applyBorder="1"/>
    <xf numFmtId="0" fontId="13" fillId="21" borderId="0" xfId="0" applyFont="1" applyFill="1"/>
    <xf numFmtId="165" fontId="2" fillId="21" borderId="36" xfId="0" applyNumberFormat="1" applyFont="1" applyFill="1" applyBorder="1"/>
    <xf numFmtId="165" fontId="1" fillId="0" borderId="36" xfId="0" applyNumberFormat="1" applyFont="1" applyBorder="1"/>
    <xf numFmtId="0" fontId="2" fillId="2" borderId="14"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26" xfId="0" applyFont="1" applyFill="1" applyBorder="1"/>
    <xf numFmtId="0" fontId="39" fillId="0" borderId="14" xfId="0" applyFont="1" applyBorder="1"/>
    <xf numFmtId="0" fontId="39" fillId="0" borderId="16" xfId="0" applyFont="1" applyBorder="1"/>
    <xf numFmtId="0" fontId="39" fillId="0" borderId="17" xfId="0" applyFont="1" applyBorder="1"/>
    <xf numFmtId="0" fontId="39" fillId="0" borderId="18" xfId="0" applyFont="1" applyBorder="1"/>
    <xf numFmtId="0" fontId="39" fillId="0" borderId="19" xfId="0" applyFont="1" applyBorder="1"/>
    <xf numFmtId="0" fontId="39" fillId="0" borderId="26" xfId="0" applyFont="1" applyBorder="1"/>
    <xf numFmtId="0" fontId="1" fillId="0" borderId="1" xfId="0" applyFont="1" applyBorder="1" applyAlignment="1">
      <alignment wrapText="1"/>
    </xf>
    <xf numFmtId="0" fontId="1" fillId="0" borderId="1" xfId="0" applyFont="1" applyBorder="1" applyAlignment="1">
      <alignment horizontal="center" wrapText="1"/>
    </xf>
    <xf numFmtId="37" fontId="1" fillId="0" borderId="23" xfId="0" applyNumberFormat="1" applyFont="1" applyBorder="1" applyAlignment="1">
      <alignment horizontal="center"/>
    </xf>
    <xf numFmtId="37" fontId="1" fillId="0" borderId="24" xfId="0" applyNumberFormat="1" applyFont="1" applyBorder="1" applyAlignment="1">
      <alignment horizontal="center"/>
    </xf>
    <xf numFmtId="0" fontId="2" fillId="22" borderId="0" xfId="0" applyFont="1" applyFill="1"/>
    <xf numFmtId="0" fontId="1" fillId="0" borderId="12" xfId="0" applyFont="1" applyBorder="1" applyAlignment="1">
      <alignment horizontal="center"/>
    </xf>
    <xf numFmtId="0" fontId="13" fillId="0" borderId="0" xfId="0" applyFont="1"/>
    <xf numFmtId="0" fontId="41" fillId="0" borderId="0" xfId="0" applyFont="1"/>
    <xf numFmtId="0" fontId="2" fillId="0" borderId="22" xfId="0" applyFont="1" applyBorder="1"/>
    <xf numFmtId="0" fontId="2" fillId="0" borderId="27" xfId="0" applyFont="1" applyBorder="1"/>
    <xf numFmtId="0" fontId="42" fillId="0" borderId="0" xfId="1"/>
    <xf numFmtId="0" fontId="2" fillId="23" borderId="0" xfId="0" applyFont="1" applyFill="1"/>
    <xf numFmtId="0" fontId="2" fillId="10" borderId="0" xfId="0" applyFont="1" applyFill="1"/>
    <xf numFmtId="0" fontId="2" fillId="24" borderId="0" xfId="0" applyFont="1" applyFill="1"/>
    <xf numFmtId="0" fontId="1" fillId="24" borderId="0" xfId="0" applyFont="1" applyFill="1"/>
    <xf numFmtId="0" fontId="1" fillId="0" borderId="12" xfId="0" applyFont="1" applyBorder="1"/>
    <xf numFmtId="0" fontId="2" fillId="0" borderId="12" xfId="0" applyFont="1" applyBorder="1"/>
    <xf numFmtId="0" fontId="2" fillId="25" borderId="0" xfId="0" applyFont="1" applyFill="1"/>
    <xf numFmtId="0" fontId="1" fillId="25" borderId="0" xfId="0" applyFont="1" applyFill="1"/>
    <xf numFmtId="0" fontId="1" fillId="26" borderId="0" xfId="0" applyFont="1" applyFill="1"/>
    <xf numFmtId="0" fontId="2" fillId="26" borderId="0" xfId="0" applyFont="1" applyFill="1"/>
    <xf numFmtId="0" fontId="1" fillId="23" borderId="0" xfId="0" applyFont="1" applyFill="1"/>
    <xf numFmtId="0" fontId="1" fillId="27" borderId="0" xfId="0" applyFont="1" applyFill="1"/>
    <xf numFmtId="0" fontId="2" fillId="27" borderId="0" xfId="0" applyFont="1" applyFill="1"/>
    <xf numFmtId="0" fontId="1" fillId="2" borderId="0" xfId="0" applyFont="1" applyFill="1" applyAlignment="1">
      <alignment horizontal="right"/>
    </xf>
    <xf numFmtId="0" fontId="14" fillId="28" borderId="0" xfId="0" applyFont="1" applyFill="1"/>
    <xf numFmtId="37" fontId="14" fillId="28" borderId="0" xfId="0" applyNumberFormat="1" applyFont="1" applyFill="1"/>
    <xf numFmtId="0" fontId="14" fillId="29" borderId="0" xfId="0" applyFont="1" applyFill="1" applyAlignment="1">
      <alignment horizontal="center"/>
    </xf>
    <xf numFmtId="9" fontId="1" fillId="0" borderId="0" xfId="0" applyNumberFormat="1" applyFont="1"/>
    <xf numFmtId="0" fontId="46" fillId="0" borderId="21" xfId="0" applyFont="1" applyBorder="1"/>
    <xf numFmtId="0" fontId="3" fillId="0" borderId="0" xfId="0" applyFont="1"/>
    <xf numFmtId="0" fontId="1" fillId="30" borderId="0" xfId="0" applyFont="1" applyFill="1"/>
    <xf numFmtId="0" fontId="47" fillId="0" borderId="0" xfId="0" applyFont="1"/>
    <xf numFmtId="0" fontId="15" fillId="0" borderId="1" xfId="0" applyFont="1" applyBorder="1"/>
    <xf numFmtId="1" fontId="1" fillId="0" borderId="12" xfId="0" applyNumberFormat="1" applyFont="1" applyBorder="1"/>
    <xf numFmtId="0" fontId="12" fillId="0" borderId="1" xfId="0" applyFont="1" applyBorder="1" applyAlignment="1">
      <alignment horizontal="center"/>
    </xf>
    <xf numFmtId="166" fontId="1" fillId="0" borderId="0" xfId="0" applyNumberFormat="1" applyFont="1" applyAlignment="1">
      <alignment horizontal="center"/>
    </xf>
    <xf numFmtId="1" fontId="1" fillId="2" borderId="12" xfId="0" applyNumberFormat="1" applyFont="1" applyFill="1" applyBorder="1" applyAlignment="1">
      <alignment horizontal="center"/>
    </xf>
    <xf numFmtId="37" fontId="1" fillId="0" borderId="13" xfId="0" applyNumberFormat="1" applyFont="1" applyBorder="1" applyAlignment="1">
      <alignment horizontal="center"/>
    </xf>
    <xf numFmtId="0" fontId="48" fillId="0" borderId="0" xfId="0" applyFont="1"/>
    <xf numFmtId="1" fontId="1" fillId="0" borderId="0" xfId="0" applyNumberFormat="1" applyFont="1"/>
    <xf numFmtId="3" fontId="1" fillId="31" borderId="0" xfId="0" applyNumberFormat="1" applyFont="1" applyFill="1"/>
    <xf numFmtId="3" fontId="1" fillId="31" borderId="0" xfId="0" applyNumberFormat="1" applyFont="1" applyFill="1" applyAlignment="1">
      <alignment horizontal="center"/>
    </xf>
    <xf numFmtId="37" fontId="1" fillId="24" borderId="0" xfId="0" applyNumberFormat="1" applyFont="1" applyFill="1" applyAlignment="1">
      <alignment horizontal="center"/>
    </xf>
    <xf numFmtId="1" fontId="1" fillId="24" borderId="0" xfId="0" applyNumberFormat="1" applyFont="1" applyFill="1"/>
    <xf numFmtId="37" fontId="1" fillId="32" borderId="0" xfId="0" applyNumberFormat="1" applyFont="1" applyFill="1" applyAlignment="1">
      <alignment horizontal="center"/>
    </xf>
    <xf numFmtId="3" fontId="1" fillId="32" borderId="0" xfId="0" applyNumberFormat="1" applyFont="1" applyFill="1"/>
    <xf numFmtId="0" fontId="1" fillId="2" borderId="0" xfId="0" applyFont="1" applyFill="1" applyAlignment="1">
      <alignment horizontal="center"/>
    </xf>
    <xf numFmtId="0" fontId="2" fillId="6" borderId="1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1" fillId="9" borderId="27" xfId="0" applyFont="1" applyFill="1" applyBorder="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2" fillId="21" borderId="0" xfId="0" applyFont="1" applyFill="1"/>
    <xf numFmtId="0" fontId="34" fillId="0" borderId="0" xfId="0" applyFont="1"/>
    <xf numFmtId="0" fontId="1" fillId="0" borderId="18"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8" xfId="0" applyFont="1" applyBorder="1" applyAlignment="1">
      <alignment horizontal="center"/>
    </xf>
    <xf numFmtId="37" fontId="1" fillId="0" borderId="0" xfId="0" applyNumberFormat="1" applyFont="1" applyAlignment="1">
      <alignment horizontal="center" vertical="center"/>
    </xf>
    <xf numFmtId="0" fontId="11" fillId="0" borderId="0" xfId="0" applyFont="1"/>
    <xf numFmtId="0" fontId="1" fillId="0" borderId="0" xfId="0" applyFont="1" applyBorder="1"/>
    <xf numFmtId="37" fontId="1" fillId="0" borderId="0" xfId="0" applyNumberFormat="1" applyFont="1" applyBorder="1" applyAlignment="1">
      <alignment horizontal="center"/>
    </xf>
    <xf numFmtId="37" fontId="1" fillId="0" borderId="29" xfId="0" applyNumberFormat="1" applyFont="1" applyBorder="1" applyAlignment="1">
      <alignment horizontal="center"/>
    </xf>
    <xf numFmtId="0" fontId="1" fillId="0" borderId="37" xfId="0" applyFont="1" applyBorder="1"/>
    <xf numFmtId="0" fontId="1" fillId="0" borderId="38" xfId="0" applyFont="1" applyBorder="1"/>
    <xf numFmtId="0" fontId="1" fillId="0" borderId="29" xfId="0" applyFont="1" applyBorder="1"/>
    <xf numFmtId="0" fontId="1" fillId="0" borderId="39" xfId="0" applyFont="1" applyBorder="1"/>
    <xf numFmtId="37" fontId="1" fillId="0" borderId="39" xfId="0" applyNumberFormat="1" applyFont="1" applyBorder="1"/>
    <xf numFmtId="37" fontId="1" fillId="2" borderId="18" xfId="0" applyNumberFormat="1"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FFC4D8"/>
      <color rgb="FFD5FC79"/>
      <color rgb="FFFF7E79"/>
      <color rgb="FFD883FF"/>
      <color rgb="FFF08122"/>
      <color rgb="FFFF8AD8"/>
      <color rgb="FFFF9392"/>
      <color rgb="FFD6D6D6"/>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257175</xdr:colOff>
      <xdr:row>33</xdr:row>
      <xdr:rowOff>50800</xdr:rowOff>
    </xdr:from>
    <xdr:to>
      <xdr:col>1</xdr:col>
      <xdr:colOff>349250</xdr:colOff>
      <xdr:row>34</xdr:row>
      <xdr:rowOff>127000</xdr:rowOff>
    </xdr:to>
    <xdr:sp macro="" textlink="">
      <xdr:nvSpPr>
        <xdr:cNvPr id="2" name="Down Arrow 1">
          <a:extLst>
            <a:ext uri="{FF2B5EF4-FFF2-40B4-BE49-F238E27FC236}">
              <a16:creationId xmlns:a16="http://schemas.microsoft.com/office/drawing/2014/main" id="{53DF353B-AACE-89FF-E96A-F930951AE915}"/>
            </a:ext>
          </a:extLst>
        </xdr:cNvPr>
        <xdr:cNvSpPr/>
      </xdr:nvSpPr>
      <xdr:spPr>
        <a:xfrm>
          <a:off x="13523817250" y="675640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250825</xdr:colOff>
      <xdr:row>33</xdr:row>
      <xdr:rowOff>57150</xdr:rowOff>
    </xdr:from>
    <xdr:to>
      <xdr:col>5</xdr:col>
      <xdr:colOff>342900</xdr:colOff>
      <xdr:row>34</xdr:row>
      <xdr:rowOff>133350</xdr:rowOff>
    </xdr:to>
    <xdr:sp macro="" textlink="">
      <xdr:nvSpPr>
        <xdr:cNvPr id="3" name="Down Arrow 2">
          <a:extLst>
            <a:ext uri="{FF2B5EF4-FFF2-40B4-BE49-F238E27FC236}">
              <a16:creationId xmlns:a16="http://schemas.microsoft.com/office/drawing/2014/main" id="{BF0016AF-F6FD-B601-4111-69992F913D64}"/>
            </a:ext>
          </a:extLst>
        </xdr:cNvPr>
        <xdr:cNvSpPr/>
      </xdr:nvSpPr>
      <xdr:spPr>
        <a:xfrm>
          <a:off x="13520521600" y="676275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169975</xdr:colOff>
      <xdr:row>13</xdr:row>
      <xdr:rowOff>48107</xdr:rowOff>
    </xdr:from>
    <xdr:to>
      <xdr:col>1</xdr:col>
      <xdr:colOff>362399</xdr:colOff>
      <xdr:row>14</xdr:row>
      <xdr:rowOff>51313</xdr:rowOff>
    </xdr:to>
    <xdr:sp macro="" textlink="">
      <xdr:nvSpPr>
        <xdr:cNvPr id="2" name="Down Arrow 1">
          <a:extLst>
            <a:ext uri="{FF2B5EF4-FFF2-40B4-BE49-F238E27FC236}">
              <a16:creationId xmlns:a16="http://schemas.microsoft.com/office/drawing/2014/main" id="{13C6FE98-8AEE-D684-932E-BDFA7E56C230}"/>
            </a:ext>
          </a:extLst>
        </xdr:cNvPr>
        <xdr:cNvSpPr/>
      </xdr:nvSpPr>
      <xdr:spPr>
        <a:xfrm>
          <a:off x="13502787525" y="2700354"/>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362399</xdr:colOff>
      <xdr:row>15</xdr:row>
      <xdr:rowOff>32070</xdr:rowOff>
    </xdr:from>
    <xdr:to>
      <xdr:col>5</xdr:col>
      <xdr:colOff>554823</xdr:colOff>
      <xdr:row>16</xdr:row>
      <xdr:rowOff>35277</xdr:rowOff>
    </xdr:to>
    <xdr:sp macro="" textlink="">
      <xdr:nvSpPr>
        <xdr:cNvPr id="3" name="Down Arrow 2">
          <a:extLst>
            <a:ext uri="{FF2B5EF4-FFF2-40B4-BE49-F238E27FC236}">
              <a16:creationId xmlns:a16="http://schemas.microsoft.com/office/drawing/2014/main" id="{A8B569DD-882E-1712-318F-03E249CA2B3C}"/>
            </a:ext>
          </a:extLst>
        </xdr:cNvPr>
        <xdr:cNvSpPr/>
      </xdr:nvSpPr>
      <xdr:spPr>
        <a:xfrm>
          <a:off x="13499298232" y="3101237"/>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586931</xdr:colOff>
      <xdr:row>54</xdr:row>
      <xdr:rowOff>50598</xdr:rowOff>
    </xdr:from>
    <xdr:to>
      <xdr:col>9</xdr:col>
      <xdr:colOff>586931</xdr:colOff>
      <xdr:row>56</xdr:row>
      <xdr:rowOff>55657</xdr:rowOff>
    </xdr:to>
    <xdr:cxnSp macro="">
      <xdr:nvCxnSpPr>
        <xdr:cNvPr id="5" name="Straight Arrow Connector 4">
          <a:extLst>
            <a:ext uri="{FF2B5EF4-FFF2-40B4-BE49-F238E27FC236}">
              <a16:creationId xmlns:a16="http://schemas.microsoft.com/office/drawing/2014/main" id="{DF805693-A62F-A253-372C-540DB6A61B1F}"/>
            </a:ext>
          </a:extLst>
        </xdr:cNvPr>
        <xdr:cNvCxnSpPr/>
      </xdr:nvCxnSpPr>
      <xdr:spPr>
        <a:xfrm flipV="1">
          <a:off x="13497124861" y="6167849"/>
          <a:ext cx="0" cy="409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753904</xdr:colOff>
      <xdr:row>52</xdr:row>
      <xdr:rowOff>86016</xdr:rowOff>
    </xdr:from>
    <xdr:to>
      <xdr:col>8</xdr:col>
      <xdr:colOff>758963</xdr:colOff>
      <xdr:row>56</xdr:row>
      <xdr:rowOff>80956</xdr:rowOff>
    </xdr:to>
    <xdr:cxnSp macro="">
      <xdr:nvCxnSpPr>
        <xdr:cNvPr id="6" name="Straight Arrow Connector 5">
          <a:extLst>
            <a:ext uri="{FF2B5EF4-FFF2-40B4-BE49-F238E27FC236}">
              <a16:creationId xmlns:a16="http://schemas.microsoft.com/office/drawing/2014/main" id="{24996DD7-D96B-D022-E5D4-31FFA29B7D2C}"/>
            </a:ext>
          </a:extLst>
        </xdr:cNvPr>
        <xdr:cNvCxnSpPr/>
      </xdr:nvCxnSpPr>
      <xdr:spPr>
        <a:xfrm flipV="1">
          <a:off x="13497777570" y="5798486"/>
          <a:ext cx="5059" cy="804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658395</xdr:colOff>
      <xdr:row>72</xdr:row>
      <xdr:rowOff>60157</xdr:rowOff>
    </xdr:from>
    <xdr:to>
      <xdr:col>1</xdr:col>
      <xdr:colOff>798763</xdr:colOff>
      <xdr:row>73</xdr:row>
      <xdr:rowOff>187158</xdr:rowOff>
    </xdr:to>
    <xdr:sp macro="" textlink="">
      <xdr:nvSpPr>
        <xdr:cNvPr id="8" name="Left Brace 7">
          <a:extLst>
            <a:ext uri="{FF2B5EF4-FFF2-40B4-BE49-F238E27FC236}">
              <a16:creationId xmlns:a16="http://schemas.microsoft.com/office/drawing/2014/main" id="{CA8E0DA9-D81A-D2F1-1232-2B778ABCD9CB}"/>
            </a:ext>
          </a:extLst>
        </xdr:cNvPr>
        <xdr:cNvSpPr/>
      </xdr:nvSpPr>
      <xdr:spPr>
        <a:xfrm>
          <a:off x="13523367737" y="14778789"/>
          <a:ext cx="140368" cy="3308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457868</xdr:colOff>
      <xdr:row>74</xdr:row>
      <xdr:rowOff>30079</xdr:rowOff>
    </xdr:from>
    <xdr:to>
      <xdr:col>1</xdr:col>
      <xdr:colOff>584868</xdr:colOff>
      <xdr:row>74</xdr:row>
      <xdr:rowOff>177132</xdr:rowOff>
    </xdr:to>
    <xdr:sp macro="" textlink="">
      <xdr:nvSpPr>
        <xdr:cNvPr id="9" name="Left Brace 8">
          <a:extLst>
            <a:ext uri="{FF2B5EF4-FFF2-40B4-BE49-F238E27FC236}">
              <a16:creationId xmlns:a16="http://schemas.microsoft.com/office/drawing/2014/main" id="{7288FDD0-B887-D8CE-EA60-2BD1B4AC4176}"/>
            </a:ext>
          </a:extLst>
        </xdr:cNvPr>
        <xdr:cNvSpPr/>
      </xdr:nvSpPr>
      <xdr:spPr>
        <a:xfrm>
          <a:off x="13523581632" y="15156447"/>
          <a:ext cx="127000" cy="1470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254000</xdr:colOff>
      <xdr:row>95</xdr:row>
      <xdr:rowOff>150927</xdr:rowOff>
    </xdr:from>
    <xdr:to>
      <xdr:col>3</xdr:col>
      <xdr:colOff>618435</xdr:colOff>
      <xdr:row>96</xdr:row>
      <xdr:rowOff>92029</xdr:rowOff>
    </xdr:to>
    <xdr:sp macro="" textlink="">
      <xdr:nvSpPr>
        <xdr:cNvPr id="10" name="Left Arrow 9">
          <a:extLst>
            <a:ext uri="{FF2B5EF4-FFF2-40B4-BE49-F238E27FC236}">
              <a16:creationId xmlns:a16="http://schemas.microsoft.com/office/drawing/2014/main" id="{9801E852-7C48-6047-1669-A66D46A0B214}"/>
            </a:ext>
          </a:extLst>
        </xdr:cNvPr>
        <xdr:cNvSpPr/>
      </xdr:nvSpPr>
      <xdr:spPr>
        <a:xfrm>
          <a:off x="13506821797" y="19429159"/>
          <a:ext cx="364435" cy="143566"/>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74170</xdr:colOff>
      <xdr:row>95</xdr:row>
      <xdr:rowOff>30873</xdr:rowOff>
    </xdr:from>
    <xdr:to>
      <xdr:col>7</xdr:col>
      <xdr:colOff>439722</xdr:colOff>
      <xdr:row>95</xdr:row>
      <xdr:rowOff>176434</xdr:rowOff>
    </xdr:to>
    <xdr:sp macro="" textlink="">
      <xdr:nvSpPr>
        <xdr:cNvPr id="11" name="Left Arrow 10">
          <a:extLst>
            <a:ext uri="{FF2B5EF4-FFF2-40B4-BE49-F238E27FC236}">
              <a16:creationId xmlns:a16="http://schemas.microsoft.com/office/drawing/2014/main" id="{66613C93-3A41-EF49-B621-D3BF20A7E756}"/>
            </a:ext>
          </a:extLst>
        </xdr:cNvPr>
        <xdr:cNvSpPr/>
      </xdr:nvSpPr>
      <xdr:spPr>
        <a:xfrm>
          <a:off x="13521993405" y="19489789"/>
          <a:ext cx="365552" cy="14556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7</xdr:col>
      <xdr:colOff>62089</xdr:colOff>
      <xdr:row>75</xdr:row>
      <xdr:rowOff>139034</xdr:rowOff>
    </xdr:from>
    <xdr:to>
      <xdr:col>7</xdr:col>
      <xdr:colOff>788811</xdr:colOff>
      <xdr:row>80</xdr:row>
      <xdr:rowOff>8465</xdr:rowOff>
    </xdr:to>
    <xdr:pic>
      <xdr:nvPicPr>
        <xdr:cNvPr id="13" name="Picture 12">
          <a:extLst>
            <a:ext uri="{FF2B5EF4-FFF2-40B4-BE49-F238E27FC236}">
              <a16:creationId xmlns:a16="http://schemas.microsoft.com/office/drawing/2014/main" id="{77CA1795-8294-A2AD-957A-349F3F388D33}"/>
            </a:ext>
          </a:extLst>
        </xdr:cNvPr>
        <xdr:cNvPicPr>
          <a:picLocks noChangeAspect="1"/>
        </xdr:cNvPicPr>
      </xdr:nvPicPr>
      <xdr:blipFill>
        <a:blip xmlns:r="http://schemas.openxmlformats.org/officeDocument/2006/relationships" r:embed="rId1"/>
        <a:stretch>
          <a:fillRect/>
        </a:stretch>
      </xdr:blipFill>
      <xdr:spPr>
        <a:xfrm>
          <a:off x="13495314923" y="15412901"/>
          <a:ext cx="726722" cy="885431"/>
        </a:xfrm>
        <a:prstGeom prst="rect">
          <a:avLst/>
        </a:prstGeom>
      </xdr:spPr>
    </xdr:pic>
    <xdr:clientData/>
  </xdr:twoCellAnchor>
  <xdr:twoCellAnchor>
    <xdr:from>
      <xdr:col>8</xdr:col>
      <xdr:colOff>50801</xdr:colOff>
      <xdr:row>72</xdr:row>
      <xdr:rowOff>146756</xdr:rowOff>
    </xdr:from>
    <xdr:to>
      <xdr:col>11</xdr:col>
      <xdr:colOff>214489</xdr:colOff>
      <xdr:row>79</xdr:row>
      <xdr:rowOff>95956</xdr:rowOff>
    </xdr:to>
    <xdr:sp macro="" textlink="">
      <xdr:nvSpPr>
        <xdr:cNvPr id="14" name="Rectangular Callout 13">
          <a:extLst>
            <a:ext uri="{FF2B5EF4-FFF2-40B4-BE49-F238E27FC236}">
              <a16:creationId xmlns:a16="http://schemas.microsoft.com/office/drawing/2014/main" id="{591DC55C-334C-2AB3-2797-8F423427EEC9}"/>
            </a:ext>
          </a:extLst>
        </xdr:cNvPr>
        <xdr:cNvSpPr/>
      </xdr:nvSpPr>
      <xdr:spPr>
        <a:xfrm>
          <a:off x="13492592889" y="14811023"/>
          <a:ext cx="2635955" cy="1371600"/>
        </a:xfrm>
        <a:prstGeom prst="wedgeRectCallout">
          <a:avLst>
            <a:gd name="adj1" fmla="val 56897"/>
            <a:gd name="adj2" fmla="val 38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בקיצור נמרץ:</a:t>
          </a:r>
        </a:p>
        <a:p>
          <a:pPr algn="r" rtl="1"/>
          <a:r>
            <a:rPr lang="he-IL" sz="1100"/>
            <a:t>הון עצמי לא בהכרח משקף רווח / נובע מרווח: כי הוא יכול לנבוע גם מהשקעת בעלים</a:t>
          </a:r>
        </a:p>
        <a:p>
          <a:pPr algn="r" rtl="1"/>
          <a:endParaRPr lang="he-IL" sz="1100"/>
        </a:p>
        <a:p>
          <a:pPr algn="r" rtl="1"/>
          <a:r>
            <a:rPr lang="he-IL" sz="1100"/>
            <a:t>הון עצמי לא משקף יתרות מזומן (החברה יכולה להחזיק במקום זה בנכסים אחרים שאינם מזומן)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161269</xdr:rowOff>
    </xdr:from>
    <xdr:to>
      <xdr:col>7</xdr:col>
      <xdr:colOff>725714</xdr:colOff>
      <xdr:row>67</xdr:row>
      <xdr:rowOff>211666</xdr:rowOff>
    </xdr:to>
    <xdr:sp macro="" textlink="">
      <xdr:nvSpPr>
        <xdr:cNvPr id="2" name="TextBox 1">
          <a:extLst>
            <a:ext uri="{FF2B5EF4-FFF2-40B4-BE49-F238E27FC236}">
              <a16:creationId xmlns:a16="http://schemas.microsoft.com/office/drawing/2014/main" id="{519EC77E-8BC8-7147-ABBE-388209885E32}"/>
            </a:ext>
          </a:extLst>
        </xdr:cNvPr>
        <xdr:cNvSpPr txBox="1"/>
      </xdr:nvSpPr>
      <xdr:spPr>
        <a:xfrm>
          <a:off x="13587817086" y="364469"/>
          <a:ext cx="6533847" cy="13461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editAs="oneCell">
    <xdr:from>
      <xdr:col>7</xdr:col>
      <xdr:colOff>792909</xdr:colOff>
      <xdr:row>2</xdr:row>
      <xdr:rowOff>13439</xdr:rowOff>
    </xdr:from>
    <xdr:to>
      <xdr:col>9</xdr:col>
      <xdr:colOff>587694</xdr:colOff>
      <xdr:row>12</xdr:row>
      <xdr:rowOff>54966</xdr:rowOff>
    </xdr:to>
    <xdr:pic>
      <xdr:nvPicPr>
        <xdr:cNvPr id="3" name="Picture 2">
          <a:extLst>
            <a:ext uri="{FF2B5EF4-FFF2-40B4-BE49-F238E27FC236}">
              <a16:creationId xmlns:a16="http://schemas.microsoft.com/office/drawing/2014/main" id="{B478DD85-F92F-5DB3-7953-1345EA747D21}"/>
            </a:ext>
          </a:extLst>
        </xdr:cNvPr>
        <xdr:cNvPicPr>
          <a:picLocks noChangeAspect="1"/>
        </xdr:cNvPicPr>
      </xdr:nvPicPr>
      <xdr:blipFill>
        <a:blip xmlns:r="http://schemas.openxmlformats.org/officeDocument/2006/relationships" r:embed="rId1"/>
        <a:stretch>
          <a:fillRect/>
        </a:stretch>
      </xdr:blipFill>
      <xdr:spPr>
        <a:xfrm>
          <a:off x="13533479767" y="416614"/>
          <a:ext cx="1447800" cy="2057400"/>
        </a:xfrm>
        <a:prstGeom prst="rect">
          <a:avLst/>
        </a:prstGeom>
      </xdr:spPr>
    </xdr:pic>
    <xdr:clientData/>
  </xdr:twoCellAnchor>
  <xdr:twoCellAnchor editAs="oneCell">
    <xdr:from>
      <xdr:col>10</xdr:col>
      <xdr:colOff>1</xdr:colOff>
      <xdr:row>2</xdr:row>
      <xdr:rowOff>0</xdr:rowOff>
    </xdr:from>
    <xdr:to>
      <xdr:col>12</xdr:col>
      <xdr:colOff>376298</xdr:colOff>
      <xdr:row>12</xdr:row>
      <xdr:rowOff>71185</xdr:rowOff>
    </xdr:to>
    <xdr:pic>
      <xdr:nvPicPr>
        <xdr:cNvPr id="4" name="Picture 3">
          <a:extLst>
            <a:ext uri="{FF2B5EF4-FFF2-40B4-BE49-F238E27FC236}">
              <a16:creationId xmlns:a16="http://schemas.microsoft.com/office/drawing/2014/main" id="{E3DFE04C-AC46-30D7-E11B-A5C953549833}"/>
            </a:ext>
          </a:extLst>
        </xdr:cNvPr>
        <xdr:cNvPicPr>
          <a:picLocks noChangeAspect="1"/>
        </xdr:cNvPicPr>
      </xdr:nvPicPr>
      <xdr:blipFill>
        <a:blip xmlns:r="http://schemas.openxmlformats.org/officeDocument/2006/relationships" r:embed="rId2"/>
        <a:stretch>
          <a:fillRect/>
        </a:stretch>
      </xdr:blipFill>
      <xdr:spPr>
        <a:xfrm>
          <a:off x="13531211639" y="403175"/>
          <a:ext cx="2029313" cy="2087058"/>
        </a:xfrm>
        <a:prstGeom prst="rect">
          <a:avLst/>
        </a:prstGeom>
      </xdr:spPr>
    </xdr:pic>
    <xdr:clientData/>
  </xdr:twoCellAnchor>
  <xdr:twoCellAnchor>
    <xdr:from>
      <xdr:col>7</xdr:col>
      <xdr:colOff>140195</xdr:colOff>
      <xdr:row>96</xdr:row>
      <xdr:rowOff>16493</xdr:rowOff>
    </xdr:from>
    <xdr:to>
      <xdr:col>7</xdr:col>
      <xdr:colOff>144318</xdr:colOff>
      <xdr:row>99</xdr:row>
      <xdr:rowOff>156689</xdr:rowOff>
    </xdr:to>
    <xdr:cxnSp macro="">
      <xdr:nvCxnSpPr>
        <xdr:cNvPr id="9" name="Straight Connector 8">
          <a:extLst>
            <a:ext uri="{FF2B5EF4-FFF2-40B4-BE49-F238E27FC236}">
              <a16:creationId xmlns:a16="http://schemas.microsoft.com/office/drawing/2014/main" id="{187DBC20-045D-094A-4883-50595D502914}"/>
            </a:ext>
          </a:extLst>
        </xdr:cNvPr>
        <xdr:cNvCxnSpPr/>
      </xdr:nvCxnSpPr>
      <xdr:spPr>
        <a:xfrm>
          <a:off x="13505563474" y="19437597"/>
          <a:ext cx="4123" cy="7463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99</xdr:row>
      <xdr:rowOff>144318</xdr:rowOff>
    </xdr:from>
    <xdr:to>
      <xdr:col>10</xdr:col>
      <xdr:colOff>8248</xdr:colOff>
      <xdr:row>99</xdr:row>
      <xdr:rowOff>152565</xdr:rowOff>
    </xdr:to>
    <xdr:cxnSp macro="">
      <xdr:nvCxnSpPr>
        <xdr:cNvPr id="10" name="Straight Connector 9">
          <a:extLst>
            <a:ext uri="{FF2B5EF4-FFF2-40B4-BE49-F238E27FC236}">
              <a16:creationId xmlns:a16="http://schemas.microsoft.com/office/drawing/2014/main" id="{671248FD-2844-AF78-FA10-CAA816874E93}"/>
            </a:ext>
          </a:extLst>
        </xdr:cNvPr>
        <xdr:cNvCxnSpPr/>
      </xdr:nvCxnSpPr>
      <xdr:spPr>
        <a:xfrm flipH="1" flipV="1">
          <a:off x="13503225518" y="20171558"/>
          <a:ext cx="2342078"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96</xdr:row>
      <xdr:rowOff>12370</xdr:rowOff>
    </xdr:from>
    <xdr:to>
      <xdr:col>10</xdr:col>
      <xdr:colOff>8246</xdr:colOff>
      <xdr:row>99</xdr:row>
      <xdr:rowOff>152566</xdr:rowOff>
    </xdr:to>
    <xdr:cxnSp macro="">
      <xdr:nvCxnSpPr>
        <xdr:cNvPr id="13" name="Straight Connector 12">
          <a:extLst>
            <a:ext uri="{FF2B5EF4-FFF2-40B4-BE49-F238E27FC236}">
              <a16:creationId xmlns:a16="http://schemas.microsoft.com/office/drawing/2014/main" id="{8E8F6625-374F-C2CB-A090-09D4F9053D3B}"/>
            </a:ext>
          </a:extLst>
        </xdr:cNvPr>
        <xdr:cNvCxnSpPr/>
      </xdr:nvCxnSpPr>
      <xdr:spPr>
        <a:xfrm>
          <a:off x="13503225520" y="19433474"/>
          <a:ext cx="4123" cy="746332"/>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97</xdr:row>
      <xdr:rowOff>0</xdr:rowOff>
    </xdr:from>
    <xdr:to>
      <xdr:col>7</xdr:col>
      <xdr:colOff>771071</xdr:colOff>
      <xdr:row>98</xdr:row>
      <xdr:rowOff>27215</xdr:rowOff>
    </xdr:to>
    <xdr:sp macro="" textlink="">
      <xdr:nvSpPr>
        <xdr:cNvPr id="14" name="Rounded Rectangle 13">
          <a:extLst>
            <a:ext uri="{FF2B5EF4-FFF2-40B4-BE49-F238E27FC236}">
              <a16:creationId xmlns:a16="http://schemas.microsoft.com/office/drawing/2014/main" id="{CF431639-A3CC-3A08-E835-C14620D5D191}"/>
            </a:ext>
          </a:extLst>
        </xdr:cNvPr>
        <xdr:cNvSpPr/>
      </xdr:nvSpPr>
      <xdr:spPr>
        <a:xfrm>
          <a:off x="13518442429" y="19825607"/>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92</xdr:row>
      <xdr:rowOff>199573</xdr:rowOff>
    </xdr:from>
    <xdr:to>
      <xdr:col>9</xdr:col>
      <xdr:colOff>789213</xdr:colOff>
      <xdr:row>94</xdr:row>
      <xdr:rowOff>22680</xdr:rowOff>
    </xdr:to>
    <xdr:sp macro="" textlink="">
      <xdr:nvSpPr>
        <xdr:cNvPr id="15" name="Rounded Rectangle 14">
          <a:extLst>
            <a:ext uri="{FF2B5EF4-FFF2-40B4-BE49-F238E27FC236}">
              <a16:creationId xmlns:a16="http://schemas.microsoft.com/office/drawing/2014/main" id="{05924D20-0A7F-8276-0C1C-769387EC633B}"/>
            </a:ext>
          </a:extLst>
        </xdr:cNvPr>
        <xdr:cNvSpPr/>
      </xdr:nvSpPr>
      <xdr:spPr>
        <a:xfrm>
          <a:off x="13516773287" y="19004644"/>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80</xdr:row>
      <xdr:rowOff>104321</xdr:rowOff>
    </xdr:from>
    <xdr:to>
      <xdr:col>11</xdr:col>
      <xdr:colOff>421821</xdr:colOff>
      <xdr:row>84</xdr:row>
      <xdr:rowOff>45357</xdr:rowOff>
    </xdr:to>
    <xdr:cxnSp macro="">
      <xdr:nvCxnSpPr>
        <xdr:cNvPr id="17" name="Straight Arrow Connector 16">
          <a:extLst>
            <a:ext uri="{FF2B5EF4-FFF2-40B4-BE49-F238E27FC236}">
              <a16:creationId xmlns:a16="http://schemas.microsoft.com/office/drawing/2014/main" id="{409647D4-BBF4-3C53-6F28-5DA7C6802F74}"/>
            </a:ext>
          </a:extLst>
        </xdr:cNvPr>
        <xdr:cNvCxnSpPr/>
      </xdr:nvCxnSpPr>
      <xdr:spPr>
        <a:xfrm flipH="1">
          <a:off x="13515489679" y="16460107"/>
          <a:ext cx="526142" cy="7574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84</xdr:row>
      <xdr:rowOff>81643</xdr:rowOff>
    </xdr:from>
    <xdr:to>
      <xdr:col>11</xdr:col>
      <xdr:colOff>426357</xdr:colOff>
      <xdr:row>86</xdr:row>
      <xdr:rowOff>86178</xdr:rowOff>
    </xdr:to>
    <xdr:cxnSp macro="">
      <xdr:nvCxnSpPr>
        <xdr:cNvPr id="18" name="Straight Arrow Connector 17">
          <a:extLst>
            <a:ext uri="{FF2B5EF4-FFF2-40B4-BE49-F238E27FC236}">
              <a16:creationId xmlns:a16="http://schemas.microsoft.com/office/drawing/2014/main" id="{4D34F0D5-479D-48FF-53A1-E90C18D003B3}"/>
            </a:ext>
          </a:extLst>
        </xdr:cNvPr>
        <xdr:cNvCxnSpPr/>
      </xdr:nvCxnSpPr>
      <xdr:spPr>
        <a:xfrm flipH="1" flipV="1">
          <a:off x="13515485143" y="17253857"/>
          <a:ext cx="517071" cy="412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91</xdr:row>
      <xdr:rowOff>154215</xdr:rowOff>
    </xdr:from>
    <xdr:to>
      <xdr:col>9</xdr:col>
      <xdr:colOff>793748</xdr:colOff>
      <xdr:row>92</xdr:row>
      <xdr:rowOff>181430</xdr:rowOff>
    </xdr:to>
    <xdr:sp macro="" textlink="">
      <xdr:nvSpPr>
        <xdr:cNvPr id="21" name="Rounded Rectangle 20">
          <a:extLst>
            <a:ext uri="{FF2B5EF4-FFF2-40B4-BE49-F238E27FC236}">
              <a16:creationId xmlns:a16="http://schemas.microsoft.com/office/drawing/2014/main" id="{C6FE878D-DCF0-2764-E447-DE5FEC1A14E9}"/>
            </a:ext>
          </a:extLst>
        </xdr:cNvPr>
        <xdr:cNvSpPr/>
      </xdr:nvSpPr>
      <xdr:spPr>
        <a:xfrm>
          <a:off x="13516768752" y="18755179"/>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10</xdr:col>
      <xdr:colOff>9586</xdr:colOff>
      <xdr:row>12</xdr:row>
      <xdr:rowOff>100641</xdr:rowOff>
    </xdr:from>
    <xdr:to>
      <xdr:col>12</xdr:col>
      <xdr:colOff>398707</xdr:colOff>
      <xdr:row>22</xdr:row>
      <xdr:rowOff>164129</xdr:rowOff>
    </xdr:to>
    <xdr:pic>
      <xdr:nvPicPr>
        <xdr:cNvPr id="23" name="Picture 22">
          <a:extLst>
            <a:ext uri="{FF2B5EF4-FFF2-40B4-BE49-F238E27FC236}">
              <a16:creationId xmlns:a16="http://schemas.microsoft.com/office/drawing/2014/main" id="{EBC5EB53-2945-5A81-D764-47454D7A4C77}"/>
            </a:ext>
          </a:extLst>
        </xdr:cNvPr>
        <xdr:cNvPicPr>
          <a:picLocks noChangeAspect="1"/>
        </xdr:cNvPicPr>
      </xdr:nvPicPr>
      <xdr:blipFill>
        <a:blip xmlns:r="http://schemas.openxmlformats.org/officeDocument/2006/relationships" r:embed="rId3"/>
        <a:stretch>
          <a:fillRect/>
        </a:stretch>
      </xdr:blipFill>
      <xdr:spPr>
        <a:xfrm>
          <a:off x="13495071783" y="2516037"/>
          <a:ext cx="2037725" cy="2076318"/>
        </a:xfrm>
        <a:prstGeom prst="rect">
          <a:avLst/>
        </a:prstGeom>
      </xdr:spPr>
    </xdr:pic>
    <xdr:clientData/>
  </xdr:twoCellAnchor>
  <xdr:twoCellAnchor>
    <xdr:from>
      <xdr:col>18</xdr:col>
      <xdr:colOff>536754</xdr:colOff>
      <xdr:row>77</xdr:row>
      <xdr:rowOff>110227</xdr:rowOff>
    </xdr:from>
    <xdr:to>
      <xdr:col>21</xdr:col>
      <xdr:colOff>402565</xdr:colOff>
      <xdr:row>77</xdr:row>
      <xdr:rowOff>124604</xdr:rowOff>
    </xdr:to>
    <xdr:cxnSp macro="">
      <xdr:nvCxnSpPr>
        <xdr:cNvPr id="25" name="Straight Connector 24">
          <a:extLst>
            <a:ext uri="{FF2B5EF4-FFF2-40B4-BE49-F238E27FC236}">
              <a16:creationId xmlns:a16="http://schemas.microsoft.com/office/drawing/2014/main" id="{11917CAD-B0C5-1082-7B3E-16E650FA4A87}"/>
            </a:ext>
          </a:extLst>
        </xdr:cNvPr>
        <xdr:cNvCxnSpPr/>
      </xdr:nvCxnSpPr>
      <xdr:spPr>
        <a:xfrm flipH="1" flipV="1">
          <a:off x="13487649208" y="15637774"/>
          <a:ext cx="2338717"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92</xdr:row>
      <xdr:rowOff>113862</xdr:rowOff>
    </xdr:from>
    <xdr:to>
      <xdr:col>11</xdr:col>
      <xdr:colOff>556172</xdr:colOff>
      <xdr:row>92</xdr:row>
      <xdr:rowOff>113862</xdr:rowOff>
    </xdr:to>
    <xdr:cxnSp macro="">
      <xdr:nvCxnSpPr>
        <xdr:cNvPr id="27" name="Straight Connector 26">
          <a:extLst>
            <a:ext uri="{FF2B5EF4-FFF2-40B4-BE49-F238E27FC236}">
              <a16:creationId xmlns:a16="http://schemas.microsoft.com/office/drawing/2014/main" id="{AEF82A0B-8C2B-12F5-134A-0AD9B33BF9E1}"/>
            </a:ext>
          </a:extLst>
        </xdr:cNvPr>
        <xdr:cNvCxnSpPr/>
      </xdr:nvCxnSpPr>
      <xdr:spPr>
        <a:xfrm flipH="1">
          <a:off x="13551206552" y="18673379"/>
          <a:ext cx="5561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92</xdr:row>
      <xdr:rowOff>118241</xdr:rowOff>
    </xdr:from>
    <xdr:to>
      <xdr:col>11</xdr:col>
      <xdr:colOff>578069</xdr:colOff>
      <xdr:row>96</xdr:row>
      <xdr:rowOff>52552</xdr:rowOff>
    </xdr:to>
    <xdr:cxnSp macro="">
      <xdr:nvCxnSpPr>
        <xdr:cNvPr id="30" name="Straight Connector 29">
          <a:extLst>
            <a:ext uri="{FF2B5EF4-FFF2-40B4-BE49-F238E27FC236}">
              <a16:creationId xmlns:a16="http://schemas.microsoft.com/office/drawing/2014/main" id="{7AB6BBF7-ECF2-DDDA-3264-E7A547218693}"/>
            </a:ext>
          </a:extLst>
        </xdr:cNvPr>
        <xdr:cNvCxnSpPr/>
      </xdr:nvCxnSpPr>
      <xdr:spPr>
        <a:xfrm flipH="1">
          <a:off x="13551184655" y="18677758"/>
          <a:ext cx="21896" cy="74010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96</xdr:row>
      <xdr:rowOff>30656</xdr:rowOff>
    </xdr:from>
    <xdr:to>
      <xdr:col>16</xdr:col>
      <xdr:colOff>319690</xdr:colOff>
      <xdr:row>96</xdr:row>
      <xdr:rowOff>52552</xdr:rowOff>
    </xdr:to>
    <xdr:cxnSp macro="">
      <xdr:nvCxnSpPr>
        <xdr:cNvPr id="33" name="Straight Connector 32">
          <a:extLst>
            <a:ext uri="{FF2B5EF4-FFF2-40B4-BE49-F238E27FC236}">
              <a16:creationId xmlns:a16="http://schemas.microsoft.com/office/drawing/2014/main" id="{4A63F610-AF3E-2A83-B049-20901F86FEA9}"/>
            </a:ext>
          </a:extLst>
        </xdr:cNvPr>
        <xdr:cNvCxnSpPr/>
      </xdr:nvCxnSpPr>
      <xdr:spPr>
        <a:xfrm flipH="1" flipV="1">
          <a:off x="13547304586" y="19395966"/>
          <a:ext cx="3884449"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95</xdr:row>
      <xdr:rowOff>43793</xdr:rowOff>
    </xdr:from>
    <xdr:to>
      <xdr:col>16</xdr:col>
      <xdr:colOff>328448</xdr:colOff>
      <xdr:row>96</xdr:row>
      <xdr:rowOff>39414</xdr:rowOff>
    </xdr:to>
    <xdr:cxnSp macro="">
      <xdr:nvCxnSpPr>
        <xdr:cNvPr id="35" name="Straight Connector 34">
          <a:extLst>
            <a:ext uri="{FF2B5EF4-FFF2-40B4-BE49-F238E27FC236}">
              <a16:creationId xmlns:a16="http://schemas.microsoft.com/office/drawing/2014/main" id="{CFB46C35-84BB-8EDE-647A-2E8E54C2D4D3}"/>
            </a:ext>
          </a:extLst>
        </xdr:cNvPr>
        <xdr:cNvCxnSpPr/>
      </xdr:nvCxnSpPr>
      <xdr:spPr>
        <a:xfrm flipH="1">
          <a:off x="13547295828" y="19207655"/>
          <a:ext cx="4379" cy="197069"/>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88</xdr:row>
      <xdr:rowOff>175172</xdr:rowOff>
    </xdr:from>
    <xdr:to>
      <xdr:col>16</xdr:col>
      <xdr:colOff>424793</xdr:colOff>
      <xdr:row>89</xdr:row>
      <xdr:rowOff>188311</xdr:rowOff>
    </xdr:to>
    <xdr:cxnSp macro="">
      <xdr:nvCxnSpPr>
        <xdr:cNvPr id="37" name="Straight Connector 36">
          <a:extLst>
            <a:ext uri="{FF2B5EF4-FFF2-40B4-BE49-F238E27FC236}">
              <a16:creationId xmlns:a16="http://schemas.microsoft.com/office/drawing/2014/main" id="{2EF7C384-9562-73F8-831D-0AC697C7D081}"/>
            </a:ext>
          </a:extLst>
        </xdr:cNvPr>
        <xdr:cNvCxnSpPr/>
      </xdr:nvCxnSpPr>
      <xdr:spPr>
        <a:xfrm>
          <a:off x="13547199483" y="17928896"/>
          <a:ext cx="0" cy="2145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89</xdr:row>
      <xdr:rowOff>179552</xdr:rowOff>
    </xdr:from>
    <xdr:to>
      <xdr:col>18</xdr:col>
      <xdr:colOff>302172</xdr:colOff>
      <xdr:row>89</xdr:row>
      <xdr:rowOff>188311</xdr:rowOff>
    </xdr:to>
    <xdr:cxnSp macro="">
      <xdr:nvCxnSpPr>
        <xdr:cNvPr id="39" name="Straight Connector 38">
          <a:extLst>
            <a:ext uri="{FF2B5EF4-FFF2-40B4-BE49-F238E27FC236}">
              <a16:creationId xmlns:a16="http://schemas.microsoft.com/office/drawing/2014/main" id="{DB7302A5-4204-E0ED-02A8-8673FD961CFD}"/>
            </a:ext>
          </a:extLst>
        </xdr:cNvPr>
        <xdr:cNvCxnSpPr/>
      </xdr:nvCxnSpPr>
      <xdr:spPr>
        <a:xfrm flipH="1">
          <a:off x="13545666724" y="18134724"/>
          <a:ext cx="153713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89</xdr:row>
      <xdr:rowOff>183931</xdr:rowOff>
    </xdr:from>
    <xdr:to>
      <xdr:col>18</xdr:col>
      <xdr:colOff>302172</xdr:colOff>
      <xdr:row>92</xdr:row>
      <xdr:rowOff>91966</xdr:rowOff>
    </xdr:to>
    <xdr:cxnSp macro="">
      <xdr:nvCxnSpPr>
        <xdr:cNvPr id="41" name="Straight Connector 40">
          <a:extLst>
            <a:ext uri="{FF2B5EF4-FFF2-40B4-BE49-F238E27FC236}">
              <a16:creationId xmlns:a16="http://schemas.microsoft.com/office/drawing/2014/main" id="{4BDD049F-EA66-6B3B-604E-02A2C3A85A87}"/>
            </a:ext>
          </a:extLst>
        </xdr:cNvPr>
        <xdr:cNvCxnSpPr/>
      </xdr:nvCxnSpPr>
      <xdr:spPr>
        <a:xfrm flipH="1">
          <a:off x="13545666724" y="18139103"/>
          <a:ext cx="4380" cy="5123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92</xdr:row>
      <xdr:rowOff>87586</xdr:rowOff>
    </xdr:from>
    <xdr:to>
      <xdr:col>18</xdr:col>
      <xdr:colOff>302172</xdr:colOff>
      <xdr:row>92</xdr:row>
      <xdr:rowOff>87586</xdr:rowOff>
    </xdr:to>
    <xdr:cxnSp macro="">
      <xdr:nvCxnSpPr>
        <xdr:cNvPr id="44" name="Straight Connector 43">
          <a:extLst>
            <a:ext uri="{FF2B5EF4-FFF2-40B4-BE49-F238E27FC236}">
              <a16:creationId xmlns:a16="http://schemas.microsoft.com/office/drawing/2014/main" id="{FFB1636B-9FCE-EF37-1471-21D090A592F9}"/>
            </a:ext>
          </a:extLst>
        </xdr:cNvPr>
        <xdr:cNvCxnSpPr/>
      </xdr:nvCxnSpPr>
      <xdr:spPr>
        <a:xfrm flipH="1">
          <a:off x="13545666724" y="18647103"/>
          <a:ext cx="89775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90</xdr:row>
      <xdr:rowOff>189249</xdr:rowOff>
    </xdr:from>
    <xdr:to>
      <xdr:col>15</xdr:col>
      <xdr:colOff>820024</xdr:colOff>
      <xdr:row>92</xdr:row>
      <xdr:rowOff>15016</xdr:rowOff>
    </xdr:to>
    <xdr:sp macro="" textlink="">
      <xdr:nvSpPr>
        <xdr:cNvPr id="47" name="Rounded Rectangle 46">
          <a:extLst>
            <a:ext uri="{FF2B5EF4-FFF2-40B4-BE49-F238E27FC236}">
              <a16:creationId xmlns:a16="http://schemas.microsoft.com/office/drawing/2014/main" id="{56CC044B-12C4-8BF4-B052-F329D159F27B}"/>
            </a:ext>
          </a:extLst>
        </xdr:cNvPr>
        <xdr:cNvSpPr/>
      </xdr:nvSpPr>
      <xdr:spPr>
        <a:xfrm>
          <a:off x="13547631941" y="18345870"/>
          <a:ext cx="249464" cy="2286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161271</xdr:rowOff>
    </xdr:from>
    <xdr:to>
      <xdr:col>7</xdr:col>
      <xdr:colOff>725714</xdr:colOff>
      <xdr:row>7</xdr:row>
      <xdr:rowOff>186267</xdr:rowOff>
    </xdr:to>
    <xdr:sp macro="" textlink="">
      <xdr:nvSpPr>
        <xdr:cNvPr id="2" name="TextBox 1">
          <a:extLst>
            <a:ext uri="{FF2B5EF4-FFF2-40B4-BE49-F238E27FC236}">
              <a16:creationId xmlns:a16="http://schemas.microsoft.com/office/drawing/2014/main" id="{F0528B24-78A7-EF40-8C9F-F12B1AD85CD9}"/>
            </a:ext>
          </a:extLst>
        </xdr:cNvPr>
        <xdr:cNvSpPr txBox="1"/>
      </xdr:nvSpPr>
      <xdr:spPr>
        <a:xfrm>
          <a:off x="13587817086" y="364471"/>
          <a:ext cx="6533847" cy="1244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היום נמשיך לפתור תרגיל מסה!</a:t>
          </a:r>
        </a:p>
        <a:p>
          <a:pPr rtl="1"/>
          <a:endParaRPr lang="he-IL" sz="1100" b="1">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במפגש הקודם הראינו כיצד ניתן להשען על ערכים של נכסים, התחייבויות והון - כדי</a:t>
          </a:r>
          <a:r>
            <a:rPr lang="he-IL" sz="1100" b="1" baseline="0">
              <a:solidFill>
                <a:schemeClr val="dk1"/>
              </a:solidFill>
              <a:effectLst/>
              <a:latin typeface="David" panose="020E0502060401010101" pitchFamily="34" charset="-79"/>
              <a:ea typeface="+mn-ea"/>
              <a:cs typeface="David" panose="020E0502060401010101" pitchFamily="34" charset="-79"/>
            </a:rPr>
            <a:t> לחלץ ערכים ולערוך את הבסיס לדיווח.</a:t>
          </a:r>
        </a:p>
        <a:p>
          <a:pPr rtl="1"/>
          <a:r>
            <a:rPr lang="he-IL" sz="1100" b="1" baseline="0">
              <a:solidFill>
                <a:schemeClr val="dk1"/>
              </a:solidFill>
              <a:effectLst/>
              <a:latin typeface="David" panose="020E0502060401010101" pitchFamily="34" charset="-79"/>
              <a:ea typeface="+mn-ea"/>
              <a:cs typeface="David" panose="020E0502060401010101" pitchFamily="34" charset="-79"/>
            </a:rPr>
            <a:t>היום נתמקד בשאלות הבנה המתבססות על שינוים אפשריים בדיווחים השונים.</a:t>
          </a:r>
        </a:p>
        <a:p>
          <a:pPr rtl="1"/>
          <a:r>
            <a:rPr lang="he-IL" sz="1100" b="1" baseline="0">
              <a:solidFill>
                <a:schemeClr val="dk1"/>
              </a:solidFill>
              <a:effectLst/>
              <a:latin typeface="David" panose="020E0502060401010101" pitchFamily="34" charset="-79"/>
              <a:ea typeface="+mn-ea"/>
              <a:cs typeface="David" panose="020E0502060401010101" pitchFamily="34" charset="-79"/>
            </a:rPr>
            <a:t>שאלות אלו תהיינה תיאורטיות, ותתבססנה על שינויים והשפעותיהם על רכיבי הדיווח והסקת מסקנות רלוונטיות. </a:t>
          </a:r>
          <a:endParaRPr lang="en-US" sz="1100">
            <a:latin typeface="David" panose="020E0502060401010101" pitchFamily="34" charset="-79"/>
            <a:cs typeface="David" panose="020E0502060401010101" pitchFamily="34" charset="-79"/>
          </a:endParaRPr>
        </a:p>
      </xdr:txBody>
    </xdr:sp>
    <xdr:clientData/>
  </xdr:twoCellAnchor>
  <xdr:twoCellAnchor>
    <xdr:from>
      <xdr:col>7</xdr:col>
      <xdr:colOff>140195</xdr:colOff>
      <xdr:row>106</xdr:row>
      <xdr:rowOff>16493</xdr:rowOff>
    </xdr:from>
    <xdr:to>
      <xdr:col>7</xdr:col>
      <xdr:colOff>144318</xdr:colOff>
      <xdr:row>109</xdr:row>
      <xdr:rowOff>156689</xdr:rowOff>
    </xdr:to>
    <xdr:cxnSp macro="">
      <xdr:nvCxnSpPr>
        <xdr:cNvPr id="5" name="Straight Connector 4">
          <a:extLst>
            <a:ext uri="{FF2B5EF4-FFF2-40B4-BE49-F238E27FC236}">
              <a16:creationId xmlns:a16="http://schemas.microsoft.com/office/drawing/2014/main" id="{EB3BE8C8-450A-8D48-9890-DCFC11F592D1}"/>
            </a:ext>
          </a:extLst>
        </xdr:cNvPr>
        <xdr:cNvCxnSpPr/>
      </xdr:nvCxnSpPr>
      <xdr:spPr>
        <a:xfrm>
          <a:off x="13519069182" y="19549093"/>
          <a:ext cx="4123" cy="7497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109</xdr:row>
      <xdr:rowOff>144318</xdr:rowOff>
    </xdr:from>
    <xdr:to>
      <xdr:col>10</xdr:col>
      <xdr:colOff>8248</xdr:colOff>
      <xdr:row>109</xdr:row>
      <xdr:rowOff>152565</xdr:rowOff>
    </xdr:to>
    <xdr:cxnSp macro="">
      <xdr:nvCxnSpPr>
        <xdr:cNvPr id="6" name="Straight Connector 5">
          <a:extLst>
            <a:ext uri="{FF2B5EF4-FFF2-40B4-BE49-F238E27FC236}">
              <a16:creationId xmlns:a16="http://schemas.microsoft.com/office/drawing/2014/main" id="{19EB7105-0A7A-1D43-8A57-64D004F5D35C}"/>
            </a:ext>
          </a:extLst>
        </xdr:cNvPr>
        <xdr:cNvCxnSpPr/>
      </xdr:nvCxnSpPr>
      <xdr:spPr>
        <a:xfrm flipH="1" flipV="1">
          <a:off x="13516728752" y="20286518"/>
          <a:ext cx="2344552"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106</xdr:row>
      <xdr:rowOff>12370</xdr:rowOff>
    </xdr:from>
    <xdr:to>
      <xdr:col>10</xdr:col>
      <xdr:colOff>8246</xdr:colOff>
      <xdr:row>109</xdr:row>
      <xdr:rowOff>152566</xdr:rowOff>
    </xdr:to>
    <xdr:cxnSp macro="">
      <xdr:nvCxnSpPr>
        <xdr:cNvPr id="7" name="Straight Connector 6">
          <a:extLst>
            <a:ext uri="{FF2B5EF4-FFF2-40B4-BE49-F238E27FC236}">
              <a16:creationId xmlns:a16="http://schemas.microsoft.com/office/drawing/2014/main" id="{E057A7DE-7044-E74C-B878-76DDCFAF2739}"/>
            </a:ext>
          </a:extLst>
        </xdr:cNvPr>
        <xdr:cNvCxnSpPr/>
      </xdr:nvCxnSpPr>
      <xdr:spPr>
        <a:xfrm>
          <a:off x="13516728754" y="19544970"/>
          <a:ext cx="4123" cy="749796"/>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107</xdr:row>
      <xdr:rowOff>0</xdr:rowOff>
    </xdr:from>
    <xdr:to>
      <xdr:col>7</xdr:col>
      <xdr:colOff>771071</xdr:colOff>
      <xdr:row>108</xdr:row>
      <xdr:rowOff>27215</xdr:rowOff>
    </xdr:to>
    <xdr:sp macro="" textlink="">
      <xdr:nvSpPr>
        <xdr:cNvPr id="8" name="Rounded Rectangle 7">
          <a:extLst>
            <a:ext uri="{FF2B5EF4-FFF2-40B4-BE49-F238E27FC236}">
              <a16:creationId xmlns:a16="http://schemas.microsoft.com/office/drawing/2014/main" id="{B7E56C57-D856-3040-9826-C007FCEEB1AF}"/>
            </a:ext>
          </a:extLst>
        </xdr:cNvPr>
        <xdr:cNvSpPr/>
      </xdr:nvSpPr>
      <xdr:spPr>
        <a:xfrm>
          <a:off x="13518442429" y="19735800"/>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102</xdr:row>
      <xdr:rowOff>199573</xdr:rowOff>
    </xdr:from>
    <xdr:to>
      <xdr:col>9</xdr:col>
      <xdr:colOff>789213</xdr:colOff>
      <xdr:row>104</xdr:row>
      <xdr:rowOff>22680</xdr:rowOff>
    </xdr:to>
    <xdr:sp macro="" textlink="">
      <xdr:nvSpPr>
        <xdr:cNvPr id="9" name="Rounded Rectangle 8">
          <a:extLst>
            <a:ext uri="{FF2B5EF4-FFF2-40B4-BE49-F238E27FC236}">
              <a16:creationId xmlns:a16="http://schemas.microsoft.com/office/drawing/2014/main" id="{9AB5B55E-0429-CE44-8881-974EBCD047B5}"/>
            </a:ext>
          </a:extLst>
        </xdr:cNvPr>
        <xdr:cNvSpPr/>
      </xdr:nvSpPr>
      <xdr:spPr>
        <a:xfrm>
          <a:off x="13516773287" y="18919373"/>
          <a:ext cx="249464" cy="229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90</xdr:row>
      <xdr:rowOff>104321</xdr:rowOff>
    </xdr:from>
    <xdr:to>
      <xdr:col>11</xdr:col>
      <xdr:colOff>421821</xdr:colOff>
      <xdr:row>94</xdr:row>
      <xdr:rowOff>45357</xdr:rowOff>
    </xdr:to>
    <xdr:cxnSp macro="">
      <xdr:nvCxnSpPr>
        <xdr:cNvPr id="10" name="Straight Arrow Connector 9">
          <a:extLst>
            <a:ext uri="{FF2B5EF4-FFF2-40B4-BE49-F238E27FC236}">
              <a16:creationId xmlns:a16="http://schemas.microsoft.com/office/drawing/2014/main" id="{286520C7-8578-FD4E-AA33-723604324099}"/>
            </a:ext>
          </a:extLst>
        </xdr:cNvPr>
        <xdr:cNvCxnSpPr/>
      </xdr:nvCxnSpPr>
      <xdr:spPr>
        <a:xfrm flipH="1">
          <a:off x="13515489679" y="16385721"/>
          <a:ext cx="526142" cy="7538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94</xdr:row>
      <xdr:rowOff>81643</xdr:rowOff>
    </xdr:from>
    <xdr:to>
      <xdr:col>11</xdr:col>
      <xdr:colOff>426357</xdr:colOff>
      <xdr:row>96</xdr:row>
      <xdr:rowOff>86178</xdr:rowOff>
    </xdr:to>
    <xdr:cxnSp macro="">
      <xdr:nvCxnSpPr>
        <xdr:cNvPr id="11" name="Straight Arrow Connector 10">
          <a:extLst>
            <a:ext uri="{FF2B5EF4-FFF2-40B4-BE49-F238E27FC236}">
              <a16:creationId xmlns:a16="http://schemas.microsoft.com/office/drawing/2014/main" id="{FC5025ED-21B9-A241-BEA0-1FD7F6F0B075}"/>
            </a:ext>
          </a:extLst>
        </xdr:cNvPr>
        <xdr:cNvCxnSpPr/>
      </xdr:nvCxnSpPr>
      <xdr:spPr>
        <a:xfrm flipH="1" flipV="1">
          <a:off x="13515485143" y="17175843"/>
          <a:ext cx="517071" cy="4109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101</xdr:row>
      <xdr:rowOff>154215</xdr:rowOff>
    </xdr:from>
    <xdr:to>
      <xdr:col>9</xdr:col>
      <xdr:colOff>793748</xdr:colOff>
      <xdr:row>102</xdr:row>
      <xdr:rowOff>181430</xdr:rowOff>
    </xdr:to>
    <xdr:sp macro="" textlink="">
      <xdr:nvSpPr>
        <xdr:cNvPr id="12" name="Rounded Rectangle 11">
          <a:extLst>
            <a:ext uri="{FF2B5EF4-FFF2-40B4-BE49-F238E27FC236}">
              <a16:creationId xmlns:a16="http://schemas.microsoft.com/office/drawing/2014/main" id="{B7EA3100-73FD-4B41-B5CF-49B88D39980E}"/>
            </a:ext>
          </a:extLst>
        </xdr:cNvPr>
        <xdr:cNvSpPr/>
      </xdr:nvSpPr>
      <xdr:spPr>
        <a:xfrm>
          <a:off x="13516768752" y="18670815"/>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18</xdr:col>
      <xdr:colOff>536754</xdr:colOff>
      <xdr:row>87</xdr:row>
      <xdr:rowOff>110227</xdr:rowOff>
    </xdr:from>
    <xdr:to>
      <xdr:col>21</xdr:col>
      <xdr:colOff>402565</xdr:colOff>
      <xdr:row>87</xdr:row>
      <xdr:rowOff>124604</xdr:rowOff>
    </xdr:to>
    <xdr:cxnSp macro="">
      <xdr:nvCxnSpPr>
        <xdr:cNvPr id="14" name="Straight Connector 13">
          <a:extLst>
            <a:ext uri="{FF2B5EF4-FFF2-40B4-BE49-F238E27FC236}">
              <a16:creationId xmlns:a16="http://schemas.microsoft.com/office/drawing/2014/main" id="{51CE5DF6-F110-0248-97A8-6397EE8ECA14}"/>
            </a:ext>
          </a:extLst>
        </xdr:cNvPr>
        <xdr:cNvCxnSpPr/>
      </xdr:nvCxnSpPr>
      <xdr:spPr>
        <a:xfrm flipH="1" flipV="1">
          <a:off x="13507253935" y="15782027"/>
          <a:ext cx="2342311"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102</xdr:row>
      <xdr:rowOff>113862</xdr:rowOff>
    </xdr:from>
    <xdr:to>
      <xdr:col>11</xdr:col>
      <xdr:colOff>556172</xdr:colOff>
      <xdr:row>102</xdr:row>
      <xdr:rowOff>113862</xdr:rowOff>
    </xdr:to>
    <xdr:cxnSp macro="">
      <xdr:nvCxnSpPr>
        <xdr:cNvPr id="15" name="Straight Connector 14">
          <a:extLst>
            <a:ext uri="{FF2B5EF4-FFF2-40B4-BE49-F238E27FC236}">
              <a16:creationId xmlns:a16="http://schemas.microsoft.com/office/drawing/2014/main" id="{5C6CB3F5-5A9D-BB48-86E9-8FD937F06B84}"/>
            </a:ext>
          </a:extLst>
        </xdr:cNvPr>
        <xdr:cNvCxnSpPr/>
      </xdr:nvCxnSpPr>
      <xdr:spPr>
        <a:xfrm flipH="1">
          <a:off x="13515355328" y="18833662"/>
          <a:ext cx="5539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102</xdr:row>
      <xdr:rowOff>118241</xdr:rowOff>
    </xdr:from>
    <xdr:to>
      <xdr:col>11</xdr:col>
      <xdr:colOff>578069</xdr:colOff>
      <xdr:row>106</xdr:row>
      <xdr:rowOff>52552</xdr:rowOff>
    </xdr:to>
    <xdr:cxnSp macro="">
      <xdr:nvCxnSpPr>
        <xdr:cNvPr id="16" name="Straight Connector 15">
          <a:extLst>
            <a:ext uri="{FF2B5EF4-FFF2-40B4-BE49-F238E27FC236}">
              <a16:creationId xmlns:a16="http://schemas.microsoft.com/office/drawing/2014/main" id="{2E4AD634-550E-B747-A16E-841E6180DF5B}"/>
            </a:ext>
          </a:extLst>
        </xdr:cNvPr>
        <xdr:cNvCxnSpPr/>
      </xdr:nvCxnSpPr>
      <xdr:spPr>
        <a:xfrm flipH="1">
          <a:off x="13515333431" y="18838041"/>
          <a:ext cx="21896" cy="74711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106</xdr:row>
      <xdr:rowOff>30656</xdr:rowOff>
    </xdr:from>
    <xdr:to>
      <xdr:col>16</xdr:col>
      <xdr:colOff>319690</xdr:colOff>
      <xdr:row>106</xdr:row>
      <xdr:rowOff>52552</xdr:rowOff>
    </xdr:to>
    <xdr:cxnSp macro="">
      <xdr:nvCxnSpPr>
        <xdr:cNvPr id="17" name="Straight Connector 16">
          <a:extLst>
            <a:ext uri="{FF2B5EF4-FFF2-40B4-BE49-F238E27FC236}">
              <a16:creationId xmlns:a16="http://schemas.microsoft.com/office/drawing/2014/main" id="{A4E6DFB0-0D37-B240-BC56-F8A1998A4EA5}"/>
            </a:ext>
          </a:extLst>
        </xdr:cNvPr>
        <xdr:cNvCxnSpPr/>
      </xdr:nvCxnSpPr>
      <xdr:spPr>
        <a:xfrm flipH="1" flipV="1">
          <a:off x="13511464310" y="19563256"/>
          <a:ext cx="3873501"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105</xdr:row>
      <xdr:rowOff>43793</xdr:rowOff>
    </xdr:from>
    <xdr:to>
      <xdr:col>16</xdr:col>
      <xdr:colOff>328448</xdr:colOff>
      <xdr:row>106</xdr:row>
      <xdr:rowOff>39414</xdr:rowOff>
    </xdr:to>
    <xdr:cxnSp macro="">
      <xdr:nvCxnSpPr>
        <xdr:cNvPr id="18" name="Straight Connector 17">
          <a:extLst>
            <a:ext uri="{FF2B5EF4-FFF2-40B4-BE49-F238E27FC236}">
              <a16:creationId xmlns:a16="http://schemas.microsoft.com/office/drawing/2014/main" id="{5AB9A035-16CC-144D-813F-5E12E366604C}"/>
            </a:ext>
          </a:extLst>
        </xdr:cNvPr>
        <xdr:cNvCxnSpPr/>
      </xdr:nvCxnSpPr>
      <xdr:spPr>
        <a:xfrm flipH="1">
          <a:off x="13511455552" y="19373193"/>
          <a:ext cx="4379" cy="198821"/>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98</xdr:row>
      <xdr:rowOff>175172</xdr:rowOff>
    </xdr:from>
    <xdr:to>
      <xdr:col>16</xdr:col>
      <xdr:colOff>424793</xdr:colOff>
      <xdr:row>99</xdr:row>
      <xdr:rowOff>188311</xdr:rowOff>
    </xdr:to>
    <xdr:cxnSp macro="">
      <xdr:nvCxnSpPr>
        <xdr:cNvPr id="19" name="Straight Connector 18">
          <a:extLst>
            <a:ext uri="{FF2B5EF4-FFF2-40B4-BE49-F238E27FC236}">
              <a16:creationId xmlns:a16="http://schemas.microsoft.com/office/drawing/2014/main" id="{33439FA4-4CBC-DC4B-AAC7-F592B51A9DA2}"/>
            </a:ext>
          </a:extLst>
        </xdr:cNvPr>
        <xdr:cNvCxnSpPr/>
      </xdr:nvCxnSpPr>
      <xdr:spPr>
        <a:xfrm>
          <a:off x="13511359207" y="18082172"/>
          <a:ext cx="0" cy="2163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99</xdr:row>
      <xdr:rowOff>179552</xdr:rowOff>
    </xdr:from>
    <xdr:to>
      <xdr:col>18</xdr:col>
      <xdr:colOff>302172</xdr:colOff>
      <xdr:row>99</xdr:row>
      <xdr:rowOff>188311</xdr:rowOff>
    </xdr:to>
    <xdr:cxnSp macro="">
      <xdr:nvCxnSpPr>
        <xdr:cNvPr id="20" name="Straight Connector 19">
          <a:extLst>
            <a:ext uri="{FF2B5EF4-FFF2-40B4-BE49-F238E27FC236}">
              <a16:creationId xmlns:a16="http://schemas.microsoft.com/office/drawing/2014/main" id="{E4B8FD2C-B5D3-204D-9EC9-3A7DD2CA248D}"/>
            </a:ext>
          </a:extLst>
        </xdr:cNvPr>
        <xdr:cNvCxnSpPr/>
      </xdr:nvCxnSpPr>
      <xdr:spPr>
        <a:xfrm flipH="1">
          <a:off x="13509830828" y="18289752"/>
          <a:ext cx="153275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99</xdr:row>
      <xdr:rowOff>183931</xdr:rowOff>
    </xdr:from>
    <xdr:to>
      <xdr:col>18</xdr:col>
      <xdr:colOff>302172</xdr:colOff>
      <xdr:row>102</xdr:row>
      <xdr:rowOff>91966</xdr:rowOff>
    </xdr:to>
    <xdr:cxnSp macro="">
      <xdr:nvCxnSpPr>
        <xdr:cNvPr id="21" name="Straight Connector 20">
          <a:extLst>
            <a:ext uri="{FF2B5EF4-FFF2-40B4-BE49-F238E27FC236}">
              <a16:creationId xmlns:a16="http://schemas.microsoft.com/office/drawing/2014/main" id="{1C2329CE-DACE-2741-94FD-B9444A4EB9CB}"/>
            </a:ext>
          </a:extLst>
        </xdr:cNvPr>
        <xdr:cNvCxnSpPr/>
      </xdr:nvCxnSpPr>
      <xdr:spPr>
        <a:xfrm flipH="1">
          <a:off x="13509830828" y="18294131"/>
          <a:ext cx="4380" cy="51763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102</xdr:row>
      <xdr:rowOff>87586</xdr:rowOff>
    </xdr:from>
    <xdr:to>
      <xdr:col>18</xdr:col>
      <xdr:colOff>302172</xdr:colOff>
      <xdr:row>102</xdr:row>
      <xdr:rowOff>87586</xdr:rowOff>
    </xdr:to>
    <xdr:cxnSp macro="">
      <xdr:nvCxnSpPr>
        <xdr:cNvPr id="22" name="Straight Connector 21">
          <a:extLst>
            <a:ext uri="{FF2B5EF4-FFF2-40B4-BE49-F238E27FC236}">
              <a16:creationId xmlns:a16="http://schemas.microsoft.com/office/drawing/2014/main" id="{FEE70715-E724-CE46-B034-08BBF3AA84D6}"/>
            </a:ext>
          </a:extLst>
        </xdr:cNvPr>
        <xdr:cNvCxnSpPr/>
      </xdr:nvCxnSpPr>
      <xdr:spPr>
        <a:xfrm flipH="1">
          <a:off x="13509830828" y="18807386"/>
          <a:ext cx="89556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100</xdr:row>
      <xdr:rowOff>189249</xdr:rowOff>
    </xdr:from>
    <xdr:to>
      <xdr:col>15</xdr:col>
      <xdr:colOff>820024</xdr:colOff>
      <xdr:row>102</xdr:row>
      <xdr:rowOff>15016</xdr:rowOff>
    </xdr:to>
    <xdr:sp macro="" textlink="">
      <xdr:nvSpPr>
        <xdr:cNvPr id="23" name="Rounded Rectangle 22">
          <a:extLst>
            <a:ext uri="{FF2B5EF4-FFF2-40B4-BE49-F238E27FC236}">
              <a16:creationId xmlns:a16="http://schemas.microsoft.com/office/drawing/2014/main" id="{27795257-4FD9-544B-9A87-C7A807178408}"/>
            </a:ext>
          </a:extLst>
        </xdr:cNvPr>
        <xdr:cNvSpPr/>
      </xdr:nvSpPr>
      <xdr:spPr>
        <a:xfrm>
          <a:off x="13511789476" y="18502649"/>
          <a:ext cx="249464" cy="2321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17</xdr:col>
      <xdr:colOff>19294</xdr:colOff>
      <xdr:row>118</xdr:row>
      <xdr:rowOff>9937</xdr:rowOff>
    </xdr:from>
    <xdr:to>
      <xdr:col>24</xdr:col>
      <xdr:colOff>741567</xdr:colOff>
      <xdr:row>290</xdr:row>
      <xdr:rowOff>60334</xdr:rowOff>
    </xdr:to>
    <xdr:sp macro="" textlink="">
      <xdr:nvSpPr>
        <xdr:cNvPr id="24" name="TextBox 23">
          <a:extLst>
            <a:ext uri="{FF2B5EF4-FFF2-40B4-BE49-F238E27FC236}">
              <a16:creationId xmlns:a16="http://schemas.microsoft.com/office/drawing/2014/main" id="{5F6C8195-A335-9248-BA59-085D6A98A0CC}"/>
            </a:ext>
          </a:extLst>
        </xdr:cNvPr>
        <xdr:cNvSpPr txBox="1"/>
      </xdr:nvSpPr>
      <xdr:spPr>
        <a:xfrm>
          <a:off x="13474326549" y="23928270"/>
          <a:ext cx="6487889" cy="34952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10</xdr:col>
      <xdr:colOff>0</xdr:colOff>
      <xdr:row>1</xdr:row>
      <xdr:rowOff>0</xdr:rowOff>
    </xdr:from>
    <xdr:to>
      <xdr:col>17</xdr:col>
      <xdr:colOff>725713</xdr:colOff>
      <xdr:row>69</xdr:row>
      <xdr:rowOff>8467</xdr:rowOff>
    </xdr:to>
    <xdr:sp macro="" textlink="">
      <xdr:nvSpPr>
        <xdr:cNvPr id="25" name="TextBox 24">
          <a:extLst>
            <a:ext uri="{FF2B5EF4-FFF2-40B4-BE49-F238E27FC236}">
              <a16:creationId xmlns:a16="http://schemas.microsoft.com/office/drawing/2014/main" id="{7ECD09A2-E3E2-AE4D-A3D1-FAE35C6AE9CE}"/>
            </a:ext>
          </a:extLst>
        </xdr:cNvPr>
        <xdr:cNvSpPr txBox="1"/>
      </xdr:nvSpPr>
      <xdr:spPr>
        <a:xfrm>
          <a:off x="13579519753" y="203200"/>
          <a:ext cx="6533847" cy="138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400" b="1">
              <a:solidFill>
                <a:srgbClr val="FF0000"/>
              </a:solidFill>
              <a:effectLst/>
              <a:latin typeface="David" panose="020E0502060401010101" pitchFamily="34" charset="-79"/>
              <a:ea typeface="+mn-ea"/>
              <a:cs typeface="David" panose="020E0502060401010101" pitchFamily="34" charset="-79"/>
            </a:rPr>
            <a:t>מבנה משוער של הבחינה בקורס יסודות החשבונאות - עדכון קטן, כמה הפחתות חומר קלות</a:t>
          </a:r>
          <a:endParaRPr lang="he-IL" sz="1400">
            <a:solidFill>
              <a:srgbClr val="FF0000"/>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11</xdr:col>
      <xdr:colOff>635000</xdr:colOff>
      <xdr:row>148</xdr:row>
      <xdr:rowOff>25919</xdr:rowOff>
    </xdr:from>
    <xdr:to>
      <xdr:col>11</xdr:col>
      <xdr:colOff>738674</xdr:colOff>
      <xdr:row>149</xdr:row>
      <xdr:rowOff>0</xdr:rowOff>
    </xdr:to>
    <xdr:sp macro="" textlink="">
      <xdr:nvSpPr>
        <xdr:cNvPr id="26" name="Down Arrow 25">
          <a:extLst>
            <a:ext uri="{FF2B5EF4-FFF2-40B4-BE49-F238E27FC236}">
              <a16:creationId xmlns:a16="http://schemas.microsoft.com/office/drawing/2014/main" id="{B4FE070B-EF80-17D5-9880-5B6BDD1AF989}"/>
            </a:ext>
          </a:extLst>
        </xdr:cNvPr>
        <xdr:cNvSpPr/>
      </xdr:nvSpPr>
      <xdr:spPr>
        <a:xfrm>
          <a:off x="13508100136" y="30151701"/>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533487</xdr:colOff>
      <xdr:row>152</xdr:row>
      <xdr:rowOff>170630</xdr:rowOff>
    </xdr:from>
    <xdr:to>
      <xdr:col>10</xdr:col>
      <xdr:colOff>710596</xdr:colOff>
      <xdr:row>153</xdr:row>
      <xdr:rowOff>71277</xdr:rowOff>
    </xdr:to>
    <xdr:sp macro="" textlink="">
      <xdr:nvSpPr>
        <xdr:cNvPr id="27" name="Down Arrow 26">
          <a:extLst>
            <a:ext uri="{FF2B5EF4-FFF2-40B4-BE49-F238E27FC236}">
              <a16:creationId xmlns:a16="http://schemas.microsoft.com/office/drawing/2014/main" id="{DFC558A1-B9F6-0C0D-88D7-A44310407DF5}"/>
            </a:ext>
          </a:extLst>
        </xdr:cNvPr>
        <xdr:cNvSpPr/>
      </xdr:nvSpPr>
      <xdr:spPr>
        <a:xfrm rot="16200000">
          <a:off x="13508990000" y="31071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568043</xdr:colOff>
      <xdr:row>149</xdr:row>
      <xdr:rowOff>144711</xdr:rowOff>
    </xdr:from>
    <xdr:to>
      <xdr:col>10</xdr:col>
      <xdr:colOff>745152</xdr:colOff>
      <xdr:row>150</xdr:row>
      <xdr:rowOff>45358</xdr:rowOff>
    </xdr:to>
    <xdr:sp macro="" textlink="">
      <xdr:nvSpPr>
        <xdr:cNvPr id="28" name="Down Arrow 27">
          <a:extLst>
            <a:ext uri="{FF2B5EF4-FFF2-40B4-BE49-F238E27FC236}">
              <a16:creationId xmlns:a16="http://schemas.microsoft.com/office/drawing/2014/main" id="{61AAA2F5-BF3C-2E7E-77C7-9205861D4670}"/>
            </a:ext>
          </a:extLst>
        </xdr:cNvPr>
        <xdr:cNvSpPr/>
      </xdr:nvSpPr>
      <xdr:spPr>
        <a:xfrm rot="16200000">
          <a:off x="13508955444" y="30436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11</xdr:col>
      <xdr:colOff>381921</xdr:colOff>
      <xdr:row>165</xdr:row>
      <xdr:rowOff>16716</xdr:rowOff>
    </xdr:from>
    <xdr:to>
      <xdr:col>11</xdr:col>
      <xdr:colOff>485595</xdr:colOff>
      <xdr:row>165</xdr:row>
      <xdr:rowOff>193261</xdr:rowOff>
    </xdr:to>
    <xdr:sp macro="" textlink="">
      <xdr:nvSpPr>
        <xdr:cNvPr id="29" name="Down Arrow 28">
          <a:extLst>
            <a:ext uri="{FF2B5EF4-FFF2-40B4-BE49-F238E27FC236}">
              <a16:creationId xmlns:a16="http://schemas.microsoft.com/office/drawing/2014/main" id="{9C7A4C30-C42A-C0A7-5A37-C66AA6D349EE}"/>
            </a:ext>
          </a:extLst>
        </xdr:cNvPr>
        <xdr:cNvSpPr/>
      </xdr:nvSpPr>
      <xdr:spPr>
        <a:xfrm>
          <a:off x="13485290093" y="33501462"/>
          <a:ext cx="103674" cy="17654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614058</xdr:colOff>
      <xdr:row>166</xdr:row>
      <xdr:rowOff>144711</xdr:rowOff>
    </xdr:from>
    <xdr:to>
      <xdr:col>10</xdr:col>
      <xdr:colOff>791167</xdr:colOff>
      <xdr:row>167</xdr:row>
      <xdr:rowOff>45358</xdr:rowOff>
    </xdr:to>
    <xdr:sp macro="" textlink="">
      <xdr:nvSpPr>
        <xdr:cNvPr id="30" name="Down Arrow 29">
          <a:extLst>
            <a:ext uri="{FF2B5EF4-FFF2-40B4-BE49-F238E27FC236}">
              <a16:creationId xmlns:a16="http://schemas.microsoft.com/office/drawing/2014/main" id="{26B430FC-E7B6-9749-2B29-DB0C61A4EADF}"/>
            </a:ext>
          </a:extLst>
        </xdr:cNvPr>
        <xdr:cNvSpPr/>
      </xdr:nvSpPr>
      <xdr:spPr>
        <a:xfrm rot="16200000">
          <a:off x="13485845180" y="33794922"/>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581848</xdr:colOff>
      <xdr:row>169</xdr:row>
      <xdr:rowOff>195327</xdr:rowOff>
    </xdr:from>
    <xdr:to>
      <xdr:col>10</xdr:col>
      <xdr:colOff>758957</xdr:colOff>
      <xdr:row>170</xdr:row>
      <xdr:rowOff>95974</xdr:rowOff>
    </xdr:to>
    <xdr:sp macro="" textlink="">
      <xdr:nvSpPr>
        <xdr:cNvPr id="31" name="Down Arrow 30">
          <a:extLst>
            <a:ext uri="{FF2B5EF4-FFF2-40B4-BE49-F238E27FC236}">
              <a16:creationId xmlns:a16="http://schemas.microsoft.com/office/drawing/2014/main" id="{15902E24-4F3B-2B9A-B4E3-8E273FD5C42E}"/>
            </a:ext>
          </a:extLst>
        </xdr:cNvPr>
        <xdr:cNvSpPr/>
      </xdr:nvSpPr>
      <xdr:spPr>
        <a:xfrm rot="16200000">
          <a:off x="13485877390" y="34452929"/>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186765</xdr:colOff>
      <xdr:row>149</xdr:row>
      <xdr:rowOff>160085</xdr:rowOff>
    </xdr:from>
    <xdr:to>
      <xdr:col>7</xdr:col>
      <xdr:colOff>672353</xdr:colOff>
      <xdr:row>158</xdr:row>
      <xdr:rowOff>170757</xdr:rowOff>
    </xdr:to>
    <xdr:sp macro="" textlink="">
      <xdr:nvSpPr>
        <xdr:cNvPr id="32" name="Rounded Rectangle 31">
          <a:extLst>
            <a:ext uri="{FF2B5EF4-FFF2-40B4-BE49-F238E27FC236}">
              <a16:creationId xmlns:a16="http://schemas.microsoft.com/office/drawing/2014/main" id="{BD20A949-0290-94B3-1510-85BED4E89B1A}"/>
            </a:ext>
          </a:extLst>
        </xdr:cNvPr>
        <xdr:cNvSpPr/>
      </xdr:nvSpPr>
      <xdr:spPr>
        <a:xfrm>
          <a:off x="13544758109" y="30442648"/>
          <a:ext cx="6275294" cy="1835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a:t>
          </a:r>
          <a:r>
            <a:rPr lang="en-US" sz="1400" b="0" i="0" u="none" strike="noStrike" baseline="0">
              <a:solidFill>
                <a:schemeClr val="bg1"/>
              </a:solidFill>
              <a:latin typeface="Aptos Narrow" pitchFamily="2" charset="0"/>
            </a:rPr>
            <a:t>אם מלאי הסגירה גבוה יותר מהערך שדווח לעיל, מה תהיה ההשפעה על הרווח המדווח בשנה הנוכחית? וכיצד הדבר עשוי להשפיע על הרווח בשנה הבאה?</a:t>
          </a:r>
          <a:r>
            <a:rPr lang="he-IL" sz="1400" b="0" i="0" u="none" strike="noStrike" baseline="0">
              <a:solidFill>
                <a:schemeClr val="bg1"/>
              </a:solidFill>
              <a:latin typeface="Aptos Narrow" pitchFamily="2" charset="0"/>
            </a:rPr>
            <a:t>״</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עלייה במלאי הסגירה השנה מקטינה את עלות המכר ומגדילה את הרווח (השנה). בשנה הבאה, העלייה במלאי הסגירה = עלייה במלאי הפתיחה שמגדילה את עלות המכר ומקטינה את הרווח (בשנה הבאה). </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0</xdr:colOff>
      <xdr:row>193</xdr:row>
      <xdr:rowOff>0</xdr:rowOff>
    </xdr:from>
    <xdr:to>
      <xdr:col>7</xdr:col>
      <xdr:colOff>485588</xdr:colOff>
      <xdr:row>202</xdr:row>
      <xdr:rowOff>160986</xdr:rowOff>
    </xdr:to>
    <xdr:sp macro="" textlink="">
      <xdr:nvSpPr>
        <xdr:cNvPr id="34" name="Rounded Rectangle 33">
          <a:extLst>
            <a:ext uri="{FF2B5EF4-FFF2-40B4-BE49-F238E27FC236}">
              <a16:creationId xmlns:a16="http://schemas.microsoft.com/office/drawing/2014/main" id="{3C151517-D45D-3244-AE22-317C816D6615}"/>
            </a:ext>
          </a:extLst>
        </xdr:cNvPr>
        <xdr:cNvSpPr/>
      </xdr:nvSpPr>
      <xdr:spPr>
        <a:xfrm>
          <a:off x="13548021983" y="38918345"/>
          <a:ext cx="6276609" cy="1972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״כיצד תשפיע עלייה בשיעור ההלח״מ על הדוחות הכספיים״</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במאזן - העלייה בהלח״מ תקטין את נכס הלקוחות (נטו) ובהתאם את סך הנכסים השוטפים וסך הנכסים. ההתחייבויות לא ישתנו, וההון העצמי יקטן (ספציפית, בעקבות הירידה בעודפים). הירידה בעודפים נובעת מירידה ברווח של השנה (תפעולי, לפני מס, נקי) כתוצאה מעלייה בהוצאות ההלח״מ שנזקפות לסעיף הוצאות הנהלה וכלליות.</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372635</xdr:colOff>
      <xdr:row>216</xdr:row>
      <xdr:rowOff>3802</xdr:rowOff>
    </xdr:from>
    <xdr:to>
      <xdr:col>7</xdr:col>
      <xdr:colOff>150978</xdr:colOff>
      <xdr:row>219</xdr:row>
      <xdr:rowOff>35507</xdr:rowOff>
    </xdr:to>
    <xdr:sp macro="" textlink="">
      <xdr:nvSpPr>
        <xdr:cNvPr id="35" name="Rounded Rectangle 34">
          <a:extLst>
            <a:ext uri="{FF2B5EF4-FFF2-40B4-BE49-F238E27FC236}">
              <a16:creationId xmlns:a16="http://schemas.microsoft.com/office/drawing/2014/main" id="{909F4F22-C466-A22B-115C-184B6C895E50}"/>
            </a:ext>
          </a:extLst>
        </xdr:cNvPr>
        <xdr:cNvSpPr/>
      </xdr:nvSpPr>
      <xdr:spPr>
        <a:xfrm>
          <a:off x="13512835340" y="43617275"/>
          <a:ext cx="5554181" cy="636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תשובת סטודנטית: הכרזה על דיבידנד שטרם חולק בפועל, משפיעה רק על ההתחייבויות (גדלות - דיב׳ לשלם) ועל ההון העצמי - קיטון בעודפים. </a:t>
          </a:r>
          <a:endParaRPr lang="en-US" sz="1100"/>
        </a:p>
      </xdr:txBody>
    </xdr:sp>
    <xdr:clientData/>
  </xdr:twoCellAnchor>
  <xdr:twoCellAnchor>
    <xdr:from>
      <xdr:col>7</xdr:col>
      <xdr:colOff>238125</xdr:colOff>
      <xdr:row>230</xdr:row>
      <xdr:rowOff>8356</xdr:rowOff>
    </xdr:from>
    <xdr:to>
      <xdr:col>7</xdr:col>
      <xdr:colOff>380165</xdr:colOff>
      <xdr:row>236</xdr:row>
      <xdr:rowOff>45954</xdr:rowOff>
    </xdr:to>
    <xdr:sp macro="" textlink="">
      <xdr:nvSpPr>
        <xdr:cNvPr id="36" name="Down Arrow 35">
          <a:extLst>
            <a:ext uri="{FF2B5EF4-FFF2-40B4-BE49-F238E27FC236}">
              <a16:creationId xmlns:a16="http://schemas.microsoft.com/office/drawing/2014/main" id="{9A8D97E5-A13F-D333-7556-EF97401E3B95}"/>
            </a:ext>
          </a:extLst>
        </xdr:cNvPr>
        <xdr:cNvSpPr/>
      </xdr:nvSpPr>
      <xdr:spPr>
        <a:xfrm>
          <a:off x="13546200164" y="46960757"/>
          <a:ext cx="142040" cy="126582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338389</xdr:colOff>
      <xdr:row>229</xdr:row>
      <xdr:rowOff>187995</xdr:rowOff>
    </xdr:from>
    <xdr:to>
      <xdr:col>9</xdr:col>
      <xdr:colOff>476251</xdr:colOff>
      <xdr:row>231</xdr:row>
      <xdr:rowOff>125330</xdr:rowOff>
    </xdr:to>
    <xdr:sp macro="" textlink="">
      <xdr:nvSpPr>
        <xdr:cNvPr id="37" name="Down Arrow 36">
          <a:extLst>
            <a:ext uri="{FF2B5EF4-FFF2-40B4-BE49-F238E27FC236}">
              <a16:creationId xmlns:a16="http://schemas.microsoft.com/office/drawing/2014/main" id="{6CB7769E-97ED-5D79-8EE5-A0845C0BA733}"/>
            </a:ext>
          </a:extLst>
        </xdr:cNvPr>
        <xdr:cNvSpPr/>
      </xdr:nvSpPr>
      <xdr:spPr>
        <a:xfrm>
          <a:off x="13544449736" y="46935692"/>
          <a:ext cx="137862" cy="34674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0</xdr:colOff>
      <xdr:row>240</xdr:row>
      <xdr:rowOff>0</xdr:rowOff>
    </xdr:from>
    <xdr:to>
      <xdr:col>7</xdr:col>
      <xdr:colOff>605514</xdr:colOff>
      <xdr:row>243</xdr:row>
      <xdr:rowOff>31705</xdr:rowOff>
    </xdr:to>
    <xdr:sp macro="" textlink="">
      <xdr:nvSpPr>
        <xdr:cNvPr id="38" name="Rounded Rectangle 37">
          <a:extLst>
            <a:ext uri="{FF2B5EF4-FFF2-40B4-BE49-F238E27FC236}">
              <a16:creationId xmlns:a16="http://schemas.microsoft.com/office/drawing/2014/main" id="{97465BA4-30C7-B843-BA64-5783FAA38430}"/>
            </a:ext>
          </a:extLst>
        </xdr:cNvPr>
        <xdr:cNvSpPr/>
      </xdr:nvSpPr>
      <xdr:spPr>
        <a:xfrm>
          <a:off x="13545974815" y="49204145"/>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הירידה בנכס המלאי היא חזקה יותר מערך התמורה שהתקבלה כנתון, ולכן בסך הכל, סך הנכסים השוטפים יקטן. </a:t>
          </a:r>
          <a:endParaRPr lang="en-US" sz="1100"/>
        </a:p>
      </xdr:txBody>
    </xdr:sp>
    <xdr:clientData/>
  </xdr:twoCellAnchor>
  <xdr:twoCellAnchor>
    <xdr:from>
      <xdr:col>1</xdr:col>
      <xdr:colOff>96086</xdr:colOff>
      <xdr:row>253</xdr:row>
      <xdr:rowOff>150395</xdr:rowOff>
    </xdr:from>
    <xdr:to>
      <xdr:col>7</xdr:col>
      <xdr:colOff>701600</xdr:colOff>
      <xdr:row>256</xdr:row>
      <xdr:rowOff>182100</xdr:rowOff>
    </xdr:to>
    <xdr:sp macro="" textlink="">
      <xdr:nvSpPr>
        <xdr:cNvPr id="39" name="Rounded Rectangle 38">
          <a:extLst>
            <a:ext uri="{FF2B5EF4-FFF2-40B4-BE49-F238E27FC236}">
              <a16:creationId xmlns:a16="http://schemas.microsoft.com/office/drawing/2014/main" id="{C5C6B13E-2140-174F-8BCE-3D75E35EA339}"/>
            </a:ext>
          </a:extLst>
        </xdr:cNvPr>
        <xdr:cNvSpPr/>
      </xdr:nvSpPr>
      <xdr:spPr>
        <a:xfrm>
          <a:off x="13545878729" y="52015691"/>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השינוי היחידי כתוצאה מהאירוע: עלייה בהון המניות וירידה בסכום זהה בפרמיה (אין שינוי בסך ההון העצמי וביתר מרכיבי הדיווח).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25401</xdr:colOff>
      <xdr:row>1</xdr:row>
      <xdr:rowOff>95251</xdr:rowOff>
    </xdr:from>
    <xdr:to>
      <xdr:col>4</xdr:col>
      <xdr:colOff>730250</xdr:colOff>
      <xdr:row>10</xdr:row>
      <xdr:rowOff>91793</xdr:rowOff>
    </xdr:to>
    <xdr:pic>
      <xdr:nvPicPr>
        <xdr:cNvPr id="2" name="Picture 1">
          <a:extLst>
            <a:ext uri="{FF2B5EF4-FFF2-40B4-BE49-F238E27FC236}">
              <a16:creationId xmlns:a16="http://schemas.microsoft.com/office/drawing/2014/main" id="{25D7489F-4529-07E8-9327-88FBA06CC26F}"/>
            </a:ext>
          </a:extLst>
        </xdr:cNvPr>
        <xdr:cNvPicPr>
          <a:picLocks noChangeAspect="1"/>
        </xdr:cNvPicPr>
      </xdr:nvPicPr>
      <xdr:blipFill>
        <a:blip xmlns:r="http://schemas.openxmlformats.org/officeDocument/2006/relationships" r:embed="rId1"/>
        <a:stretch>
          <a:fillRect/>
        </a:stretch>
      </xdr:blipFill>
      <xdr:spPr>
        <a:xfrm>
          <a:off x="13520959750" y="298451"/>
          <a:ext cx="4006849" cy="1825342"/>
        </a:xfrm>
        <a:prstGeom prst="rect">
          <a:avLst/>
        </a:prstGeom>
      </xdr:spPr>
    </xdr:pic>
    <xdr:clientData/>
  </xdr:twoCellAnchor>
  <xdr:twoCellAnchor>
    <xdr:from>
      <xdr:col>5</xdr:col>
      <xdr:colOff>456178</xdr:colOff>
      <xdr:row>74</xdr:row>
      <xdr:rowOff>3650</xdr:rowOff>
    </xdr:from>
    <xdr:to>
      <xdr:col>6</xdr:col>
      <xdr:colOff>58391</xdr:colOff>
      <xdr:row>77</xdr:row>
      <xdr:rowOff>7299</xdr:rowOff>
    </xdr:to>
    <xdr:sp macro="" textlink="">
      <xdr:nvSpPr>
        <xdr:cNvPr id="3" name="Left Brace 2">
          <a:extLst>
            <a:ext uri="{FF2B5EF4-FFF2-40B4-BE49-F238E27FC236}">
              <a16:creationId xmlns:a16="http://schemas.microsoft.com/office/drawing/2014/main" id="{31E5A8A3-4658-1696-03EE-831034CE6BEE}"/>
            </a:ext>
          </a:extLst>
        </xdr:cNvPr>
        <xdr:cNvSpPr/>
      </xdr:nvSpPr>
      <xdr:spPr>
        <a:xfrm>
          <a:off x="13507749195" y="15170661"/>
          <a:ext cx="426983" cy="6167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6</xdr:col>
      <xdr:colOff>109483</xdr:colOff>
      <xdr:row>74</xdr:row>
      <xdr:rowOff>87587</xdr:rowOff>
    </xdr:from>
    <xdr:to>
      <xdr:col>9</xdr:col>
      <xdr:colOff>525518</xdr:colOff>
      <xdr:row>76</xdr:row>
      <xdr:rowOff>149627</xdr:rowOff>
    </xdr:to>
    <xdr:sp macro="" textlink="">
      <xdr:nvSpPr>
        <xdr:cNvPr id="4" name="Rounded Rectangle 3">
          <a:extLst>
            <a:ext uri="{FF2B5EF4-FFF2-40B4-BE49-F238E27FC236}">
              <a16:creationId xmlns:a16="http://schemas.microsoft.com/office/drawing/2014/main" id="{36CE44BD-E7C9-DF93-B31B-E5F35B6D68DF}"/>
            </a:ext>
          </a:extLst>
        </xdr:cNvPr>
        <xdr:cNvSpPr/>
      </xdr:nvSpPr>
      <xdr:spPr>
        <a:xfrm>
          <a:off x="13505136206" y="15254598"/>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התפעולי וכתוצאה מכך על הרווח לפני מס והרווח הנקי - אך לא על הרווח הגולמי</a:t>
          </a:r>
          <a:endParaRPr lang="en-US" sz="900" kern="1200"/>
        </a:p>
      </xdr:txBody>
    </xdr:sp>
    <xdr:clientData/>
  </xdr:twoCellAnchor>
  <xdr:twoCellAnchor>
    <xdr:from>
      <xdr:col>4</xdr:col>
      <xdr:colOff>682443</xdr:colOff>
      <xdr:row>78</xdr:row>
      <xdr:rowOff>7299</xdr:rowOff>
    </xdr:from>
    <xdr:to>
      <xdr:col>5</xdr:col>
      <xdr:colOff>284656</xdr:colOff>
      <xdr:row>80</xdr:row>
      <xdr:rowOff>32845</xdr:rowOff>
    </xdr:to>
    <xdr:sp macro="" textlink="">
      <xdr:nvSpPr>
        <xdr:cNvPr id="5" name="Left Brace 4">
          <a:extLst>
            <a:ext uri="{FF2B5EF4-FFF2-40B4-BE49-F238E27FC236}">
              <a16:creationId xmlns:a16="http://schemas.microsoft.com/office/drawing/2014/main" id="{29C414CC-EB6F-AFE6-E2CD-F05112696326}"/>
            </a:ext>
          </a:extLst>
        </xdr:cNvPr>
        <xdr:cNvSpPr/>
      </xdr:nvSpPr>
      <xdr:spPr>
        <a:xfrm>
          <a:off x="13508347700" y="15991782"/>
          <a:ext cx="426984" cy="43428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335748</xdr:colOff>
      <xdr:row>77</xdr:row>
      <xdr:rowOff>164225</xdr:rowOff>
    </xdr:from>
    <xdr:to>
      <xdr:col>8</xdr:col>
      <xdr:colOff>423335</xdr:colOff>
      <xdr:row>80</xdr:row>
      <xdr:rowOff>21898</xdr:rowOff>
    </xdr:to>
    <xdr:sp macro="" textlink="">
      <xdr:nvSpPr>
        <xdr:cNvPr id="6" name="Rounded Rectangle 5">
          <a:extLst>
            <a:ext uri="{FF2B5EF4-FFF2-40B4-BE49-F238E27FC236}">
              <a16:creationId xmlns:a16="http://schemas.microsoft.com/office/drawing/2014/main" id="{020F2B48-03AE-C219-4272-347EE2A37A28}"/>
            </a:ext>
          </a:extLst>
        </xdr:cNvPr>
        <xdr:cNvSpPr/>
      </xdr:nvSpPr>
      <xdr:spPr>
        <a:xfrm>
          <a:off x="13505734711" y="15944340"/>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לפני מס ועל הרווח הנקי - לא משפיעים על הרווח התפעולי והגולמי</a:t>
          </a:r>
          <a:endParaRPr lang="en-US" sz="900" kern="1200"/>
        </a:p>
      </xdr:txBody>
    </xdr:sp>
    <xdr:clientData/>
  </xdr:twoCellAnchor>
  <xdr:twoCellAnchor>
    <xdr:from>
      <xdr:col>5</xdr:col>
      <xdr:colOff>43793</xdr:colOff>
      <xdr:row>81</xdr:row>
      <xdr:rowOff>3650</xdr:rowOff>
    </xdr:from>
    <xdr:to>
      <xdr:col>5</xdr:col>
      <xdr:colOff>463477</xdr:colOff>
      <xdr:row>82</xdr:row>
      <xdr:rowOff>43793</xdr:rowOff>
    </xdr:to>
    <xdr:sp macro="" textlink="">
      <xdr:nvSpPr>
        <xdr:cNvPr id="7" name="Left Brace 6">
          <a:extLst>
            <a:ext uri="{FF2B5EF4-FFF2-40B4-BE49-F238E27FC236}">
              <a16:creationId xmlns:a16="http://schemas.microsoft.com/office/drawing/2014/main" id="{48D6A2E6-E230-C611-2310-7BE6FD684EA3}"/>
            </a:ext>
          </a:extLst>
        </xdr:cNvPr>
        <xdr:cNvSpPr/>
      </xdr:nvSpPr>
      <xdr:spPr>
        <a:xfrm>
          <a:off x="13508168879" y="16601236"/>
          <a:ext cx="419684" cy="24451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496321</xdr:colOff>
      <xdr:row>81</xdr:row>
      <xdr:rowOff>3650</xdr:rowOff>
    </xdr:from>
    <xdr:to>
      <xdr:col>7</xdr:col>
      <xdr:colOff>397787</xdr:colOff>
      <xdr:row>82</xdr:row>
      <xdr:rowOff>65690</xdr:rowOff>
    </xdr:to>
    <xdr:sp macro="" textlink="">
      <xdr:nvSpPr>
        <xdr:cNvPr id="8" name="Rounded Rectangle 7">
          <a:extLst>
            <a:ext uri="{FF2B5EF4-FFF2-40B4-BE49-F238E27FC236}">
              <a16:creationId xmlns:a16="http://schemas.microsoft.com/office/drawing/2014/main" id="{63304B1A-08C1-84E2-EF64-ECC1A0D73FA0}"/>
            </a:ext>
          </a:extLst>
        </xdr:cNvPr>
        <xdr:cNvSpPr/>
      </xdr:nvSpPr>
      <xdr:spPr>
        <a:xfrm>
          <a:off x="13506585029" y="16601236"/>
          <a:ext cx="1551006" cy="2664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 על הרווח הנקי בלבד</a:t>
          </a:r>
          <a:endParaRPr lang="en-US" sz="900" kern="1200"/>
        </a:p>
      </xdr:txBody>
    </xdr:sp>
    <xdr:clientData/>
  </xdr:twoCellAnchor>
  <xdr:twoCellAnchor>
    <xdr:from>
      <xdr:col>6</xdr:col>
      <xdr:colOff>594856</xdr:colOff>
      <xdr:row>92</xdr:row>
      <xdr:rowOff>178822</xdr:rowOff>
    </xdr:from>
    <xdr:to>
      <xdr:col>6</xdr:col>
      <xdr:colOff>598506</xdr:colOff>
      <xdr:row>94</xdr:row>
      <xdr:rowOff>14597</xdr:rowOff>
    </xdr:to>
    <xdr:cxnSp macro="">
      <xdr:nvCxnSpPr>
        <xdr:cNvPr id="10" name="Straight Arrow Connector 9">
          <a:extLst>
            <a:ext uri="{FF2B5EF4-FFF2-40B4-BE49-F238E27FC236}">
              <a16:creationId xmlns:a16="http://schemas.microsoft.com/office/drawing/2014/main" id="{14417B49-E97C-A8D9-FFEB-5695B043920B}"/>
            </a:ext>
          </a:extLst>
        </xdr:cNvPr>
        <xdr:cNvCxnSpPr/>
      </xdr:nvCxnSpPr>
      <xdr:spPr>
        <a:xfrm flipH="1" flipV="1">
          <a:off x="13507209080" y="19057299"/>
          <a:ext cx="3650" cy="2445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281005</xdr:colOff>
      <xdr:row>93</xdr:row>
      <xdr:rowOff>197069</xdr:rowOff>
    </xdr:from>
    <xdr:to>
      <xdr:col>6</xdr:col>
      <xdr:colOff>284655</xdr:colOff>
      <xdr:row>95</xdr:row>
      <xdr:rowOff>25547</xdr:rowOff>
    </xdr:to>
    <xdr:cxnSp macro="">
      <xdr:nvCxnSpPr>
        <xdr:cNvPr id="11" name="Straight Arrow Connector 10">
          <a:extLst>
            <a:ext uri="{FF2B5EF4-FFF2-40B4-BE49-F238E27FC236}">
              <a16:creationId xmlns:a16="http://schemas.microsoft.com/office/drawing/2014/main" id="{71AE2A4F-6965-1883-D9D2-EF3707136B50}"/>
            </a:ext>
          </a:extLst>
        </xdr:cNvPr>
        <xdr:cNvCxnSpPr/>
      </xdr:nvCxnSpPr>
      <xdr:spPr>
        <a:xfrm>
          <a:off x="13507522931" y="19279914"/>
          <a:ext cx="3650" cy="2372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16990</xdr:colOff>
      <xdr:row>151</xdr:row>
      <xdr:rowOff>114682</xdr:rowOff>
    </xdr:from>
    <xdr:to>
      <xdr:col>8</xdr:col>
      <xdr:colOff>386522</xdr:colOff>
      <xdr:row>151</xdr:row>
      <xdr:rowOff>114682</xdr:rowOff>
    </xdr:to>
    <xdr:cxnSp macro="">
      <xdr:nvCxnSpPr>
        <xdr:cNvPr id="14" name="Straight Connector 13">
          <a:extLst>
            <a:ext uri="{FF2B5EF4-FFF2-40B4-BE49-F238E27FC236}">
              <a16:creationId xmlns:a16="http://schemas.microsoft.com/office/drawing/2014/main" id="{E6039880-EE6A-0AD9-3E7D-969D0D1BFC6D}"/>
            </a:ext>
          </a:extLst>
        </xdr:cNvPr>
        <xdr:cNvCxnSpPr/>
      </xdr:nvCxnSpPr>
      <xdr:spPr>
        <a:xfrm flipH="1">
          <a:off x="13493380468" y="31015184"/>
          <a:ext cx="36953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395017</xdr:colOff>
      <xdr:row>151</xdr:row>
      <xdr:rowOff>110435</xdr:rowOff>
    </xdr:from>
    <xdr:to>
      <xdr:col>8</xdr:col>
      <xdr:colOff>395017</xdr:colOff>
      <xdr:row>157</xdr:row>
      <xdr:rowOff>186890</xdr:rowOff>
    </xdr:to>
    <xdr:cxnSp macro="">
      <xdr:nvCxnSpPr>
        <xdr:cNvPr id="15" name="Straight Connector 14">
          <a:extLst>
            <a:ext uri="{FF2B5EF4-FFF2-40B4-BE49-F238E27FC236}">
              <a16:creationId xmlns:a16="http://schemas.microsoft.com/office/drawing/2014/main" id="{0AFAC0DA-997B-DB8A-423A-283F06F19414}"/>
            </a:ext>
          </a:extLst>
        </xdr:cNvPr>
        <xdr:cNvCxnSpPr/>
      </xdr:nvCxnSpPr>
      <xdr:spPr>
        <a:xfrm>
          <a:off x="13493371973" y="31010937"/>
          <a:ext cx="0" cy="12997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458729</xdr:colOff>
      <xdr:row>159</xdr:row>
      <xdr:rowOff>131672</xdr:rowOff>
    </xdr:from>
    <xdr:to>
      <xdr:col>14</xdr:col>
      <xdr:colOff>4248</xdr:colOff>
      <xdr:row>160</xdr:row>
      <xdr:rowOff>114682</xdr:rowOff>
    </xdr:to>
    <xdr:sp macro="" textlink="">
      <xdr:nvSpPr>
        <xdr:cNvPr id="19" name="Left Brace 18">
          <a:extLst>
            <a:ext uri="{FF2B5EF4-FFF2-40B4-BE49-F238E27FC236}">
              <a16:creationId xmlns:a16="http://schemas.microsoft.com/office/drawing/2014/main" id="{49B14969-C408-B401-AB64-6EB56E6AC7C0}"/>
            </a:ext>
          </a:extLst>
        </xdr:cNvPr>
        <xdr:cNvSpPr/>
      </xdr:nvSpPr>
      <xdr:spPr>
        <a:xfrm rot="16200000">
          <a:off x="13489598077" y="32159882"/>
          <a:ext cx="186890" cy="119354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11</xdr:col>
      <xdr:colOff>629429</xdr:colOff>
      <xdr:row>159</xdr:row>
      <xdr:rowOff>140166</xdr:rowOff>
    </xdr:from>
    <xdr:to>
      <xdr:col>12</xdr:col>
      <xdr:colOff>386518</xdr:colOff>
      <xdr:row>160</xdr:row>
      <xdr:rowOff>111403</xdr:rowOff>
    </xdr:to>
    <xdr:sp macro="" textlink="">
      <xdr:nvSpPr>
        <xdr:cNvPr id="20" name="Left Brace 19">
          <a:extLst>
            <a:ext uri="{FF2B5EF4-FFF2-40B4-BE49-F238E27FC236}">
              <a16:creationId xmlns:a16="http://schemas.microsoft.com/office/drawing/2014/main" id="{3E2B9D0D-280E-C843-2156-A969D7293F2B}"/>
            </a:ext>
          </a:extLst>
        </xdr:cNvPr>
        <xdr:cNvSpPr/>
      </xdr:nvSpPr>
      <xdr:spPr>
        <a:xfrm rot="16200000">
          <a:off x="13496665355" y="31969389"/>
          <a:ext cx="171763" cy="58147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184729</xdr:colOff>
      <xdr:row>1</xdr:row>
      <xdr:rowOff>130849</xdr:rowOff>
    </xdr:from>
    <xdr:to>
      <xdr:col>8</xdr:col>
      <xdr:colOff>79116</xdr:colOff>
      <xdr:row>70</xdr:row>
      <xdr:rowOff>115454</xdr:rowOff>
    </xdr:to>
    <xdr:sp macro="" textlink="">
      <xdr:nvSpPr>
        <xdr:cNvPr id="2" name="TextBox 1">
          <a:extLst>
            <a:ext uri="{FF2B5EF4-FFF2-40B4-BE49-F238E27FC236}">
              <a16:creationId xmlns:a16="http://schemas.microsoft.com/office/drawing/2014/main" id="{8C28D939-A7DD-7E43-A136-115E7070DF1C}"/>
            </a:ext>
          </a:extLst>
        </xdr:cNvPr>
        <xdr:cNvSpPr txBox="1"/>
      </xdr:nvSpPr>
      <xdr:spPr>
        <a:xfrm>
          <a:off x="13471041793" y="332894"/>
          <a:ext cx="6475296" cy="1392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114508</xdr:colOff>
      <xdr:row>121</xdr:row>
      <xdr:rowOff>119713</xdr:rowOff>
    </xdr:from>
    <xdr:to>
      <xdr:col>4</xdr:col>
      <xdr:colOff>515287</xdr:colOff>
      <xdr:row>138</xdr:row>
      <xdr:rowOff>114508</xdr:rowOff>
    </xdr:to>
    <xdr:sp macro="" textlink="">
      <xdr:nvSpPr>
        <xdr:cNvPr id="2" name="Left Brace 1">
          <a:extLst>
            <a:ext uri="{FF2B5EF4-FFF2-40B4-BE49-F238E27FC236}">
              <a16:creationId xmlns:a16="http://schemas.microsoft.com/office/drawing/2014/main" id="{2B403749-5161-EEBA-980B-37FE05159331}"/>
            </a:ext>
          </a:extLst>
        </xdr:cNvPr>
        <xdr:cNvSpPr/>
      </xdr:nvSpPr>
      <xdr:spPr>
        <a:xfrm>
          <a:off x="13555277336" y="21454672"/>
          <a:ext cx="400779" cy="3445656"/>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721289</xdr:colOff>
      <xdr:row>30</xdr:row>
      <xdr:rowOff>8617</xdr:rowOff>
    </xdr:from>
    <xdr:to>
      <xdr:col>6</xdr:col>
      <xdr:colOff>54250</xdr:colOff>
      <xdr:row>31</xdr:row>
      <xdr:rowOff>123902</xdr:rowOff>
    </xdr:to>
    <xdr:sp macro="" textlink="">
      <xdr:nvSpPr>
        <xdr:cNvPr id="2" name="Down Arrow 1">
          <a:extLst>
            <a:ext uri="{FF2B5EF4-FFF2-40B4-BE49-F238E27FC236}">
              <a16:creationId xmlns:a16="http://schemas.microsoft.com/office/drawing/2014/main" id="{1267D578-CA8F-9A43-A211-9763EF333E8C}"/>
            </a:ext>
          </a:extLst>
        </xdr:cNvPr>
        <xdr:cNvSpPr/>
      </xdr:nvSpPr>
      <xdr:spPr>
        <a:xfrm>
          <a:off x="13519984750" y="4707617"/>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734564</xdr:colOff>
      <xdr:row>34</xdr:row>
      <xdr:rowOff>66143</xdr:rowOff>
    </xdr:from>
    <xdr:to>
      <xdr:col>6</xdr:col>
      <xdr:colOff>67525</xdr:colOff>
      <xdr:row>35</xdr:row>
      <xdr:rowOff>181428</xdr:rowOff>
    </xdr:to>
    <xdr:sp macro="" textlink="">
      <xdr:nvSpPr>
        <xdr:cNvPr id="3" name="Down Arrow 2">
          <a:extLst>
            <a:ext uri="{FF2B5EF4-FFF2-40B4-BE49-F238E27FC236}">
              <a16:creationId xmlns:a16="http://schemas.microsoft.com/office/drawing/2014/main" id="{9AF56F03-EC7A-5443-B4B3-AAE4B750F672}"/>
            </a:ext>
          </a:extLst>
        </xdr:cNvPr>
        <xdr:cNvSpPr/>
      </xdr:nvSpPr>
      <xdr:spPr>
        <a:xfrm>
          <a:off x="13519971475" y="5603343"/>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730139</xdr:colOff>
      <xdr:row>38</xdr:row>
      <xdr:rowOff>48442</xdr:rowOff>
    </xdr:from>
    <xdr:to>
      <xdr:col>6</xdr:col>
      <xdr:colOff>63100</xdr:colOff>
      <xdr:row>39</xdr:row>
      <xdr:rowOff>163727</xdr:rowOff>
    </xdr:to>
    <xdr:sp macro="" textlink="">
      <xdr:nvSpPr>
        <xdr:cNvPr id="4" name="Down Arrow 3">
          <a:extLst>
            <a:ext uri="{FF2B5EF4-FFF2-40B4-BE49-F238E27FC236}">
              <a16:creationId xmlns:a16="http://schemas.microsoft.com/office/drawing/2014/main" id="{346D023D-7B6C-4440-B71F-DE53532B7B04}"/>
            </a:ext>
          </a:extLst>
        </xdr:cNvPr>
        <xdr:cNvSpPr/>
      </xdr:nvSpPr>
      <xdr:spPr>
        <a:xfrm>
          <a:off x="13519975900" y="6423842"/>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741329</xdr:colOff>
      <xdr:row>42</xdr:row>
      <xdr:rowOff>31658</xdr:rowOff>
    </xdr:from>
    <xdr:to>
      <xdr:col>6</xdr:col>
      <xdr:colOff>74290</xdr:colOff>
      <xdr:row>43</xdr:row>
      <xdr:rowOff>146943</xdr:rowOff>
    </xdr:to>
    <xdr:sp macro="" textlink="">
      <xdr:nvSpPr>
        <xdr:cNvPr id="5" name="Down Arrow 4">
          <a:extLst>
            <a:ext uri="{FF2B5EF4-FFF2-40B4-BE49-F238E27FC236}">
              <a16:creationId xmlns:a16="http://schemas.microsoft.com/office/drawing/2014/main" id="{16F27AEA-8C7C-E34C-BEDB-757639B32A72}"/>
            </a:ext>
          </a:extLst>
        </xdr:cNvPr>
        <xdr:cNvSpPr/>
      </xdr:nvSpPr>
      <xdr:spPr>
        <a:xfrm>
          <a:off x="13519964710" y="7245258"/>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10642</xdr:colOff>
      <xdr:row>33</xdr:row>
      <xdr:rowOff>14190</xdr:rowOff>
    </xdr:from>
    <xdr:to>
      <xdr:col>7</xdr:col>
      <xdr:colOff>677569</xdr:colOff>
      <xdr:row>35</xdr:row>
      <xdr:rowOff>102877</xdr:rowOff>
    </xdr:to>
    <xdr:cxnSp macro="">
      <xdr:nvCxnSpPr>
        <xdr:cNvPr id="6" name="Straight Arrow Connector 5">
          <a:extLst>
            <a:ext uri="{FF2B5EF4-FFF2-40B4-BE49-F238E27FC236}">
              <a16:creationId xmlns:a16="http://schemas.microsoft.com/office/drawing/2014/main" id="{4AF47AC5-0F7C-DF4E-9C27-8945241FCE79}"/>
            </a:ext>
          </a:extLst>
        </xdr:cNvPr>
        <xdr:cNvCxnSpPr/>
      </xdr:nvCxnSpPr>
      <xdr:spPr>
        <a:xfrm flipH="1">
          <a:off x="13518535931" y="5335490"/>
          <a:ext cx="666927" cy="507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823017</xdr:colOff>
      <xdr:row>35</xdr:row>
      <xdr:rowOff>95782</xdr:rowOff>
    </xdr:from>
    <xdr:to>
      <xdr:col>7</xdr:col>
      <xdr:colOff>674022</xdr:colOff>
      <xdr:row>36</xdr:row>
      <xdr:rowOff>191564</xdr:rowOff>
    </xdr:to>
    <xdr:cxnSp macro="">
      <xdr:nvCxnSpPr>
        <xdr:cNvPr id="7" name="Straight Arrow Connector 6">
          <a:extLst>
            <a:ext uri="{FF2B5EF4-FFF2-40B4-BE49-F238E27FC236}">
              <a16:creationId xmlns:a16="http://schemas.microsoft.com/office/drawing/2014/main" id="{893107E9-33D0-C840-B642-2AEAB1B1DAAE}"/>
            </a:ext>
          </a:extLst>
        </xdr:cNvPr>
        <xdr:cNvCxnSpPr/>
      </xdr:nvCxnSpPr>
      <xdr:spPr>
        <a:xfrm flipH="1" flipV="1">
          <a:off x="13518539478" y="5836182"/>
          <a:ext cx="676505" cy="31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141899</xdr:colOff>
      <xdr:row>36</xdr:row>
      <xdr:rowOff>53213</xdr:rowOff>
    </xdr:from>
    <xdr:to>
      <xdr:col>8</xdr:col>
      <xdr:colOff>145447</xdr:colOff>
      <xdr:row>41</xdr:row>
      <xdr:rowOff>0</xdr:rowOff>
    </xdr:to>
    <xdr:cxnSp macro="">
      <xdr:nvCxnSpPr>
        <xdr:cNvPr id="8" name="Straight Connector 7">
          <a:extLst>
            <a:ext uri="{FF2B5EF4-FFF2-40B4-BE49-F238E27FC236}">
              <a16:creationId xmlns:a16="http://schemas.microsoft.com/office/drawing/2014/main" id="{281E8457-90F5-8B48-B9F9-B969868E7A8F}"/>
            </a:ext>
          </a:extLst>
        </xdr:cNvPr>
        <xdr:cNvCxnSpPr/>
      </xdr:nvCxnSpPr>
      <xdr:spPr>
        <a:xfrm flipH="1">
          <a:off x="13518242553" y="6009513"/>
          <a:ext cx="3548" cy="9881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819469</xdr:colOff>
      <xdr:row>42</xdr:row>
      <xdr:rowOff>134805</xdr:rowOff>
    </xdr:from>
    <xdr:to>
      <xdr:col>7</xdr:col>
      <xdr:colOff>748519</xdr:colOff>
      <xdr:row>45</xdr:row>
      <xdr:rowOff>53213</xdr:rowOff>
    </xdr:to>
    <xdr:cxnSp macro="">
      <xdr:nvCxnSpPr>
        <xdr:cNvPr id="9" name="Straight Connector 8">
          <a:extLst>
            <a:ext uri="{FF2B5EF4-FFF2-40B4-BE49-F238E27FC236}">
              <a16:creationId xmlns:a16="http://schemas.microsoft.com/office/drawing/2014/main" id="{774CF605-E423-E240-8A2F-49A68E01FC4F}"/>
            </a:ext>
          </a:extLst>
        </xdr:cNvPr>
        <xdr:cNvCxnSpPr/>
      </xdr:nvCxnSpPr>
      <xdr:spPr>
        <a:xfrm>
          <a:off x="13518464981" y="7348405"/>
          <a:ext cx="754550" cy="5407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168642</xdr:colOff>
      <xdr:row>111</xdr:row>
      <xdr:rowOff>24615</xdr:rowOff>
    </xdr:from>
    <xdr:to>
      <xdr:col>7</xdr:col>
      <xdr:colOff>780076</xdr:colOff>
      <xdr:row>116</xdr:row>
      <xdr:rowOff>114710</xdr:rowOff>
    </xdr:to>
    <xdr:pic>
      <xdr:nvPicPr>
        <xdr:cNvPr id="10" name="Picture 9">
          <a:extLst>
            <a:ext uri="{FF2B5EF4-FFF2-40B4-BE49-F238E27FC236}">
              <a16:creationId xmlns:a16="http://schemas.microsoft.com/office/drawing/2014/main" id="{62BCDD66-A133-654B-8A06-0A2A39960FA2}"/>
            </a:ext>
          </a:extLst>
        </xdr:cNvPr>
        <xdr:cNvPicPr>
          <a:picLocks noChangeAspect="1"/>
        </xdr:cNvPicPr>
      </xdr:nvPicPr>
      <xdr:blipFill>
        <a:blip xmlns:r="http://schemas.openxmlformats.org/officeDocument/2006/relationships" r:embed="rId1"/>
        <a:stretch>
          <a:fillRect/>
        </a:stretch>
      </xdr:blipFill>
      <xdr:spPr>
        <a:xfrm>
          <a:off x="13551979859" y="23241034"/>
          <a:ext cx="1438983" cy="1114289"/>
        </a:xfrm>
        <a:prstGeom prst="rect">
          <a:avLst/>
        </a:prstGeom>
      </xdr:spPr>
    </xdr:pic>
    <xdr:clientData/>
  </xdr:twoCellAnchor>
  <xdr:twoCellAnchor>
    <xdr:from>
      <xdr:col>8</xdr:col>
      <xdr:colOff>28677</xdr:colOff>
      <xdr:row>110</xdr:row>
      <xdr:rowOff>32168</xdr:rowOff>
    </xdr:from>
    <xdr:to>
      <xdr:col>11</xdr:col>
      <xdr:colOff>778386</xdr:colOff>
      <xdr:row>117</xdr:row>
      <xdr:rowOff>184354</xdr:rowOff>
    </xdr:to>
    <xdr:sp macro="" textlink="">
      <xdr:nvSpPr>
        <xdr:cNvPr id="11" name="Rounded Rectangular Callout 10">
          <a:extLst>
            <a:ext uri="{FF2B5EF4-FFF2-40B4-BE49-F238E27FC236}">
              <a16:creationId xmlns:a16="http://schemas.microsoft.com/office/drawing/2014/main" id="{8542CB9E-2977-4B45-B0A9-CE8ADF32BB75}"/>
            </a:ext>
          </a:extLst>
        </xdr:cNvPr>
        <xdr:cNvSpPr/>
      </xdr:nvSpPr>
      <xdr:spPr>
        <a:xfrm>
          <a:off x="13548671356" y="23043749"/>
          <a:ext cx="3232354" cy="1586057"/>
        </a:xfrm>
        <a:prstGeom prst="wedgeRoundRectCallout">
          <a:avLst>
            <a:gd name="adj1" fmla="val 55056"/>
            <a:gd name="adj2" fmla="val -157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400"/>
            <a:t>דיבידנד הוא חלק מסוים מהרווח שהחברה מחלקת / מתחייבת לחלק למשקיעים (לבעלי המניות). </a:t>
          </a:r>
        </a:p>
        <a:p>
          <a:pPr algn="r" rtl="1"/>
          <a:r>
            <a:rPr lang="he-IL" sz="1400"/>
            <a:t>כשנוצר רווח: ההון העצמי גדל</a:t>
          </a:r>
        </a:p>
        <a:p>
          <a:pPr algn="r" rtl="1"/>
          <a:r>
            <a:rPr lang="he-IL" sz="1400"/>
            <a:t>כשהחברה מתחייבת לחלקו החוצה (הכרזת</a:t>
          </a:r>
          <a:r>
            <a:rPr lang="he-IL" sz="1400" baseline="0"/>
            <a:t> דיבידנד) ההון העצמי </a:t>
          </a:r>
          <a:r>
            <a:rPr lang="he-IL" sz="1400" u="sng" baseline="0"/>
            <a:t>קטן</a:t>
          </a:r>
          <a:endParaRPr lang="en-US" sz="1400" u="sng"/>
        </a:p>
      </xdr:txBody>
    </xdr:sp>
    <xdr:clientData/>
  </xdr:twoCellAnchor>
  <xdr:twoCellAnchor>
    <xdr:from>
      <xdr:col>4</xdr:col>
      <xdr:colOff>92075</xdr:colOff>
      <xdr:row>32</xdr:row>
      <xdr:rowOff>92075</xdr:rowOff>
    </xdr:from>
    <xdr:to>
      <xdr:col>4</xdr:col>
      <xdr:colOff>298450</xdr:colOff>
      <xdr:row>33</xdr:row>
      <xdr:rowOff>139700</xdr:rowOff>
    </xdr:to>
    <xdr:sp macro="" textlink="">
      <xdr:nvSpPr>
        <xdr:cNvPr id="12" name="Oval 11">
          <a:extLst>
            <a:ext uri="{FF2B5EF4-FFF2-40B4-BE49-F238E27FC236}">
              <a16:creationId xmlns:a16="http://schemas.microsoft.com/office/drawing/2014/main" id="{7DAE6634-E0BC-5D1C-E8D1-40EEE1614A23}"/>
            </a:ext>
          </a:extLst>
        </xdr:cNvPr>
        <xdr:cNvSpPr/>
      </xdr:nvSpPr>
      <xdr:spPr>
        <a:xfrm>
          <a:off x="13521391550" y="6683375"/>
          <a:ext cx="206375" cy="250825"/>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104775</xdr:colOff>
      <xdr:row>33</xdr:row>
      <xdr:rowOff>123825</xdr:rowOff>
    </xdr:from>
    <xdr:to>
      <xdr:col>4</xdr:col>
      <xdr:colOff>285750</xdr:colOff>
      <xdr:row>37</xdr:row>
      <xdr:rowOff>73025</xdr:rowOff>
    </xdr:to>
    <xdr:sp macro="" textlink="">
      <xdr:nvSpPr>
        <xdr:cNvPr id="13" name="Oval 12">
          <a:extLst>
            <a:ext uri="{FF2B5EF4-FFF2-40B4-BE49-F238E27FC236}">
              <a16:creationId xmlns:a16="http://schemas.microsoft.com/office/drawing/2014/main" id="{570D7DD3-545D-1ECA-E905-90715FF3BBBE}"/>
            </a:ext>
          </a:extLst>
        </xdr:cNvPr>
        <xdr:cNvSpPr/>
      </xdr:nvSpPr>
      <xdr:spPr>
        <a:xfrm>
          <a:off x="13521404250" y="6918325"/>
          <a:ext cx="180975" cy="787400"/>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707801</xdr:colOff>
      <xdr:row>32</xdr:row>
      <xdr:rowOff>73025</xdr:rowOff>
    </xdr:from>
    <xdr:to>
      <xdr:col>4</xdr:col>
      <xdr:colOff>180975</xdr:colOff>
      <xdr:row>35</xdr:row>
      <xdr:rowOff>123825</xdr:rowOff>
    </xdr:to>
    <xdr:sp macro="" textlink="">
      <xdr:nvSpPr>
        <xdr:cNvPr id="14" name="Freeform 13">
          <a:extLst>
            <a:ext uri="{FF2B5EF4-FFF2-40B4-BE49-F238E27FC236}">
              <a16:creationId xmlns:a16="http://schemas.microsoft.com/office/drawing/2014/main" id="{794095B3-6370-E95A-898A-75C5D973DBC5}"/>
            </a:ext>
          </a:extLst>
        </xdr:cNvPr>
        <xdr:cNvSpPr/>
      </xdr:nvSpPr>
      <xdr:spPr>
        <a:xfrm>
          <a:off x="13521509025" y="6664325"/>
          <a:ext cx="298674"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52120</xdr:colOff>
      <xdr:row>33</xdr:row>
      <xdr:rowOff>64947</xdr:rowOff>
    </xdr:from>
    <xdr:to>
      <xdr:col>4</xdr:col>
      <xdr:colOff>725220</xdr:colOff>
      <xdr:row>34</xdr:row>
      <xdr:rowOff>42398</xdr:rowOff>
    </xdr:to>
    <xdr:sp macro="" textlink="">
      <xdr:nvSpPr>
        <xdr:cNvPr id="15" name="Freeform 14">
          <a:extLst>
            <a:ext uri="{FF2B5EF4-FFF2-40B4-BE49-F238E27FC236}">
              <a16:creationId xmlns:a16="http://schemas.microsoft.com/office/drawing/2014/main" id="{4D217AF0-ED3E-9390-06E8-79D019F286C0}"/>
            </a:ext>
          </a:extLst>
        </xdr:cNvPr>
        <xdr:cNvSpPr/>
      </xdr:nvSpPr>
      <xdr:spPr>
        <a:xfrm rot="13552157">
          <a:off x="13521204654" y="6619573"/>
          <a:ext cx="193351"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781050</xdr:colOff>
      <xdr:row>34</xdr:row>
      <xdr:rowOff>23237</xdr:rowOff>
    </xdr:from>
    <xdr:to>
      <xdr:col>4</xdr:col>
      <xdr:colOff>131278</xdr:colOff>
      <xdr:row>35</xdr:row>
      <xdr:rowOff>142875</xdr:rowOff>
    </xdr:to>
    <xdr:cxnSp macro="">
      <xdr:nvCxnSpPr>
        <xdr:cNvPr id="17" name="Straight Connector 16">
          <a:extLst>
            <a:ext uri="{FF2B5EF4-FFF2-40B4-BE49-F238E27FC236}">
              <a16:creationId xmlns:a16="http://schemas.microsoft.com/office/drawing/2014/main" id="{9B5481FE-2478-2B0B-5F71-768DE643409F}"/>
            </a:ext>
          </a:extLst>
        </xdr:cNvPr>
        <xdr:cNvCxnSpPr>
          <a:stCxn id="13" idx="7"/>
        </xdr:cNvCxnSpPr>
      </xdr:nvCxnSpPr>
      <xdr:spPr>
        <a:xfrm>
          <a:off x="13521558722" y="7033637"/>
          <a:ext cx="175728" cy="322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259247</xdr:colOff>
      <xdr:row>34</xdr:row>
      <xdr:rowOff>23237</xdr:rowOff>
    </xdr:from>
    <xdr:to>
      <xdr:col>4</xdr:col>
      <xdr:colOff>434975</xdr:colOff>
      <xdr:row>35</xdr:row>
      <xdr:rowOff>152400</xdr:rowOff>
    </xdr:to>
    <xdr:cxnSp macro="">
      <xdr:nvCxnSpPr>
        <xdr:cNvPr id="18" name="Straight Connector 17">
          <a:extLst>
            <a:ext uri="{FF2B5EF4-FFF2-40B4-BE49-F238E27FC236}">
              <a16:creationId xmlns:a16="http://schemas.microsoft.com/office/drawing/2014/main" id="{08F654B5-A4F2-E963-6499-BFE8A7788333}"/>
            </a:ext>
          </a:extLst>
        </xdr:cNvPr>
        <xdr:cNvCxnSpPr>
          <a:stCxn id="13" idx="1"/>
        </xdr:cNvCxnSpPr>
      </xdr:nvCxnSpPr>
      <xdr:spPr>
        <a:xfrm flipH="1">
          <a:off x="13521255025" y="7033637"/>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281472</xdr:colOff>
      <xdr:row>36</xdr:row>
      <xdr:rowOff>13712</xdr:rowOff>
    </xdr:from>
    <xdr:to>
      <xdr:col>4</xdr:col>
      <xdr:colOff>457200</xdr:colOff>
      <xdr:row>37</xdr:row>
      <xdr:rowOff>142875</xdr:rowOff>
    </xdr:to>
    <xdr:cxnSp macro="">
      <xdr:nvCxnSpPr>
        <xdr:cNvPr id="20" name="Straight Connector 19">
          <a:extLst>
            <a:ext uri="{FF2B5EF4-FFF2-40B4-BE49-F238E27FC236}">
              <a16:creationId xmlns:a16="http://schemas.microsoft.com/office/drawing/2014/main" id="{E596AB13-9D1B-D9DA-B390-9145344C428D}"/>
            </a:ext>
          </a:extLst>
        </xdr:cNvPr>
        <xdr:cNvCxnSpPr/>
      </xdr:nvCxnSpPr>
      <xdr:spPr>
        <a:xfrm flipH="1">
          <a:off x="13521232800" y="7443212"/>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815975</xdr:colOff>
      <xdr:row>36</xdr:row>
      <xdr:rowOff>38100</xdr:rowOff>
    </xdr:from>
    <xdr:to>
      <xdr:col>4</xdr:col>
      <xdr:colOff>101600</xdr:colOff>
      <xdr:row>37</xdr:row>
      <xdr:rowOff>123825</xdr:rowOff>
    </xdr:to>
    <xdr:cxnSp macro="">
      <xdr:nvCxnSpPr>
        <xdr:cNvPr id="21" name="Straight Connector 20">
          <a:extLst>
            <a:ext uri="{FF2B5EF4-FFF2-40B4-BE49-F238E27FC236}">
              <a16:creationId xmlns:a16="http://schemas.microsoft.com/office/drawing/2014/main" id="{25E4EECE-0183-DA13-F9A8-E47112507BCD}"/>
            </a:ext>
          </a:extLst>
        </xdr:cNvPr>
        <xdr:cNvCxnSpPr/>
      </xdr:nvCxnSpPr>
      <xdr:spPr>
        <a:xfrm>
          <a:off x="13521588400" y="7467600"/>
          <a:ext cx="111125" cy="2889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40968</xdr:colOff>
      <xdr:row>144</xdr:row>
      <xdr:rowOff>172064</xdr:rowOff>
    </xdr:from>
    <xdr:to>
      <xdr:col>6</xdr:col>
      <xdr:colOff>798871</xdr:colOff>
      <xdr:row>148</xdr:row>
      <xdr:rowOff>57355</xdr:rowOff>
    </xdr:to>
    <xdr:cxnSp macro="">
      <xdr:nvCxnSpPr>
        <xdr:cNvPr id="24" name="Straight Arrow Connector 23">
          <a:extLst>
            <a:ext uri="{FF2B5EF4-FFF2-40B4-BE49-F238E27FC236}">
              <a16:creationId xmlns:a16="http://schemas.microsoft.com/office/drawing/2014/main" id="{248F976F-936E-4E5C-7C2A-2E8FB75C576E}"/>
            </a:ext>
          </a:extLst>
        </xdr:cNvPr>
        <xdr:cNvCxnSpPr/>
      </xdr:nvCxnSpPr>
      <xdr:spPr>
        <a:xfrm>
          <a:off x="13552788613" y="28894548"/>
          <a:ext cx="757903" cy="716936"/>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91402</xdr:colOff>
      <xdr:row>12</xdr:row>
      <xdr:rowOff>24340</xdr:rowOff>
    </xdr:from>
    <xdr:to>
      <xdr:col>3</xdr:col>
      <xdr:colOff>741603</xdr:colOff>
      <xdr:row>15</xdr:row>
      <xdr:rowOff>186459</xdr:rowOff>
    </xdr:to>
    <xdr:pic>
      <xdr:nvPicPr>
        <xdr:cNvPr id="2" name="Picture 1">
          <a:extLst>
            <a:ext uri="{FF2B5EF4-FFF2-40B4-BE49-F238E27FC236}">
              <a16:creationId xmlns:a16="http://schemas.microsoft.com/office/drawing/2014/main" id="{E5550A1D-B58D-820D-A0FF-91EC4CFB8DC1}"/>
            </a:ext>
          </a:extLst>
        </xdr:cNvPr>
        <xdr:cNvPicPr>
          <a:picLocks noChangeAspect="1"/>
        </xdr:cNvPicPr>
      </xdr:nvPicPr>
      <xdr:blipFill>
        <a:blip xmlns:r="http://schemas.openxmlformats.org/officeDocument/2006/relationships" r:embed="rId1"/>
        <a:stretch>
          <a:fillRect/>
        </a:stretch>
      </xdr:blipFill>
      <xdr:spPr>
        <a:xfrm>
          <a:off x="13553294912" y="2463317"/>
          <a:ext cx="650201" cy="782687"/>
        </a:xfrm>
        <a:prstGeom prst="rect">
          <a:avLst/>
        </a:prstGeom>
      </xdr:spPr>
    </xdr:pic>
    <xdr:clientData/>
  </xdr:twoCellAnchor>
  <xdr:twoCellAnchor>
    <xdr:from>
      <xdr:col>2</xdr:col>
      <xdr:colOff>800420</xdr:colOff>
      <xdr:row>144</xdr:row>
      <xdr:rowOff>17787</xdr:rowOff>
    </xdr:from>
    <xdr:to>
      <xdr:col>3</xdr:col>
      <xdr:colOff>145855</xdr:colOff>
      <xdr:row>144</xdr:row>
      <xdr:rowOff>163641</xdr:rowOff>
    </xdr:to>
    <xdr:sp macro="" textlink="">
      <xdr:nvSpPr>
        <xdr:cNvPr id="3" name="Rectangle 2">
          <a:extLst>
            <a:ext uri="{FF2B5EF4-FFF2-40B4-BE49-F238E27FC236}">
              <a16:creationId xmlns:a16="http://schemas.microsoft.com/office/drawing/2014/main" id="{08B6A37A-5017-CD17-E873-626CB6B47154}"/>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39132</xdr:colOff>
      <xdr:row>144</xdr:row>
      <xdr:rowOff>28459</xdr:rowOff>
    </xdr:from>
    <xdr:to>
      <xdr:col>5</xdr:col>
      <xdr:colOff>209889</xdr:colOff>
      <xdr:row>144</xdr:row>
      <xdr:rowOff>174313</xdr:rowOff>
    </xdr:to>
    <xdr:sp macro="" textlink="">
      <xdr:nvSpPr>
        <xdr:cNvPr id="4" name="Rectangle 3">
          <a:extLst>
            <a:ext uri="{FF2B5EF4-FFF2-40B4-BE49-F238E27FC236}">
              <a16:creationId xmlns:a16="http://schemas.microsoft.com/office/drawing/2014/main" id="{44D359F4-E8FB-402D-857A-02A028B46A50}"/>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5</xdr:col>
      <xdr:colOff>35575</xdr:colOff>
      <xdr:row>143</xdr:row>
      <xdr:rowOff>21343</xdr:rowOff>
    </xdr:from>
    <xdr:to>
      <xdr:col>5</xdr:col>
      <xdr:colOff>206332</xdr:colOff>
      <xdr:row>143</xdr:row>
      <xdr:rowOff>167197</xdr:rowOff>
    </xdr:to>
    <xdr:sp macro="" textlink="">
      <xdr:nvSpPr>
        <xdr:cNvPr id="5" name="Rectangle 4">
          <a:extLst>
            <a:ext uri="{FF2B5EF4-FFF2-40B4-BE49-F238E27FC236}">
              <a16:creationId xmlns:a16="http://schemas.microsoft.com/office/drawing/2014/main" id="{9AF7F1A9-1792-9F9F-E1EA-813B622C6FCC}"/>
            </a:ext>
          </a:extLst>
        </xdr:cNvPr>
        <xdr:cNvSpPr/>
      </xdr:nvSpPr>
      <xdr:spPr>
        <a:xfrm>
          <a:off x="13517744816" y="28406021"/>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800420</xdr:colOff>
      <xdr:row>148</xdr:row>
      <xdr:rowOff>17787</xdr:rowOff>
    </xdr:from>
    <xdr:to>
      <xdr:col>3</xdr:col>
      <xdr:colOff>145855</xdr:colOff>
      <xdr:row>148</xdr:row>
      <xdr:rowOff>163641</xdr:rowOff>
    </xdr:to>
    <xdr:sp macro="" textlink="">
      <xdr:nvSpPr>
        <xdr:cNvPr id="6" name="Rectangle 5">
          <a:extLst>
            <a:ext uri="{FF2B5EF4-FFF2-40B4-BE49-F238E27FC236}">
              <a16:creationId xmlns:a16="http://schemas.microsoft.com/office/drawing/2014/main" id="{67F5B913-666F-2E48-8518-1811A3990312}"/>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5</xdr:col>
      <xdr:colOff>39132</xdr:colOff>
      <xdr:row>148</xdr:row>
      <xdr:rowOff>28459</xdr:rowOff>
    </xdr:from>
    <xdr:to>
      <xdr:col>5</xdr:col>
      <xdr:colOff>209889</xdr:colOff>
      <xdr:row>148</xdr:row>
      <xdr:rowOff>174313</xdr:rowOff>
    </xdr:to>
    <xdr:sp macro="" textlink="">
      <xdr:nvSpPr>
        <xdr:cNvPr id="7" name="Rectangle 6">
          <a:extLst>
            <a:ext uri="{FF2B5EF4-FFF2-40B4-BE49-F238E27FC236}">
              <a16:creationId xmlns:a16="http://schemas.microsoft.com/office/drawing/2014/main" id="{ED64338E-FA60-394D-AF3E-A527065C2319}"/>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5</a:t>
          </a:r>
          <a:endParaRPr lang="en-US" sz="1100"/>
        </a:p>
      </xdr:txBody>
    </xdr:sp>
    <xdr:clientData/>
  </xdr:twoCellAnchor>
  <xdr:twoCellAnchor>
    <xdr:from>
      <xdr:col>5</xdr:col>
      <xdr:colOff>46247</xdr:colOff>
      <xdr:row>147</xdr:row>
      <xdr:rowOff>14229</xdr:rowOff>
    </xdr:from>
    <xdr:to>
      <xdr:col>5</xdr:col>
      <xdr:colOff>217004</xdr:colOff>
      <xdr:row>147</xdr:row>
      <xdr:rowOff>160083</xdr:rowOff>
    </xdr:to>
    <xdr:sp macro="" textlink="">
      <xdr:nvSpPr>
        <xdr:cNvPr id="8" name="Rectangle 7">
          <a:extLst>
            <a:ext uri="{FF2B5EF4-FFF2-40B4-BE49-F238E27FC236}">
              <a16:creationId xmlns:a16="http://schemas.microsoft.com/office/drawing/2014/main" id="{BF0B0563-2B84-D1A4-071D-5FBC7323960B}"/>
            </a:ext>
          </a:extLst>
        </xdr:cNvPr>
        <xdr:cNvSpPr/>
      </xdr:nvSpPr>
      <xdr:spPr>
        <a:xfrm>
          <a:off x="13517734144" y="29209999"/>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6</a:t>
          </a:r>
          <a:endParaRPr lang="en-US" sz="1100"/>
        </a:p>
      </xdr:txBody>
    </xdr:sp>
    <xdr:clientData/>
  </xdr:twoCellAnchor>
  <xdr:twoCellAnchor>
    <xdr:from>
      <xdr:col>5</xdr:col>
      <xdr:colOff>7115</xdr:colOff>
      <xdr:row>152</xdr:row>
      <xdr:rowOff>42689</xdr:rowOff>
    </xdr:from>
    <xdr:to>
      <xdr:col>5</xdr:col>
      <xdr:colOff>177872</xdr:colOff>
      <xdr:row>152</xdr:row>
      <xdr:rowOff>188543</xdr:rowOff>
    </xdr:to>
    <xdr:sp macro="" textlink="">
      <xdr:nvSpPr>
        <xdr:cNvPr id="9" name="Rectangle 8">
          <a:extLst>
            <a:ext uri="{FF2B5EF4-FFF2-40B4-BE49-F238E27FC236}">
              <a16:creationId xmlns:a16="http://schemas.microsoft.com/office/drawing/2014/main" id="{0398E4D5-C3F7-0F4E-BDCB-B560517B9AF0}"/>
            </a:ext>
          </a:extLst>
        </xdr:cNvPr>
        <xdr:cNvSpPr/>
      </xdr:nvSpPr>
      <xdr:spPr>
        <a:xfrm>
          <a:off x="13517773276" y="30252325"/>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9</a:t>
          </a:r>
        </a:p>
      </xdr:txBody>
    </xdr:sp>
    <xdr:clientData/>
  </xdr:twoCellAnchor>
  <xdr:twoCellAnchor>
    <xdr:from>
      <xdr:col>5</xdr:col>
      <xdr:colOff>7115</xdr:colOff>
      <xdr:row>153</xdr:row>
      <xdr:rowOff>42689</xdr:rowOff>
    </xdr:from>
    <xdr:to>
      <xdr:col>5</xdr:col>
      <xdr:colOff>177872</xdr:colOff>
      <xdr:row>153</xdr:row>
      <xdr:rowOff>188543</xdr:rowOff>
    </xdr:to>
    <xdr:sp macro="" textlink="">
      <xdr:nvSpPr>
        <xdr:cNvPr id="10" name="Rectangle 9">
          <a:extLst>
            <a:ext uri="{FF2B5EF4-FFF2-40B4-BE49-F238E27FC236}">
              <a16:creationId xmlns:a16="http://schemas.microsoft.com/office/drawing/2014/main" id="{E64118A1-8D7B-B243-8612-F3700683D01A}"/>
            </a:ext>
          </a:extLst>
        </xdr:cNvPr>
        <xdr:cNvSpPr/>
      </xdr:nvSpPr>
      <xdr:spPr>
        <a:xfrm>
          <a:off x="13517773276" y="3045509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8</a:t>
          </a:r>
        </a:p>
      </xdr:txBody>
    </xdr:sp>
    <xdr:clientData/>
  </xdr:twoCellAnchor>
  <xdr:twoCellAnchor>
    <xdr:from>
      <xdr:col>3</xdr:col>
      <xdr:colOff>3558</xdr:colOff>
      <xdr:row>153</xdr:row>
      <xdr:rowOff>24901</xdr:rowOff>
    </xdr:from>
    <xdr:to>
      <xdr:col>3</xdr:col>
      <xdr:colOff>174315</xdr:colOff>
      <xdr:row>153</xdr:row>
      <xdr:rowOff>170755</xdr:rowOff>
    </xdr:to>
    <xdr:sp macro="" textlink="">
      <xdr:nvSpPr>
        <xdr:cNvPr id="11" name="Rectangle 10">
          <a:extLst>
            <a:ext uri="{FF2B5EF4-FFF2-40B4-BE49-F238E27FC236}">
              <a16:creationId xmlns:a16="http://schemas.microsoft.com/office/drawing/2014/main" id="{719AED63-0C8F-8397-FE96-7FD3D645F655}"/>
            </a:ext>
          </a:extLst>
        </xdr:cNvPr>
        <xdr:cNvSpPr/>
      </xdr:nvSpPr>
      <xdr:spPr>
        <a:xfrm>
          <a:off x="13519427478" y="304373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7</a:t>
          </a:r>
        </a:p>
      </xdr:txBody>
    </xdr:sp>
    <xdr:clientData/>
  </xdr:twoCellAnchor>
  <xdr:twoCellAnchor editAs="oneCell">
    <xdr:from>
      <xdr:col>9</xdr:col>
      <xdr:colOff>220840</xdr:colOff>
      <xdr:row>144</xdr:row>
      <xdr:rowOff>104824</xdr:rowOff>
    </xdr:from>
    <xdr:to>
      <xdr:col>10</xdr:col>
      <xdr:colOff>88498</xdr:colOff>
      <xdr:row>148</xdr:row>
      <xdr:rowOff>80634</xdr:rowOff>
    </xdr:to>
    <xdr:pic>
      <xdr:nvPicPr>
        <xdr:cNvPr id="12" name="Picture 11">
          <a:extLst>
            <a:ext uri="{FF2B5EF4-FFF2-40B4-BE49-F238E27FC236}">
              <a16:creationId xmlns:a16="http://schemas.microsoft.com/office/drawing/2014/main" id="{D6E61FA1-58EC-16BE-5762-F73278496755}"/>
            </a:ext>
          </a:extLst>
        </xdr:cNvPr>
        <xdr:cNvPicPr>
          <a:picLocks noChangeAspect="1"/>
        </xdr:cNvPicPr>
      </xdr:nvPicPr>
      <xdr:blipFill>
        <a:blip xmlns:r="http://schemas.openxmlformats.org/officeDocument/2006/relationships" r:embed="rId2"/>
        <a:stretch>
          <a:fillRect/>
        </a:stretch>
      </xdr:blipFill>
      <xdr:spPr>
        <a:xfrm>
          <a:off x="13533152455" y="28552824"/>
          <a:ext cx="694166" cy="782159"/>
        </a:xfrm>
        <a:prstGeom prst="rect">
          <a:avLst/>
        </a:prstGeom>
      </xdr:spPr>
    </xdr:pic>
    <xdr:clientData/>
  </xdr:twoCellAnchor>
  <xdr:twoCellAnchor>
    <xdr:from>
      <xdr:col>6</xdr:col>
      <xdr:colOff>286255</xdr:colOff>
      <xdr:row>145</xdr:row>
      <xdr:rowOff>48380</xdr:rowOff>
    </xdr:from>
    <xdr:to>
      <xdr:col>9</xdr:col>
      <xdr:colOff>141113</xdr:colOff>
      <xdr:row>160</xdr:row>
      <xdr:rowOff>153206</xdr:rowOff>
    </xdr:to>
    <xdr:sp macro="" textlink="">
      <xdr:nvSpPr>
        <xdr:cNvPr id="13" name="Rectangular Callout 12">
          <a:extLst>
            <a:ext uri="{FF2B5EF4-FFF2-40B4-BE49-F238E27FC236}">
              <a16:creationId xmlns:a16="http://schemas.microsoft.com/office/drawing/2014/main" id="{A0280778-1265-4735-E75D-1A257256409C}"/>
            </a:ext>
          </a:extLst>
        </xdr:cNvPr>
        <xdr:cNvSpPr/>
      </xdr:nvSpPr>
      <xdr:spPr>
        <a:xfrm>
          <a:off x="13533926348" y="28697967"/>
          <a:ext cx="2334381" cy="3128636"/>
        </a:xfrm>
        <a:prstGeom prst="wedgeRectCallout">
          <a:avLst>
            <a:gd name="adj1" fmla="val -58762"/>
            <a:gd name="adj2" fmla="val -3829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שלבי העבודה שיושמו:</a:t>
          </a:r>
        </a:p>
        <a:p>
          <a:pPr algn="r" rtl="1"/>
          <a:r>
            <a:rPr lang="he-IL" sz="1100"/>
            <a:t>שלב</a:t>
          </a:r>
          <a:r>
            <a:rPr lang="he-IL" sz="1100" baseline="0"/>
            <a:t> 1 (שחזרנו עליו בשלבים 4, 7): מתבססים על יתרת הפתיחה (לתום שנה קודמת) של הלקוחות, מוסיפים לה מכירות באשראי, ומנכים ממנה גביה וזיכויים. כך מגיעים ליתרת הלקוחות ברוטו לתום השנה.</a:t>
          </a:r>
        </a:p>
        <a:p>
          <a:pPr algn="r" rtl="1"/>
          <a:endParaRPr lang="he-IL" sz="1100" baseline="0"/>
        </a:p>
        <a:p>
          <a:pPr algn="r" rtl="1"/>
          <a:r>
            <a:rPr lang="he-IL" sz="1100" baseline="0"/>
            <a:t>שלב 2 (שחזרנו עליו בשלבים 5, 8):</a:t>
          </a:r>
        </a:p>
        <a:p>
          <a:pPr algn="r" rtl="1"/>
          <a:r>
            <a:rPr lang="he-IL" sz="1100" baseline="0"/>
            <a:t>יתרת ההלח״מ לתום כל שנה היא המכפלה הפשוטה בין יתרת הלקוחות ברוטו לאותו מועד לבין שיעור ההלח״מ (באחוזים). </a:t>
          </a:r>
        </a:p>
        <a:p>
          <a:pPr algn="r" rtl="1"/>
          <a:endParaRPr lang="he-IL" sz="1100" baseline="0"/>
        </a:p>
        <a:p>
          <a:pPr algn="r" rtl="1"/>
          <a:r>
            <a:rPr lang="he-IL" sz="1100" baseline="0"/>
            <a:t>שלב 3 (שחזרנו עליו בשלבים 6, 9):</a:t>
          </a:r>
        </a:p>
        <a:p>
          <a:pPr algn="r" rtl="1"/>
          <a:r>
            <a:rPr lang="he-IL" sz="1100" baseline="0"/>
            <a:t>הוצאות ההלח״מ הן ההפרש בין יתרת ההלח״מ לתום שנה, לבין יתרת ההלח״מ לתום שנה קודמת</a:t>
          </a:r>
          <a:endParaRPr lang="en-US" sz="1100"/>
        </a:p>
      </xdr:txBody>
    </xdr:sp>
    <xdr:clientData/>
  </xdr:twoCellAnchor>
  <xdr:twoCellAnchor>
    <xdr:from>
      <xdr:col>9</xdr:col>
      <xdr:colOff>483810</xdr:colOff>
      <xdr:row>148</xdr:row>
      <xdr:rowOff>177397</xdr:rowOff>
    </xdr:from>
    <xdr:to>
      <xdr:col>10</xdr:col>
      <xdr:colOff>649112</xdr:colOff>
      <xdr:row>151</xdr:row>
      <xdr:rowOff>1</xdr:rowOff>
    </xdr:to>
    <xdr:sp macro="" textlink="">
      <xdr:nvSpPr>
        <xdr:cNvPr id="14" name="Rectangular Callout 13">
          <a:extLst>
            <a:ext uri="{FF2B5EF4-FFF2-40B4-BE49-F238E27FC236}">
              <a16:creationId xmlns:a16="http://schemas.microsoft.com/office/drawing/2014/main" id="{3E6D767E-8753-450B-B0FE-05D13A23B62F}"/>
            </a:ext>
          </a:extLst>
        </xdr:cNvPr>
        <xdr:cNvSpPr/>
      </xdr:nvSpPr>
      <xdr:spPr>
        <a:xfrm>
          <a:off x="13532591841" y="29431746"/>
          <a:ext cx="991810" cy="427366"/>
        </a:xfrm>
        <a:prstGeom prst="wedgeRectCallout">
          <a:avLst>
            <a:gd name="adj1" fmla="val 34681"/>
            <a:gd name="adj2" fmla="val -73393"/>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וכל זה כשאין חובות אבודים</a:t>
          </a:r>
          <a:endParaRPr lang="en-US" sz="1100"/>
        </a:p>
      </xdr:txBody>
    </xdr:sp>
    <xdr:clientData/>
  </xdr:twoCellAnchor>
  <xdr:twoCellAnchor editAs="oneCell">
    <xdr:from>
      <xdr:col>6</xdr:col>
      <xdr:colOff>214192</xdr:colOff>
      <xdr:row>189</xdr:row>
      <xdr:rowOff>153600</xdr:rowOff>
    </xdr:from>
    <xdr:to>
      <xdr:col>7</xdr:col>
      <xdr:colOff>219384</xdr:colOff>
      <xdr:row>193</xdr:row>
      <xdr:rowOff>149853</xdr:rowOff>
    </xdr:to>
    <xdr:pic>
      <xdr:nvPicPr>
        <xdr:cNvPr id="15" name="Picture 14">
          <a:extLst>
            <a:ext uri="{FF2B5EF4-FFF2-40B4-BE49-F238E27FC236}">
              <a16:creationId xmlns:a16="http://schemas.microsoft.com/office/drawing/2014/main" id="{1B68358C-D929-EC7D-0283-C8CD79BF399E}"/>
            </a:ext>
          </a:extLst>
        </xdr:cNvPr>
        <xdr:cNvPicPr>
          <a:picLocks noChangeAspect="1"/>
        </xdr:cNvPicPr>
      </xdr:nvPicPr>
      <xdr:blipFill>
        <a:blip xmlns:r="http://schemas.openxmlformats.org/officeDocument/2006/relationships" r:embed="rId3"/>
        <a:stretch>
          <a:fillRect/>
        </a:stretch>
      </xdr:blipFill>
      <xdr:spPr>
        <a:xfrm>
          <a:off x="13497520439" y="37789057"/>
          <a:ext cx="829381" cy="805457"/>
        </a:xfrm>
        <a:prstGeom prst="rect">
          <a:avLst/>
        </a:prstGeom>
      </xdr:spPr>
    </xdr:pic>
    <xdr:clientData/>
  </xdr:twoCellAnchor>
  <xdr:twoCellAnchor editAs="oneCell">
    <xdr:from>
      <xdr:col>8</xdr:col>
      <xdr:colOff>760501</xdr:colOff>
      <xdr:row>183</xdr:row>
      <xdr:rowOff>127375</xdr:rowOff>
    </xdr:from>
    <xdr:to>
      <xdr:col>9</xdr:col>
      <xdr:colOff>628159</xdr:colOff>
      <xdr:row>187</xdr:row>
      <xdr:rowOff>103186</xdr:rowOff>
    </xdr:to>
    <xdr:pic>
      <xdr:nvPicPr>
        <xdr:cNvPr id="16" name="Picture 15">
          <a:extLst>
            <a:ext uri="{FF2B5EF4-FFF2-40B4-BE49-F238E27FC236}">
              <a16:creationId xmlns:a16="http://schemas.microsoft.com/office/drawing/2014/main" id="{46E52398-77EC-8245-8719-650F328ED749}"/>
            </a:ext>
          </a:extLst>
        </xdr:cNvPr>
        <xdr:cNvPicPr>
          <a:picLocks noChangeAspect="1"/>
        </xdr:cNvPicPr>
      </xdr:nvPicPr>
      <xdr:blipFill>
        <a:blip xmlns:r="http://schemas.openxmlformats.org/officeDocument/2006/relationships" r:embed="rId2"/>
        <a:stretch>
          <a:fillRect/>
        </a:stretch>
      </xdr:blipFill>
      <xdr:spPr>
        <a:xfrm>
          <a:off x="13495463287" y="36549027"/>
          <a:ext cx="691847" cy="785014"/>
        </a:xfrm>
        <a:prstGeom prst="rect">
          <a:avLst/>
        </a:prstGeom>
      </xdr:spPr>
    </xdr:pic>
    <xdr:clientData/>
  </xdr:twoCellAnchor>
  <xdr:twoCellAnchor>
    <xdr:from>
      <xdr:col>7</xdr:col>
      <xdr:colOff>569440</xdr:colOff>
      <xdr:row>183</xdr:row>
      <xdr:rowOff>112388</xdr:rowOff>
    </xdr:from>
    <xdr:to>
      <xdr:col>8</xdr:col>
      <xdr:colOff>685576</xdr:colOff>
      <xdr:row>187</xdr:row>
      <xdr:rowOff>127374</xdr:rowOff>
    </xdr:to>
    <xdr:sp macro="" textlink="">
      <xdr:nvSpPr>
        <xdr:cNvPr id="17" name="Rectangular Callout 16">
          <a:extLst>
            <a:ext uri="{FF2B5EF4-FFF2-40B4-BE49-F238E27FC236}">
              <a16:creationId xmlns:a16="http://schemas.microsoft.com/office/drawing/2014/main" id="{595DCCB8-D62D-4288-3761-81A2BD399734}"/>
            </a:ext>
          </a:extLst>
        </xdr:cNvPr>
        <xdr:cNvSpPr/>
      </xdr:nvSpPr>
      <xdr:spPr>
        <a:xfrm>
          <a:off x="13496230059" y="36534040"/>
          <a:ext cx="940324" cy="824189"/>
        </a:xfrm>
        <a:prstGeom prst="wedgeRectCallout">
          <a:avLst>
            <a:gd name="adj1" fmla="val -68243"/>
            <a:gd name="adj2" fmla="val 8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מה זה חובבוד</a:t>
          </a:r>
          <a:endParaRPr lang="en-US" sz="1100"/>
        </a:p>
      </xdr:txBody>
    </xdr:sp>
    <xdr:clientData/>
  </xdr:twoCellAnchor>
  <xdr:twoCellAnchor>
    <xdr:from>
      <xdr:col>7</xdr:col>
      <xdr:colOff>475783</xdr:colOff>
      <xdr:row>189</xdr:row>
      <xdr:rowOff>67432</xdr:rowOff>
    </xdr:from>
    <xdr:to>
      <xdr:col>10</xdr:col>
      <xdr:colOff>753010</xdr:colOff>
      <xdr:row>196</xdr:row>
      <xdr:rowOff>202301</xdr:rowOff>
    </xdr:to>
    <xdr:sp macro="" textlink="">
      <xdr:nvSpPr>
        <xdr:cNvPr id="18" name="Rectangular Callout 17">
          <a:extLst>
            <a:ext uri="{FF2B5EF4-FFF2-40B4-BE49-F238E27FC236}">
              <a16:creationId xmlns:a16="http://schemas.microsoft.com/office/drawing/2014/main" id="{B89A0598-3115-BF24-C42C-1A33FCF817A9}"/>
            </a:ext>
          </a:extLst>
        </xdr:cNvPr>
        <xdr:cNvSpPr/>
      </xdr:nvSpPr>
      <xdr:spPr>
        <a:xfrm>
          <a:off x="13494514247" y="37702889"/>
          <a:ext cx="2749793" cy="1550975"/>
        </a:xfrm>
        <a:prstGeom prst="wedgeRectCallout">
          <a:avLst>
            <a:gd name="adj1" fmla="val 59239"/>
            <a:gd name="adj2" fmla="val -205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חוב אבוד: חוב שהיה בעייתי (הלח״מ), הפעלתי לגביו את כל מאמצי הגבייה ונכשלתי. כלומר - זה לא סתם חוב ש״צפוי״ להכשל (הלח״מ) אלא חוב שנכשל ואבד בפועל. </a:t>
          </a:r>
        </a:p>
        <a:p>
          <a:pPr algn="ctr" rtl="1"/>
          <a:r>
            <a:rPr lang="he-IL" sz="1100"/>
            <a:t>הדרך לטפל בו היא ״למחוק אותו״: </a:t>
          </a:r>
        </a:p>
        <a:p>
          <a:pPr algn="ctr" rtl="1"/>
          <a:r>
            <a:rPr lang="he-IL" sz="1100" b="1"/>
            <a:t>להקטין גם את הלקוחות ברוטו וגם את ההלח״מ בסכום החוב האבוד</a:t>
          </a:r>
          <a:endParaRPr lang="en-US" sz="1100" b="1"/>
        </a:p>
      </xdr:txBody>
    </xdr:sp>
    <xdr:clientData/>
  </xdr:twoCellAnchor>
  <xdr:twoCellAnchor>
    <xdr:from>
      <xdr:col>3</xdr:col>
      <xdr:colOff>756757</xdr:colOff>
      <xdr:row>212</xdr:row>
      <xdr:rowOff>93657</xdr:rowOff>
    </xdr:from>
    <xdr:to>
      <xdr:col>4</xdr:col>
      <xdr:colOff>816698</xdr:colOff>
      <xdr:row>212</xdr:row>
      <xdr:rowOff>101150</xdr:rowOff>
    </xdr:to>
    <xdr:cxnSp macro="">
      <xdr:nvCxnSpPr>
        <xdr:cNvPr id="29" name="Straight Arrow Connector 28">
          <a:extLst>
            <a:ext uri="{FF2B5EF4-FFF2-40B4-BE49-F238E27FC236}">
              <a16:creationId xmlns:a16="http://schemas.microsoft.com/office/drawing/2014/main" id="{169BB168-37AE-C59B-79E5-5958218598F6}"/>
            </a:ext>
          </a:extLst>
        </xdr:cNvPr>
        <xdr:cNvCxnSpPr/>
      </xdr:nvCxnSpPr>
      <xdr:spPr>
        <a:xfrm>
          <a:off x="13499395692" y="42382035"/>
          <a:ext cx="884130" cy="7493"/>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288324</xdr:colOff>
      <xdr:row>3</xdr:row>
      <xdr:rowOff>65216</xdr:rowOff>
    </xdr:from>
    <xdr:to>
      <xdr:col>4</xdr:col>
      <xdr:colOff>391297</xdr:colOff>
      <xdr:row>4</xdr:row>
      <xdr:rowOff>6865</xdr:rowOff>
    </xdr:to>
    <xdr:sp macro="" textlink="">
      <xdr:nvSpPr>
        <xdr:cNvPr id="2" name="Up Arrow 1">
          <a:extLst>
            <a:ext uri="{FF2B5EF4-FFF2-40B4-BE49-F238E27FC236}">
              <a16:creationId xmlns:a16="http://schemas.microsoft.com/office/drawing/2014/main" id="{31FEF7DB-FFF0-EABD-6395-53FFC7D8260D}"/>
            </a:ext>
          </a:extLst>
        </xdr:cNvPr>
        <xdr:cNvSpPr/>
      </xdr:nvSpPr>
      <xdr:spPr>
        <a:xfrm>
          <a:off x="13549410324" y="672757"/>
          <a:ext cx="102973" cy="144162"/>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499841</xdr:colOff>
      <xdr:row>6</xdr:row>
      <xdr:rowOff>20402</xdr:rowOff>
    </xdr:from>
    <xdr:to>
      <xdr:col>11</xdr:col>
      <xdr:colOff>168314</xdr:colOff>
      <xdr:row>17</xdr:row>
      <xdr:rowOff>15258</xdr:rowOff>
    </xdr:to>
    <xdr:pic>
      <xdr:nvPicPr>
        <xdr:cNvPr id="3" name="Picture 2">
          <a:extLst>
            <a:ext uri="{FF2B5EF4-FFF2-40B4-BE49-F238E27FC236}">
              <a16:creationId xmlns:a16="http://schemas.microsoft.com/office/drawing/2014/main" id="{A9DD2912-272E-DDBB-EC6C-1F810DC9E04C}"/>
            </a:ext>
          </a:extLst>
        </xdr:cNvPr>
        <xdr:cNvPicPr>
          <a:picLocks noChangeAspect="1"/>
        </xdr:cNvPicPr>
      </xdr:nvPicPr>
      <xdr:blipFill>
        <a:blip xmlns:r="http://schemas.openxmlformats.org/officeDocument/2006/relationships" r:embed="rId1"/>
        <a:stretch>
          <a:fillRect/>
        </a:stretch>
      </xdr:blipFill>
      <xdr:spPr>
        <a:xfrm>
          <a:off x="13528269517" y="1244498"/>
          <a:ext cx="2147269" cy="2239033"/>
        </a:xfrm>
        <a:prstGeom prst="rect">
          <a:avLst/>
        </a:prstGeom>
      </xdr:spPr>
    </xdr:pic>
    <xdr:clientData/>
  </xdr:twoCellAnchor>
  <xdr:twoCellAnchor>
    <xdr:from>
      <xdr:col>11</xdr:col>
      <xdr:colOff>10200</xdr:colOff>
      <xdr:row>6</xdr:row>
      <xdr:rowOff>204015</xdr:rowOff>
    </xdr:from>
    <xdr:to>
      <xdr:col>14</xdr:col>
      <xdr:colOff>183614</xdr:colOff>
      <xdr:row>13</xdr:row>
      <xdr:rowOff>153011</xdr:rowOff>
    </xdr:to>
    <xdr:sp macro="" textlink="">
      <xdr:nvSpPr>
        <xdr:cNvPr id="4" name="Rounded Rectangular Callout 3">
          <a:extLst>
            <a:ext uri="{FF2B5EF4-FFF2-40B4-BE49-F238E27FC236}">
              <a16:creationId xmlns:a16="http://schemas.microsoft.com/office/drawing/2014/main" id="{4A9E1851-E355-2BDC-ADC4-5267AAFAA89A}"/>
            </a:ext>
          </a:extLst>
        </xdr:cNvPr>
        <xdr:cNvSpPr/>
      </xdr:nvSpPr>
      <xdr:spPr>
        <a:xfrm>
          <a:off x="13525775422" y="1428111"/>
          <a:ext cx="2652209" cy="1377109"/>
        </a:xfrm>
        <a:prstGeom prst="wedgeRoundRectCallout">
          <a:avLst>
            <a:gd name="adj1" fmla="val 61620"/>
            <a:gd name="adj2" fmla="val 517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חדש!!!</a:t>
          </a:r>
        </a:p>
        <a:p>
          <a:pPr algn="r" rtl="1"/>
          <a:r>
            <a:rPr lang="he-IL" sz="1100"/>
            <a:t>מטלה מעודכנת עם פתרון והסבר לסעיפים המורכבים ביותר,</a:t>
          </a:r>
        </a:p>
        <a:p>
          <a:pPr algn="r" rtl="1"/>
          <a:r>
            <a:rPr lang="he-IL" sz="1100"/>
            <a:t>כדי שתוכלו להתמקד בסעיפים הפשוטים יותר ובתהליך הסגירה של עריכת הדיווחים.</a:t>
          </a:r>
        </a:p>
        <a:p>
          <a:pPr algn="r" rtl="1"/>
          <a:r>
            <a:rPr lang="he-IL" sz="1100"/>
            <a:t>לאחר ההגשה, יפורסם פתרון מלא להתרשמות.</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376903</xdr:colOff>
      <xdr:row>85</xdr:row>
      <xdr:rowOff>8194</xdr:rowOff>
    </xdr:from>
    <xdr:to>
      <xdr:col>5</xdr:col>
      <xdr:colOff>450645</xdr:colOff>
      <xdr:row>85</xdr:row>
      <xdr:rowOff>172065</xdr:rowOff>
    </xdr:to>
    <xdr:sp macro="" textlink="">
      <xdr:nvSpPr>
        <xdr:cNvPr id="2" name="Down Arrow 1">
          <a:extLst>
            <a:ext uri="{FF2B5EF4-FFF2-40B4-BE49-F238E27FC236}">
              <a16:creationId xmlns:a16="http://schemas.microsoft.com/office/drawing/2014/main" id="{E271E4F1-326D-843D-568C-77F41C117CF3}"/>
            </a:ext>
          </a:extLst>
        </xdr:cNvPr>
        <xdr:cNvSpPr/>
      </xdr:nvSpPr>
      <xdr:spPr>
        <a:xfrm>
          <a:off x="13553964387" y="17493226"/>
          <a:ext cx="73742" cy="1638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745613</xdr:colOff>
      <xdr:row>108</xdr:row>
      <xdr:rowOff>131097</xdr:rowOff>
    </xdr:from>
    <xdr:to>
      <xdr:col>8</xdr:col>
      <xdr:colOff>385097</xdr:colOff>
      <xdr:row>108</xdr:row>
      <xdr:rowOff>131097</xdr:rowOff>
    </xdr:to>
    <xdr:cxnSp macro="">
      <xdr:nvCxnSpPr>
        <xdr:cNvPr id="4" name="Straight Connector 3">
          <a:extLst>
            <a:ext uri="{FF2B5EF4-FFF2-40B4-BE49-F238E27FC236}">
              <a16:creationId xmlns:a16="http://schemas.microsoft.com/office/drawing/2014/main" id="{EFBDB21E-C270-4FA5-F431-E6F804FB5E21}"/>
            </a:ext>
          </a:extLst>
        </xdr:cNvPr>
        <xdr:cNvCxnSpPr/>
      </xdr:nvCxnSpPr>
      <xdr:spPr>
        <a:xfrm flipH="1">
          <a:off x="13551547290" y="22352000"/>
          <a:ext cx="129458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389193</xdr:colOff>
      <xdr:row>103</xdr:row>
      <xdr:rowOff>127000</xdr:rowOff>
    </xdr:from>
    <xdr:to>
      <xdr:col>8</xdr:col>
      <xdr:colOff>409677</xdr:colOff>
      <xdr:row>108</xdr:row>
      <xdr:rowOff>135194</xdr:rowOff>
    </xdr:to>
    <xdr:cxnSp macro="">
      <xdr:nvCxnSpPr>
        <xdr:cNvPr id="5" name="Straight Connector 4">
          <a:extLst>
            <a:ext uri="{FF2B5EF4-FFF2-40B4-BE49-F238E27FC236}">
              <a16:creationId xmlns:a16="http://schemas.microsoft.com/office/drawing/2014/main" id="{EF12FC78-9B0D-D4BD-50AB-3BC0DD7F7469}"/>
            </a:ext>
          </a:extLst>
        </xdr:cNvPr>
        <xdr:cNvCxnSpPr/>
      </xdr:nvCxnSpPr>
      <xdr:spPr>
        <a:xfrm flipH="1" flipV="1">
          <a:off x="13551522710" y="21311419"/>
          <a:ext cx="20484" cy="10446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815258</xdr:colOff>
      <xdr:row>103</xdr:row>
      <xdr:rowOff>135194</xdr:rowOff>
    </xdr:from>
    <xdr:to>
      <xdr:col>8</xdr:col>
      <xdr:colOff>405581</xdr:colOff>
      <xdr:row>103</xdr:row>
      <xdr:rowOff>135194</xdr:rowOff>
    </xdr:to>
    <xdr:cxnSp macro="">
      <xdr:nvCxnSpPr>
        <xdr:cNvPr id="8" name="Straight Connector 7">
          <a:extLst>
            <a:ext uri="{FF2B5EF4-FFF2-40B4-BE49-F238E27FC236}">
              <a16:creationId xmlns:a16="http://schemas.microsoft.com/office/drawing/2014/main" id="{EC45A10E-F339-60C9-A989-B6F6E4474EA4}"/>
            </a:ext>
          </a:extLst>
        </xdr:cNvPr>
        <xdr:cNvCxnSpPr/>
      </xdr:nvCxnSpPr>
      <xdr:spPr>
        <a:xfrm flipH="1">
          <a:off x="13551526806" y="21319613"/>
          <a:ext cx="41787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12290</xdr:colOff>
      <xdr:row>112</xdr:row>
      <xdr:rowOff>77839</xdr:rowOff>
    </xdr:from>
    <xdr:to>
      <xdr:col>6</xdr:col>
      <xdr:colOff>553065</xdr:colOff>
      <xdr:row>115</xdr:row>
      <xdr:rowOff>16387</xdr:rowOff>
    </xdr:to>
    <xdr:sp macro="" textlink="">
      <xdr:nvSpPr>
        <xdr:cNvPr id="11" name="Smiley Face 10">
          <a:extLst>
            <a:ext uri="{FF2B5EF4-FFF2-40B4-BE49-F238E27FC236}">
              <a16:creationId xmlns:a16="http://schemas.microsoft.com/office/drawing/2014/main" id="{13FAD8EF-9C3E-E176-8BE8-1814458C1E54}"/>
            </a:ext>
          </a:extLst>
        </xdr:cNvPr>
        <xdr:cNvSpPr/>
      </xdr:nvSpPr>
      <xdr:spPr>
        <a:xfrm>
          <a:off x="13553034419" y="23118097"/>
          <a:ext cx="540775" cy="553064"/>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r" rtl="1"/>
          <a:endParaRPr lang="en-US" sz="1100"/>
        </a:p>
      </xdr:txBody>
    </xdr:sp>
    <xdr:clientData/>
  </xdr:twoCellAnchor>
  <xdr:twoCellAnchor>
    <xdr:from>
      <xdr:col>5</xdr:col>
      <xdr:colOff>561257</xdr:colOff>
      <xdr:row>114</xdr:row>
      <xdr:rowOff>196646</xdr:rowOff>
    </xdr:from>
    <xdr:to>
      <xdr:col>6</xdr:col>
      <xdr:colOff>749709</xdr:colOff>
      <xdr:row>119</xdr:row>
      <xdr:rowOff>139290</xdr:rowOff>
    </xdr:to>
    <xdr:sp macro="" textlink="">
      <xdr:nvSpPr>
        <xdr:cNvPr id="12" name="Triangle 11">
          <a:extLst>
            <a:ext uri="{FF2B5EF4-FFF2-40B4-BE49-F238E27FC236}">
              <a16:creationId xmlns:a16="http://schemas.microsoft.com/office/drawing/2014/main" id="{18DBECFA-7E58-D8CD-802D-D67A6043B774}"/>
            </a:ext>
          </a:extLst>
        </xdr:cNvPr>
        <xdr:cNvSpPr/>
      </xdr:nvSpPr>
      <xdr:spPr>
        <a:xfrm>
          <a:off x="13552837775" y="23646581"/>
          <a:ext cx="1016000" cy="966838"/>
        </a:xfrm>
        <a:prstGeom prst="triangl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245807</xdr:colOff>
      <xdr:row>115</xdr:row>
      <xdr:rowOff>188452</xdr:rowOff>
    </xdr:from>
    <xdr:to>
      <xdr:col>7</xdr:col>
      <xdr:colOff>40967</xdr:colOff>
      <xdr:row>117</xdr:row>
      <xdr:rowOff>86032</xdr:rowOff>
    </xdr:to>
    <xdr:cxnSp macro="">
      <xdr:nvCxnSpPr>
        <xdr:cNvPr id="14" name="Straight Connector 13">
          <a:extLst>
            <a:ext uri="{FF2B5EF4-FFF2-40B4-BE49-F238E27FC236}">
              <a16:creationId xmlns:a16="http://schemas.microsoft.com/office/drawing/2014/main" id="{0537AEEF-025E-7874-78D3-8CF300BFEFD4}"/>
            </a:ext>
          </a:extLst>
        </xdr:cNvPr>
        <xdr:cNvCxnSpPr/>
      </xdr:nvCxnSpPr>
      <xdr:spPr>
        <a:xfrm flipH="1" flipV="1">
          <a:off x="13552718968" y="2384322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405581</xdr:colOff>
      <xdr:row>115</xdr:row>
      <xdr:rowOff>200743</xdr:rowOff>
    </xdr:from>
    <xdr:to>
      <xdr:col>6</xdr:col>
      <xdr:colOff>200742</xdr:colOff>
      <xdr:row>117</xdr:row>
      <xdr:rowOff>98323</xdr:rowOff>
    </xdr:to>
    <xdr:cxnSp macro="">
      <xdr:nvCxnSpPr>
        <xdr:cNvPr id="15" name="Straight Connector 14">
          <a:extLst>
            <a:ext uri="{FF2B5EF4-FFF2-40B4-BE49-F238E27FC236}">
              <a16:creationId xmlns:a16="http://schemas.microsoft.com/office/drawing/2014/main" id="{B15FEE9B-341C-D238-E90A-B9979B2CD9F2}"/>
            </a:ext>
          </a:extLst>
        </xdr:cNvPr>
        <xdr:cNvCxnSpPr/>
      </xdr:nvCxnSpPr>
      <xdr:spPr>
        <a:xfrm flipH="1" flipV="1">
          <a:off x="13553386742" y="23855517"/>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602148</xdr:colOff>
      <xdr:row>112</xdr:row>
      <xdr:rowOff>4097</xdr:rowOff>
    </xdr:from>
    <xdr:to>
      <xdr:col>6</xdr:col>
      <xdr:colOff>708742</xdr:colOff>
      <xdr:row>114</xdr:row>
      <xdr:rowOff>180259</xdr:rowOff>
    </xdr:to>
    <xdr:sp macro="" textlink="">
      <xdr:nvSpPr>
        <xdr:cNvPr id="16" name="Freeform 15">
          <a:extLst>
            <a:ext uri="{FF2B5EF4-FFF2-40B4-BE49-F238E27FC236}">
              <a16:creationId xmlns:a16="http://schemas.microsoft.com/office/drawing/2014/main" id="{2B515091-6CAD-6F5B-87E4-A961E094B5E1}"/>
            </a:ext>
          </a:extLst>
        </xdr:cNvPr>
        <xdr:cNvSpPr/>
      </xdr:nvSpPr>
      <xdr:spPr>
        <a:xfrm>
          <a:off x="13552878742" y="23044355"/>
          <a:ext cx="934142" cy="585839"/>
        </a:xfrm>
        <a:custGeom>
          <a:avLst/>
          <a:gdLst>
            <a:gd name="connsiteX0" fmla="*/ 655484 w 934142"/>
            <a:gd name="connsiteY0" fmla="*/ 127000 h 585839"/>
            <a:gd name="connsiteX1" fmla="*/ 630903 w 934142"/>
            <a:gd name="connsiteY1" fmla="*/ 131097 h 585839"/>
            <a:gd name="connsiteX2" fmla="*/ 618613 w 934142"/>
            <a:gd name="connsiteY2" fmla="*/ 135193 h 585839"/>
            <a:gd name="connsiteX3" fmla="*/ 557161 w 934142"/>
            <a:gd name="connsiteY3" fmla="*/ 143387 h 585839"/>
            <a:gd name="connsiteX4" fmla="*/ 528484 w 934142"/>
            <a:gd name="connsiteY4" fmla="*/ 151580 h 585839"/>
            <a:gd name="connsiteX5" fmla="*/ 454742 w 934142"/>
            <a:gd name="connsiteY5" fmla="*/ 159774 h 585839"/>
            <a:gd name="connsiteX6" fmla="*/ 409677 w 934142"/>
            <a:gd name="connsiteY6" fmla="*/ 167968 h 585839"/>
            <a:gd name="connsiteX7" fmla="*/ 385097 w 934142"/>
            <a:gd name="connsiteY7" fmla="*/ 172064 h 585839"/>
            <a:gd name="connsiteX8" fmla="*/ 192548 w 934142"/>
            <a:gd name="connsiteY8" fmla="*/ 159774 h 585839"/>
            <a:gd name="connsiteX9" fmla="*/ 184355 w 934142"/>
            <a:gd name="connsiteY9" fmla="*/ 143387 h 585839"/>
            <a:gd name="connsiteX10" fmla="*/ 172064 w 934142"/>
            <a:gd name="connsiteY10" fmla="*/ 122903 h 585839"/>
            <a:gd name="connsiteX11" fmla="*/ 163871 w 934142"/>
            <a:gd name="connsiteY11" fmla="*/ 98322 h 585839"/>
            <a:gd name="connsiteX12" fmla="*/ 196645 w 934142"/>
            <a:gd name="connsiteY12" fmla="*/ 77839 h 585839"/>
            <a:gd name="connsiteX13" fmla="*/ 233516 w 934142"/>
            <a:gd name="connsiteY13" fmla="*/ 57355 h 585839"/>
            <a:gd name="connsiteX14" fmla="*/ 274484 w 934142"/>
            <a:gd name="connsiteY14" fmla="*/ 36871 h 585839"/>
            <a:gd name="connsiteX15" fmla="*/ 311355 w 934142"/>
            <a:gd name="connsiteY15" fmla="*/ 16387 h 585839"/>
            <a:gd name="connsiteX16" fmla="*/ 335935 w 934142"/>
            <a:gd name="connsiteY16" fmla="*/ 8193 h 585839"/>
            <a:gd name="connsiteX17" fmla="*/ 385097 w 934142"/>
            <a:gd name="connsiteY17" fmla="*/ 0 h 585839"/>
            <a:gd name="connsiteX18" fmla="*/ 442452 w 934142"/>
            <a:gd name="connsiteY18" fmla="*/ 8193 h 585839"/>
            <a:gd name="connsiteX19" fmla="*/ 467032 w 934142"/>
            <a:gd name="connsiteY19" fmla="*/ 16387 h 585839"/>
            <a:gd name="connsiteX20" fmla="*/ 499806 w 934142"/>
            <a:gd name="connsiteY20" fmla="*/ 28677 h 585839"/>
            <a:gd name="connsiteX21" fmla="*/ 512097 w 934142"/>
            <a:gd name="connsiteY21" fmla="*/ 40968 h 585839"/>
            <a:gd name="connsiteX22" fmla="*/ 536677 w 934142"/>
            <a:gd name="connsiteY22" fmla="*/ 61451 h 585839"/>
            <a:gd name="connsiteX23" fmla="*/ 528484 w 934142"/>
            <a:gd name="connsiteY23" fmla="*/ 73742 h 585839"/>
            <a:gd name="connsiteX24" fmla="*/ 512097 w 934142"/>
            <a:gd name="connsiteY24" fmla="*/ 81935 h 585839"/>
            <a:gd name="connsiteX25" fmla="*/ 442452 w 934142"/>
            <a:gd name="connsiteY25" fmla="*/ 94226 h 585839"/>
            <a:gd name="connsiteX26" fmla="*/ 417871 w 934142"/>
            <a:gd name="connsiteY26" fmla="*/ 102419 h 585839"/>
            <a:gd name="connsiteX27" fmla="*/ 397387 w 934142"/>
            <a:gd name="connsiteY27" fmla="*/ 106516 h 585839"/>
            <a:gd name="connsiteX28" fmla="*/ 368710 w 934142"/>
            <a:gd name="connsiteY28" fmla="*/ 114710 h 585839"/>
            <a:gd name="connsiteX29" fmla="*/ 266290 w 934142"/>
            <a:gd name="connsiteY29" fmla="*/ 110613 h 585839"/>
            <a:gd name="connsiteX30" fmla="*/ 258097 w 934142"/>
            <a:gd name="connsiteY30" fmla="*/ 98322 h 585839"/>
            <a:gd name="connsiteX31" fmla="*/ 274484 w 934142"/>
            <a:gd name="connsiteY31" fmla="*/ 53258 h 585839"/>
            <a:gd name="connsiteX32" fmla="*/ 286774 w 934142"/>
            <a:gd name="connsiteY32" fmla="*/ 49161 h 585839"/>
            <a:gd name="connsiteX33" fmla="*/ 303161 w 934142"/>
            <a:gd name="connsiteY33" fmla="*/ 53258 h 585839"/>
            <a:gd name="connsiteX34" fmla="*/ 360516 w 934142"/>
            <a:gd name="connsiteY34" fmla="*/ 61451 h 585839"/>
            <a:gd name="connsiteX35" fmla="*/ 393290 w 934142"/>
            <a:gd name="connsiteY35" fmla="*/ 69645 h 585839"/>
            <a:gd name="connsiteX36" fmla="*/ 401484 w 934142"/>
            <a:gd name="connsiteY36" fmla="*/ 81935 h 585839"/>
            <a:gd name="connsiteX37" fmla="*/ 397387 w 934142"/>
            <a:gd name="connsiteY37" fmla="*/ 94226 h 585839"/>
            <a:gd name="connsiteX38" fmla="*/ 381000 w 934142"/>
            <a:gd name="connsiteY38" fmla="*/ 102419 h 585839"/>
            <a:gd name="connsiteX39" fmla="*/ 368710 w 934142"/>
            <a:gd name="connsiteY39" fmla="*/ 106516 h 585839"/>
            <a:gd name="connsiteX40" fmla="*/ 348226 w 934142"/>
            <a:gd name="connsiteY40" fmla="*/ 114710 h 585839"/>
            <a:gd name="connsiteX41" fmla="*/ 327742 w 934142"/>
            <a:gd name="connsiteY41" fmla="*/ 110613 h 585839"/>
            <a:gd name="connsiteX42" fmla="*/ 200742 w 934142"/>
            <a:gd name="connsiteY42" fmla="*/ 159774 h 585839"/>
            <a:gd name="connsiteX43" fmla="*/ 77839 w 934142"/>
            <a:gd name="connsiteY43" fmla="*/ 245806 h 585839"/>
            <a:gd name="connsiteX44" fmla="*/ 61452 w 934142"/>
            <a:gd name="connsiteY44" fmla="*/ 262193 h 585839"/>
            <a:gd name="connsiteX45" fmla="*/ 36871 w 934142"/>
            <a:gd name="connsiteY45" fmla="*/ 307258 h 585839"/>
            <a:gd name="connsiteX46" fmla="*/ 32774 w 934142"/>
            <a:gd name="connsiteY46" fmla="*/ 323645 h 585839"/>
            <a:gd name="connsiteX47" fmla="*/ 24581 w 934142"/>
            <a:gd name="connsiteY47" fmla="*/ 364613 h 585839"/>
            <a:gd name="connsiteX48" fmla="*/ 16387 w 934142"/>
            <a:gd name="connsiteY48" fmla="*/ 393290 h 585839"/>
            <a:gd name="connsiteX49" fmla="*/ 12290 w 934142"/>
            <a:gd name="connsiteY49" fmla="*/ 421968 h 585839"/>
            <a:gd name="connsiteX50" fmla="*/ 0 w 934142"/>
            <a:gd name="connsiteY50" fmla="*/ 487516 h 585839"/>
            <a:gd name="connsiteX51" fmla="*/ 4097 w 934142"/>
            <a:gd name="connsiteY51" fmla="*/ 516193 h 585839"/>
            <a:gd name="connsiteX52" fmla="*/ 8193 w 934142"/>
            <a:gd name="connsiteY52" fmla="*/ 499806 h 585839"/>
            <a:gd name="connsiteX53" fmla="*/ 16387 w 934142"/>
            <a:gd name="connsiteY53" fmla="*/ 487516 h 585839"/>
            <a:gd name="connsiteX54" fmla="*/ 20484 w 934142"/>
            <a:gd name="connsiteY54" fmla="*/ 475226 h 585839"/>
            <a:gd name="connsiteX55" fmla="*/ 36871 w 934142"/>
            <a:gd name="connsiteY55" fmla="*/ 450645 h 585839"/>
            <a:gd name="connsiteX56" fmla="*/ 49161 w 934142"/>
            <a:gd name="connsiteY56" fmla="*/ 426064 h 585839"/>
            <a:gd name="connsiteX57" fmla="*/ 102419 w 934142"/>
            <a:gd name="connsiteY57" fmla="*/ 352322 h 585839"/>
            <a:gd name="connsiteX58" fmla="*/ 127000 w 934142"/>
            <a:gd name="connsiteY58" fmla="*/ 315451 h 585839"/>
            <a:gd name="connsiteX59" fmla="*/ 151581 w 934142"/>
            <a:gd name="connsiteY59" fmla="*/ 286774 h 585839"/>
            <a:gd name="connsiteX60" fmla="*/ 184355 w 934142"/>
            <a:gd name="connsiteY60" fmla="*/ 249903 h 585839"/>
            <a:gd name="connsiteX61" fmla="*/ 213032 w 934142"/>
            <a:gd name="connsiteY61" fmla="*/ 225322 h 585839"/>
            <a:gd name="connsiteX62" fmla="*/ 229419 w 934142"/>
            <a:gd name="connsiteY62" fmla="*/ 208935 h 585839"/>
            <a:gd name="connsiteX63" fmla="*/ 254000 w 934142"/>
            <a:gd name="connsiteY63" fmla="*/ 196645 h 585839"/>
            <a:gd name="connsiteX64" fmla="*/ 307258 w 934142"/>
            <a:gd name="connsiteY64" fmla="*/ 167968 h 585839"/>
            <a:gd name="connsiteX65" fmla="*/ 335935 w 934142"/>
            <a:gd name="connsiteY65" fmla="*/ 143387 h 585839"/>
            <a:gd name="connsiteX66" fmla="*/ 352323 w 934142"/>
            <a:gd name="connsiteY66" fmla="*/ 135193 h 585839"/>
            <a:gd name="connsiteX67" fmla="*/ 376903 w 934142"/>
            <a:gd name="connsiteY67" fmla="*/ 118806 h 585839"/>
            <a:gd name="connsiteX68" fmla="*/ 401484 w 934142"/>
            <a:gd name="connsiteY68" fmla="*/ 110613 h 585839"/>
            <a:gd name="connsiteX69" fmla="*/ 417871 w 934142"/>
            <a:gd name="connsiteY69" fmla="*/ 106516 h 585839"/>
            <a:gd name="connsiteX70" fmla="*/ 458839 w 934142"/>
            <a:gd name="connsiteY70" fmla="*/ 94226 h 585839"/>
            <a:gd name="connsiteX71" fmla="*/ 508000 w 934142"/>
            <a:gd name="connsiteY71" fmla="*/ 98322 h 585839"/>
            <a:gd name="connsiteX72" fmla="*/ 520290 w 934142"/>
            <a:gd name="connsiteY72" fmla="*/ 102419 h 585839"/>
            <a:gd name="connsiteX73" fmla="*/ 581742 w 934142"/>
            <a:gd name="connsiteY73" fmla="*/ 110613 h 585839"/>
            <a:gd name="connsiteX74" fmla="*/ 598129 w 934142"/>
            <a:gd name="connsiteY74" fmla="*/ 118806 h 585839"/>
            <a:gd name="connsiteX75" fmla="*/ 610419 w 934142"/>
            <a:gd name="connsiteY75" fmla="*/ 122903 h 585839"/>
            <a:gd name="connsiteX76" fmla="*/ 618613 w 934142"/>
            <a:gd name="connsiteY76" fmla="*/ 139290 h 585839"/>
            <a:gd name="connsiteX77" fmla="*/ 626806 w 934142"/>
            <a:gd name="connsiteY77" fmla="*/ 151580 h 585839"/>
            <a:gd name="connsiteX78" fmla="*/ 639097 w 934142"/>
            <a:gd name="connsiteY78" fmla="*/ 163871 h 585839"/>
            <a:gd name="connsiteX79" fmla="*/ 651387 w 934142"/>
            <a:gd name="connsiteY79" fmla="*/ 180258 h 585839"/>
            <a:gd name="connsiteX80" fmla="*/ 667774 w 934142"/>
            <a:gd name="connsiteY80" fmla="*/ 196645 h 585839"/>
            <a:gd name="connsiteX81" fmla="*/ 680064 w 934142"/>
            <a:gd name="connsiteY81" fmla="*/ 217129 h 585839"/>
            <a:gd name="connsiteX82" fmla="*/ 696452 w 934142"/>
            <a:gd name="connsiteY82" fmla="*/ 233516 h 585839"/>
            <a:gd name="connsiteX83" fmla="*/ 708742 w 934142"/>
            <a:gd name="connsiteY83" fmla="*/ 249903 h 585839"/>
            <a:gd name="connsiteX84" fmla="*/ 745613 w 934142"/>
            <a:gd name="connsiteY84" fmla="*/ 290871 h 585839"/>
            <a:gd name="connsiteX85" fmla="*/ 757903 w 934142"/>
            <a:gd name="connsiteY85" fmla="*/ 311355 h 585839"/>
            <a:gd name="connsiteX86" fmla="*/ 774290 w 934142"/>
            <a:gd name="connsiteY86" fmla="*/ 331839 h 585839"/>
            <a:gd name="connsiteX87" fmla="*/ 811161 w 934142"/>
            <a:gd name="connsiteY87" fmla="*/ 413774 h 585839"/>
            <a:gd name="connsiteX88" fmla="*/ 835742 w 934142"/>
            <a:gd name="connsiteY88" fmla="*/ 471129 h 585839"/>
            <a:gd name="connsiteX89" fmla="*/ 848032 w 934142"/>
            <a:gd name="connsiteY89" fmla="*/ 499806 h 585839"/>
            <a:gd name="connsiteX90" fmla="*/ 860323 w 934142"/>
            <a:gd name="connsiteY90" fmla="*/ 532580 h 585839"/>
            <a:gd name="connsiteX91" fmla="*/ 868516 w 934142"/>
            <a:gd name="connsiteY91" fmla="*/ 557161 h 585839"/>
            <a:gd name="connsiteX92" fmla="*/ 872613 w 934142"/>
            <a:gd name="connsiteY92" fmla="*/ 573548 h 585839"/>
            <a:gd name="connsiteX93" fmla="*/ 860323 w 934142"/>
            <a:gd name="connsiteY93" fmla="*/ 544871 h 585839"/>
            <a:gd name="connsiteX94" fmla="*/ 848032 w 934142"/>
            <a:gd name="connsiteY94" fmla="*/ 520290 h 585839"/>
            <a:gd name="connsiteX95" fmla="*/ 835742 w 934142"/>
            <a:gd name="connsiteY95" fmla="*/ 483419 h 585839"/>
            <a:gd name="connsiteX96" fmla="*/ 815258 w 934142"/>
            <a:gd name="connsiteY96" fmla="*/ 438355 h 585839"/>
            <a:gd name="connsiteX97" fmla="*/ 802968 w 934142"/>
            <a:gd name="connsiteY97" fmla="*/ 397387 h 585839"/>
            <a:gd name="connsiteX98" fmla="*/ 782484 w 934142"/>
            <a:gd name="connsiteY98" fmla="*/ 352322 h 585839"/>
            <a:gd name="connsiteX99" fmla="*/ 766097 w 934142"/>
            <a:gd name="connsiteY99" fmla="*/ 315451 h 585839"/>
            <a:gd name="connsiteX100" fmla="*/ 745613 w 934142"/>
            <a:gd name="connsiteY100" fmla="*/ 286774 h 585839"/>
            <a:gd name="connsiteX101" fmla="*/ 737419 w 934142"/>
            <a:gd name="connsiteY101" fmla="*/ 274484 h 585839"/>
            <a:gd name="connsiteX102" fmla="*/ 725129 w 934142"/>
            <a:gd name="connsiteY102" fmla="*/ 266290 h 585839"/>
            <a:gd name="connsiteX103" fmla="*/ 692355 w 934142"/>
            <a:gd name="connsiteY103" fmla="*/ 233516 h 585839"/>
            <a:gd name="connsiteX104" fmla="*/ 659581 w 934142"/>
            <a:gd name="connsiteY104" fmla="*/ 200742 h 585839"/>
            <a:gd name="connsiteX105" fmla="*/ 606323 w 934142"/>
            <a:gd name="connsiteY105" fmla="*/ 151580 h 585839"/>
            <a:gd name="connsiteX106" fmla="*/ 573548 w 934142"/>
            <a:gd name="connsiteY106" fmla="*/ 127000 h 585839"/>
            <a:gd name="connsiteX107" fmla="*/ 544871 w 934142"/>
            <a:gd name="connsiteY107" fmla="*/ 122903 h 585839"/>
            <a:gd name="connsiteX108" fmla="*/ 532581 w 934142"/>
            <a:gd name="connsiteY108" fmla="*/ 118806 h 585839"/>
            <a:gd name="connsiteX109" fmla="*/ 577645 w 934142"/>
            <a:gd name="connsiteY109" fmla="*/ 127000 h 585839"/>
            <a:gd name="connsiteX110" fmla="*/ 610419 w 934142"/>
            <a:gd name="connsiteY110" fmla="*/ 147484 h 585839"/>
            <a:gd name="connsiteX111" fmla="*/ 647290 w 934142"/>
            <a:gd name="connsiteY111" fmla="*/ 163871 h 585839"/>
            <a:gd name="connsiteX112" fmla="*/ 757903 w 934142"/>
            <a:gd name="connsiteY112" fmla="*/ 229419 h 585839"/>
            <a:gd name="connsiteX113" fmla="*/ 811161 w 934142"/>
            <a:gd name="connsiteY113" fmla="*/ 270387 h 585839"/>
            <a:gd name="connsiteX114" fmla="*/ 868516 w 934142"/>
            <a:gd name="connsiteY114" fmla="*/ 323645 h 585839"/>
            <a:gd name="connsiteX115" fmla="*/ 893097 w 934142"/>
            <a:gd name="connsiteY115" fmla="*/ 356419 h 585839"/>
            <a:gd name="connsiteX116" fmla="*/ 901290 w 934142"/>
            <a:gd name="connsiteY116" fmla="*/ 426064 h 585839"/>
            <a:gd name="connsiteX117" fmla="*/ 917677 w 934142"/>
            <a:gd name="connsiteY117" fmla="*/ 483419 h 585839"/>
            <a:gd name="connsiteX118" fmla="*/ 925871 w 934142"/>
            <a:gd name="connsiteY118" fmla="*/ 512097 h 585839"/>
            <a:gd name="connsiteX119" fmla="*/ 929968 w 934142"/>
            <a:gd name="connsiteY119" fmla="*/ 557161 h 585839"/>
            <a:gd name="connsiteX120" fmla="*/ 934064 w 934142"/>
            <a:gd name="connsiteY120" fmla="*/ 585839 h 585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Lst>
          <a:rect l="l" t="t" r="r" b="b"/>
          <a:pathLst>
            <a:path w="934142" h="585839">
              <a:moveTo>
                <a:pt x="655484" y="127000"/>
              </a:moveTo>
              <a:cubicBezTo>
                <a:pt x="647290" y="128366"/>
                <a:pt x="639012" y="129295"/>
                <a:pt x="630903" y="131097"/>
              </a:cubicBezTo>
              <a:cubicBezTo>
                <a:pt x="626688" y="132034"/>
                <a:pt x="622881" y="134536"/>
                <a:pt x="618613" y="135193"/>
              </a:cubicBezTo>
              <a:cubicBezTo>
                <a:pt x="578690" y="141335"/>
                <a:pt x="587057" y="135913"/>
                <a:pt x="557161" y="143387"/>
              </a:cubicBezTo>
              <a:cubicBezTo>
                <a:pt x="537671" y="148260"/>
                <a:pt x="551484" y="147747"/>
                <a:pt x="528484" y="151580"/>
              </a:cubicBezTo>
              <a:cubicBezTo>
                <a:pt x="506521" y="155240"/>
                <a:pt x="476214" y="157248"/>
                <a:pt x="454742" y="159774"/>
              </a:cubicBezTo>
              <a:cubicBezTo>
                <a:pt x="404141" y="165727"/>
                <a:pt x="444965" y="160911"/>
                <a:pt x="409677" y="167968"/>
              </a:cubicBezTo>
              <a:cubicBezTo>
                <a:pt x="401532" y="169597"/>
                <a:pt x="393290" y="170699"/>
                <a:pt x="385097" y="172064"/>
              </a:cubicBezTo>
              <a:cubicBezTo>
                <a:pt x="206077" y="163540"/>
                <a:pt x="269337" y="175133"/>
                <a:pt x="192548" y="159774"/>
              </a:cubicBezTo>
              <a:cubicBezTo>
                <a:pt x="189817" y="154312"/>
                <a:pt x="187321" y="148725"/>
                <a:pt x="184355" y="143387"/>
              </a:cubicBezTo>
              <a:cubicBezTo>
                <a:pt x="180488" y="136426"/>
                <a:pt x="175359" y="130152"/>
                <a:pt x="172064" y="122903"/>
              </a:cubicBezTo>
              <a:cubicBezTo>
                <a:pt x="168490" y="115040"/>
                <a:pt x="163871" y="98322"/>
                <a:pt x="163871" y="98322"/>
              </a:cubicBezTo>
              <a:cubicBezTo>
                <a:pt x="185437" y="76756"/>
                <a:pt x="165608" y="93357"/>
                <a:pt x="196645" y="77839"/>
              </a:cubicBezTo>
              <a:cubicBezTo>
                <a:pt x="209220" y="71551"/>
                <a:pt x="221074" y="63903"/>
                <a:pt x="233516" y="57355"/>
              </a:cubicBezTo>
              <a:cubicBezTo>
                <a:pt x="247027" y="50244"/>
                <a:pt x="260973" y="43982"/>
                <a:pt x="274484" y="36871"/>
              </a:cubicBezTo>
              <a:cubicBezTo>
                <a:pt x="286926" y="30323"/>
                <a:pt x="298614" y="22333"/>
                <a:pt x="311355" y="16387"/>
              </a:cubicBezTo>
              <a:cubicBezTo>
                <a:pt x="319181" y="12735"/>
                <a:pt x="327504" y="10067"/>
                <a:pt x="335935" y="8193"/>
              </a:cubicBezTo>
              <a:cubicBezTo>
                <a:pt x="352153" y="4589"/>
                <a:pt x="385097" y="0"/>
                <a:pt x="385097" y="0"/>
              </a:cubicBezTo>
              <a:cubicBezTo>
                <a:pt x="404215" y="2731"/>
                <a:pt x="424131" y="2085"/>
                <a:pt x="442452" y="8193"/>
              </a:cubicBezTo>
              <a:cubicBezTo>
                <a:pt x="450645" y="10924"/>
                <a:pt x="458915" y="13435"/>
                <a:pt x="467032" y="16387"/>
              </a:cubicBezTo>
              <a:cubicBezTo>
                <a:pt x="520917" y="35982"/>
                <a:pt x="463281" y="16501"/>
                <a:pt x="499806" y="28677"/>
              </a:cubicBezTo>
              <a:cubicBezTo>
                <a:pt x="503903" y="32774"/>
                <a:pt x="507646" y="37259"/>
                <a:pt x="512097" y="40968"/>
              </a:cubicBezTo>
              <a:cubicBezTo>
                <a:pt x="546320" y="69487"/>
                <a:pt x="500770" y="25544"/>
                <a:pt x="536677" y="61451"/>
              </a:cubicBezTo>
              <a:cubicBezTo>
                <a:pt x="533946" y="65548"/>
                <a:pt x="532267" y="70590"/>
                <a:pt x="528484" y="73742"/>
              </a:cubicBezTo>
              <a:cubicBezTo>
                <a:pt x="523793" y="77652"/>
                <a:pt x="517969" y="80257"/>
                <a:pt x="512097" y="81935"/>
              </a:cubicBezTo>
              <a:cubicBezTo>
                <a:pt x="491921" y="87700"/>
                <a:pt x="463934" y="91157"/>
                <a:pt x="442452" y="94226"/>
              </a:cubicBezTo>
              <a:cubicBezTo>
                <a:pt x="434258" y="96957"/>
                <a:pt x="426204" y="100147"/>
                <a:pt x="417871" y="102419"/>
              </a:cubicBezTo>
              <a:cubicBezTo>
                <a:pt x="411153" y="104251"/>
                <a:pt x="404184" y="105005"/>
                <a:pt x="397387" y="106516"/>
              </a:cubicBezTo>
              <a:cubicBezTo>
                <a:pt x="381955" y="109946"/>
                <a:pt x="382396" y="110148"/>
                <a:pt x="368710" y="114710"/>
              </a:cubicBezTo>
              <a:cubicBezTo>
                <a:pt x="334570" y="113344"/>
                <a:pt x="300088" y="115620"/>
                <a:pt x="266290" y="110613"/>
              </a:cubicBezTo>
              <a:cubicBezTo>
                <a:pt x="261419" y="109891"/>
                <a:pt x="258543" y="103226"/>
                <a:pt x="258097" y="98322"/>
              </a:cubicBezTo>
              <a:cubicBezTo>
                <a:pt x="256160" y="77014"/>
                <a:pt x="257961" y="64273"/>
                <a:pt x="274484" y="53258"/>
              </a:cubicBezTo>
              <a:cubicBezTo>
                <a:pt x="278077" y="50863"/>
                <a:pt x="282677" y="50527"/>
                <a:pt x="286774" y="49161"/>
              </a:cubicBezTo>
              <a:cubicBezTo>
                <a:pt x="292236" y="50527"/>
                <a:pt x="297596" y="52402"/>
                <a:pt x="303161" y="53258"/>
              </a:cubicBezTo>
              <a:cubicBezTo>
                <a:pt x="348093" y="60171"/>
                <a:pt x="327264" y="53778"/>
                <a:pt x="360516" y="61451"/>
              </a:cubicBezTo>
              <a:cubicBezTo>
                <a:pt x="371489" y="63983"/>
                <a:pt x="393290" y="69645"/>
                <a:pt x="393290" y="69645"/>
              </a:cubicBezTo>
              <a:cubicBezTo>
                <a:pt x="396021" y="73742"/>
                <a:pt x="400675" y="77078"/>
                <a:pt x="401484" y="81935"/>
              </a:cubicBezTo>
              <a:cubicBezTo>
                <a:pt x="402194" y="86195"/>
                <a:pt x="400441" y="91172"/>
                <a:pt x="397387" y="94226"/>
              </a:cubicBezTo>
              <a:cubicBezTo>
                <a:pt x="393069" y="98544"/>
                <a:pt x="386613" y="100013"/>
                <a:pt x="381000" y="102419"/>
              </a:cubicBezTo>
              <a:cubicBezTo>
                <a:pt x="377031" y="104120"/>
                <a:pt x="372753" y="105000"/>
                <a:pt x="368710" y="106516"/>
              </a:cubicBezTo>
              <a:cubicBezTo>
                <a:pt x="361824" y="109098"/>
                <a:pt x="355054" y="111979"/>
                <a:pt x="348226" y="114710"/>
              </a:cubicBezTo>
              <a:cubicBezTo>
                <a:pt x="341398" y="113344"/>
                <a:pt x="334635" y="109628"/>
                <a:pt x="327742" y="110613"/>
              </a:cubicBezTo>
              <a:cubicBezTo>
                <a:pt x="275961" y="118010"/>
                <a:pt x="244660" y="131471"/>
                <a:pt x="200742" y="159774"/>
              </a:cubicBezTo>
              <a:cubicBezTo>
                <a:pt x="158707" y="186863"/>
                <a:pt x="113200" y="210445"/>
                <a:pt x="77839" y="245806"/>
              </a:cubicBezTo>
              <a:cubicBezTo>
                <a:pt x="72377" y="251268"/>
                <a:pt x="66195" y="256095"/>
                <a:pt x="61452" y="262193"/>
              </a:cubicBezTo>
              <a:cubicBezTo>
                <a:pt x="55454" y="269905"/>
                <a:pt x="40060" y="299285"/>
                <a:pt x="36871" y="307258"/>
              </a:cubicBezTo>
              <a:cubicBezTo>
                <a:pt x="34780" y="312486"/>
                <a:pt x="33954" y="318140"/>
                <a:pt x="32774" y="323645"/>
              </a:cubicBezTo>
              <a:cubicBezTo>
                <a:pt x="29856" y="337262"/>
                <a:pt x="28407" y="351223"/>
                <a:pt x="24581" y="364613"/>
              </a:cubicBezTo>
              <a:lnTo>
                <a:pt x="16387" y="393290"/>
              </a:lnTo>
              <a:cubicBezTo>
                <a:pt x="15021" y="402849"/>
                <a:pt x="14070" y="412477"/>
                <a:pt x="12290" y="421968"/>
              </a:cubicBezTo>
              <a:cubicBezTo>
                <a:pt x="-3143" y="504279"/>
                <a:pt x="9824" y="418755"/>
                <a:pt x="0" y="487516"/>
              </a:cubicBezTo>
              <a:cubicBezTo>
                <a:pt x="1366" y="497075"/>
                <a:pt x="-1259" y="508159"/>
                <a:pt x="4097" y="516193"/>
              </a:cubicBezTo>
              <a:cubicBezTo>
                <a:pt x="7220" y="520878"/>
                <a:pt x="5975" y="504981"/>
                <a:pt x="8193" y="499806"/>
              </a:cubicBezTo>
              <a:cubicBezTo>
                <a:pt x="10133" y="495280"/>
                <a:pt x="14185" y="491920"/>
                <a:pt x="16387" y="487516"/>
              </a:cubicBezTo>
              <a:cubicBezTo>
                <a:pt x="18318" y="483654"/>
                <a:pt x="18387" y="479001"/>
                <a:pt x="20484" y="475226"/>
              </a:cubicBezTo>
              <a:cubicBezTo>
                <a:pt x="25266" y="466618"/>
                <a:pt x="32467" y="459453"/>
                <a:pt x="36871" y="450645"/>
              </a:cubicBezTo>
              <a:cubicBezTo>
                <a:pt x="40968" y="442451"/>
                <a:pt x="44616" y="434018"/>
                <a:pt x="49161" y="426064"/>
              </a:cubicBezTo>
              <a:cubicBezTo>
                <a:pt x="75752" y="379530"/>
                <a:pt x="65890" y="401897"/>
                <a:pt x="102419" y="352322"/>
              </a:cubicBezTo>
              <a:cubicBezTo>
                <a:pt x="111181" y="340430"/>
                <a:pt x="118137" y="327268"/>
                <a:pt x="127000" y="315451"/>
              </a:cubicBezTo>
              <a:cubicBezTo>
                <a:pt x="134554" y="305379"/>
                <a:pt x="144136" y="296927"/>
                <a:pt x="151581" y="286774"/>
              </a:cubicBezTo>
              <a:cubicBezTo>
                <a:pt x="179578" y="248596"/>
                <a:pt x="158091" y="258658"/>
                <a:pt x="184355" y="249903"/>
              </a:cubicBezTo>
              <a:cubicBezTo>
                <a:pt x="219310" y="214948"/>
                <a:pt x="170989" y="262111"/>
                <a:pt x="213032" y="225322"/>
              </a:cubicBezTo>
              <a:cubicBezTo>
                <a:pt x="218846" y="220235"/>
                <a:pt x="223090" y="213365"/>
                <a:pt x="229419" y="208935"/>
              </a:cubicBezTo>
              <a:cubicBezTo>
                <a:pt x="236924" y="203682"/>
                <a:pt x="246016" y="201136"/>
                <a:pt x="254000" y="196645"/>
              </a:cubicBezTo>
              <a:cubicBezTo>
                <a:pt x="305981" y="167406"/>
                <a:pt x="277877" y="177760"/>
                <a:pt x="307258" y="167968"/>
              </a:cubicBezTo>
              <a:cubicBezTo>
                <a:pt x="318431" y="156794"/>
                <a:pt x="321918" y="152147"/>
                <a:pt x="335935" y="143387"/>
              </a:cubicBezTo>
              <a:cubicBezTo>
                <a:pt x="341114" y="140150"/>
                <a:pt x="347086" y="138335"/>
                <a:pt x="352323" y="135193"/>
              </a:cubicBezTo>
              <a:cubicBezTo>
                <a:pt x="360767" y="130127"/>
                <a:pt x="367561" y="121920"/>
                <a:pt x="376903" y="118806"/>
              </a:cubicBezTo>
              <a:cubicBezTo>
                <a:pt x="385097" y="116075"/>
                <a:pt x="393105" y="112708"/>
                <a:pt x="401484" y="110613"/>
              </a:cubicBezTo>
              <a:cubicBezTo>
                <a:pt x="406946" y="109247"/>
                <a:pt x="412478" y="108134"/>
                <a:pt x="417871" y="106516"/>
              </a:cubicBezTo>
              <a:cubicBezTo>
                <a:pt x="467717" y="91561"/>
                <a:pt x="421085" y="103663"/>
                <a:pt x="458839" y="94226"/>
              </a:cubicBezTo>
              <a:cubicBezTo>
                <a:pt x="475226" y="95591"/>
                <a:pt x="491700" y="96149"/>
                <a:pt x="508000" y="98322"/>
              </a:cubicBezTo>
              <a:cubicBezTo>
                <a:pt x="512280" y="98893"/>
                <a:pt x="516022" y="101762"/>
                <a:pt x="520290" y="102419"/>
              </a:cubicBezTo>
              <a:cubicBezTo>
                <a:pt x="624069" y="118386"/>
                <a:pt x="519447" y="98153"/>
                <a:pt x="581742" y="110613"/>
              </a:cubicBezTo>
              <a:cubicBezTo>
                <a:pt x="587204" y="113344"/>
                <a:pt x="592516" y="116400"/>
                <a:pt x="598129" y="118806"/>
              </a:cubicBezTo>
              <a:cubicBezTo>
                <a:pt x="602098" y="120507"/>
                <a:pt x="607366" y="119850"/>
                <a:pt x="610419" y="122903"/>
              </a:cubicBezTo>
              <a:cubicBezTo>
                <a:pt x="614737" y="127221"/>
                <a:pt x="615583" y="133988"/>
                <a:pt x="618613" y="139290"/>
              </a:cubicBezTo>
              <a:cubicBezTo>
                <a:pt x="621056" y="143565"/>
                <a:pt x="623654" y="147798"/>
                <a:pt x="626806" y="151580"/>
              </a:cubicBezTo>
              <a:cubicBezTo>
                <a:pt x="630515" y="156031"/>
                <a:pt x="635326" y="159472"/>
                <a:pt x="639097" y="163871"/>
              </a:cubicBezTo>
              <a:cubicBezTo>
                <a:pt x="643541" y="169055"/>
                <a:pt x="646891" y="175119"/>
                <a:pt x="651387" y="180258"/>
              </a:cubicBezTo>
              <a:cubicBezTo>
                <a:pt x="656474" y="186072"/>
                <a:pt x="663031" y="190547"/>
                <a:pt x="667774" y="196645"/>
              </a:cubicBezTo>
              <a:cubicBezTo>
                <a:pt x="672663" y="202930"/>
                <a:pt x="675175" y="210844"/>
                <a:pt x="680064" y="217129"/>
              </a:cubicBezTo>
              <a:cubicBezTo>
                <a:pt x="684807" y="223227"/>
                <a:pt x="691365" y="227702"/>
                <a:pt x="696452" y="233516"/>
              </a:cubicBezTo>
              <a:cubicBezTo>
                <a:pt x="700948" y="238654"/>
                <a:pt x="704206" y="244800"/>
                <a:pt x="708742" y="249903"/>
              </a:cubicBezTo>
              <a:cubicBezTo>
                <a:pt x="731826" y="275872"/>
                <a:pt x="726439" y="263478"/>
                <a:pt x="745613" y="290871"/>
              </a:cubicBezTo>
              <a:cubicBezTo>
                <a:pt x="750179" y="297394"/>
                <a:pt x="753337" y="304832"/>
                <a:pt x="757903" y="311355"/>
              </a:cubicBezTo>
              <a:cubicBezTo>
                <a:pt x="762917" y="318518"/>
                <a:pt x="769857" y="324302"/>
                <a:pt x="774290" y="331839"/>
              </a:cubicBezTo>
              <a:cubicBezTo>
                <a:pt x="800860" y="377008"/>
                <a:pt x="794494" y="373033"/>
                <a:pt x="811161" y="413774"/>
              </a:cubicBezTo>
              <a:cubicBezTo>
                <a:pt x="819037" y="433026"/>
                <a:pt x="827548" y="452011"/>
                <a:pt x="835742" y="471129"/>
              </a:cubicBezTo>
              <a:cubicBezTo>
                <a:pt x="839839" y="480688"/>
                <a:pt x="844380" y="490068"/>
                <a:pt x="848032" y="499806"/>
              </a:cubicBezTo>
              <a:cubicBezTo>
                <a:pt x="852129" y="510731"/>
                <a:pt x="856399" y="521592"/>
                <a:pt x="860323" y="532580"/>
              </a:cubicBezTo>
              <a:cubicBezTo>
                <a:pt x="863228" y="540714"/>
                <a:pt x="866034" y="548888"/>
                <a:pt x="868516" y="557161"/>
              </a:cubicBezTo>
              <a:cubicBezTo>
                <a:pt x="870134" y="562554"/>
                <a:pt x="878243" y="573548"/>
                <a:pt x="872613" y="573548"/>
              </a:cubicBezTo>
              <a:cubicBezTo>
                <a:pt x="868644" y="573548"/>
                <a:pt x="861997" y="548637"/>
                <a:pt x="860323" y="544871"/>
              </a:cubicBezTo>
              <a:cubicBezTo>
                <a:pt x="856602" y="536500"/>
                <a:pt x="851434" y="528796"/>
                <a:pt x="848032" y="520290"/>
              </a:cubicBezTo>
              <a:cubicBezTo>
                <a:pt x="843221" y="508261"/>
                <a:pt x="840553" y="495448"/>
                <a:pt x="835742" y="483419"/>
              </a:cubicBezTo>
              <a:cubicBezTo>
                <a:pt x="829614" y="468099"/>
                <a:pt x="821132" y="453774"/>
                <a:pt x="815258" y="438355"/>
              </a:cubicBezTo>
              <a:cubicBezTo>
                <a:pt x="810183" y="425032"/>
                <a:pt x="807713" y="410831"/>
                <a:pt x="802968" y="397387"/>
              </a:cubicBezTo>
              <a:cubicBezTo>
                <a:pt x="788397" y="356102"/>
                <a:pt x="795254" y="382120"/>
                <a:pt x="782484" y="352322"/>
              </a:cubicBezTo>
              <a:cubicBezTo>
                <a:pt x="769268" y="321484"/>
                <a:pt x="793516" y="364806"/>
                <a:pt x="766097" y="315451"/>
              </a:cubicBezTo>
              <a:cubicBezTo>
                <a:pt x="761274" y="306770"/>
                <a:pt x="750930" y="294218"/>
                <a:pt x="745613" y="286774"/>
              </a:cubicBezTo>
              <a:cubicBezTo>
                <a:pt x="742751" y="282767"/>
                <a:pt x="740901" y="277966"/>
                <a:pt x="737419" y="274484"/>
              </a:cubicBezTo>
              <a:cubicBezTo>
                <a:pt x="733937" y="271002"/>
                <a:pt x="728772" y="269602"/>
                <a:pt x="725129" y="266290"/>
              </a:cubicBezTo>
              <a:cubicBezTo>
                <a:pt x="713697" y="255897"/>
                <a:pt x="703280" y="244441"/>
                <a:pt x="692355" y="233516"/>
              </a:cubicBezTo>
              <a:lnTo>
                <a:pt x="659581" y="200742"/>
              </a:lnTo>
              <a:cubicBezTo>
                <a:pt x="593830" y="134991"/>
                <a:pt x="664586" y="204017"/>
                <a:pt x="606323" y="151580"/>
              </a:cubicBezTo>
              <a:cubicBezTo>
                <a:pt x="592994" y="139584"/>
                <a:pt x="591013" y="131763"/>
                <a:pt x="573548" y="127000"/>
              </a:cubicBezTo>
              <a:cubicBezTo>
                <a:pt x="564232" y="124459"/>
                <a:pt x="554430" y="124269"/>
                <a:pt x="544871" y="122903"/>
              </a:cubicBezTo>
              <a:cubicBezTo>
                <a:pt x="540774" y="121537"/>
                <a:pt x="528263" y="118806"/>
                <a:pt x="532581" y="118806"/>
              </a:cubicBezTo>
              <a:cubicBezTo>
                <a:pt x="538608" y="118806"/>
                <a:pt x="567082" y="121238"/>
                <a:pt x="577645" y="127000"/>
              </a:cubicBezTo>
              <a:cubicBezTo>
                <a:pt x="588955" y="133169"/>
                <a:pt x="598646" y="142252"/>
                <a:pt x="610419" y="147484"/>
              </a:cubicBezTo>
              <a:cubicBezTo>
                <a:pt x="622709" y="152946"/>
                <a:pt x="635260" y="157856"/>
                <a:pt x="647290" y="163871"/>
              </a:cubicBezTo>
              <a:cubicBezTo>
                <a:pt x="687034" y="183743"/>
                <a:pt x="721379" y="203717"/>
                <a:pt x="757903" y="229419"/>
              </a:cubicBezTo>
              <a:cubicBezTo>
                <a:pt x="776220" y="242309"/>
                <a:pt x="793826" y="256204"/>
                <a:pt x="811161" y="270387"/>
              </a:cubicBezTo>
              <a:cubicBezTo>
                <a:pt x="823866" y="280782"/>
                <a:pt x="854834" y="308442"/>
                <a:pt x="868516" y="323645"/>
              </a:cubicBezTo>
              <a:cubicBezTo>
                <a:pt x="881025" y="337544"/>
                <a:pt x="883968" y="342727"/>
                <a:pt x="893097" y="356419"/>
              </a:cubicBezTo>
              <a:cubicBezTo>
                <a:pt x="894723" y="372681"/>
                <a:pt x="897666" y="407944"/>
                <a:pt x="901290" y="426064"/>
              </a:cubicBezTo>
              <a:cubicBezTo>
                <a:pt x="908470" y="461963"/>
                <a:pt x="908307" y="452186"/>
                <a:pt x="917677" y="483419"/>
              </a:cubicBezTo>
              <a:cubicBezTo>
                <a:pt x="933105" y="534847"/>
                <a:pt x="912106" y="470801"/>
                <a:pt x="925871" y="512097"/>
              </a:cubicBezTo>
              <a:cubicBezTo>
                <a:pt x="927237" y="527118"/>
                <a:pt x="927975" y="542210"/>
                <a:pt x="929968" y="557161"/>
              </a:cubicBezTo>
              <a:cubicBezTo>
                <a:pt x="935057" y="595334"/>
                <a:pt x="934064" y="554957"/>
                <a:pt x="934064" y="58583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229419</xdr:colOff>
      <xdr:row>119</xdr:row>
      <xdr:rowOff>49162</xdr:rowOff>
    </xdr:from>
    <xdr:to>
      <xdr:col>6</xdr:col>
      <xdr:colOff>24580</xdr:colOff>
      <xdr:row>120</xdr:row>
      <xdr:rowOff>151581</xdr:rowOff>
    </xdr:to>
    <xdr:cxnSp macro="">
      <xdr:nvCxnSpPr>
        <xdr:cNvPr id="17" name="Straight Connector 16">
          <a:extLst>
            <a:ext uri="{FF2B5EF4-FFF2-40B4-BE49-F238E27FC236}">
              <a16:creationId xmlns:a16="http://schemas.microsoft.com/office/drawing/2014/main" id="{E12797A4-155D-E74A-F425-20479C7D6E39}"/>
            </a:ext>
          </a:extLst>
        </xdr:cNvPr>
        <xdr:cNvCxnSpPr/>
      </xdr:nvCxnSpPr>
      <xdr:spPr>
        <a:xfrm flipH="1" flipV="1">
          <a:off x="13553562904" y="24523291"/>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667775</xdr:colOff>
      <xdr:row>119</xdr:row>
      <xdr:rowOff>118807</xdr:rowOff>
    </xdr:from>
    <xdr:to>
      <xdr:col>6</xdr:col>
      <xdr:colOff>462936</xdr:colOff>
      <xdr:row>121</xdr:row>
      <xdr:rowOff>16388</xdr:rowOff>
    </xdr:to>
    <xdr:cxnSp macro="">
      <xdr:nvCxnSpPr>
        <xdr:cNvPr id="18" name="Straight Connector 17">
          <a:extLst>
            <a:ext uri="{FF2B5EF4-FFF2-40B4-BE49-F238E27FC236}">
              <a16:creationId xmlns:a16="http://schemas.microsoft.com/office/drawing/2014/main" id="{A0F64B0A-26D0-C908-C85A-6FBC224534EB}"/>
            </a:ext>
          </a:extLst>
        </xdr:cNvPr>
        <xdr:cNvCxnSpPr/>
      </xdr:nvCxnSpPr>
      <xdr:spPr>
        <a:xfrm flipH="1" flipV="1">
          <a:off x="13553124548" y="2459293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127000</xdr:colOff>
      <xdr:row>111</xdr:row>
      <xdr:rowOff>147484</xdr:rowOff>
    </xdr:from>
    <xdr:to>
      <xdr:col>7</xdr:col>
      <xdr:colOff>762000</xdr:colOff>
      <xdr:row>113</xdr:row>
      <xdr:rowOff>28677</xdr:rowOff>
    </xdr:to>
    <xdr:cxnSp macro="">
      <xdr:nvCxnSpPr>
        <xdr:cNvPr id="20" name="Straight Arrow Connector 19">
          <a:extLst>
            <a:ext uri="{FF2B5EF4-FFF2-40B4-BE49-F238E27FC236}">
              <a16:creationId xmlns:a16="http://schemas.microsoft.com/office/drawing/2014/main" id="{9D6B680D-866B-2A36-30BA-C17ADD1DCEC5}"/>
            </a:ext>
          </a:extLst>
        </xdr:cNvPr>
        <xdr:cNvCxnSpPr/>
      </xdr:nvCxnSpPr>
      <xdr:spPr>
        <a:xfrm>
          <a:off x="13551997935" y="22982903"/>
          <a:ext cx="635000" cy="290871"/>
        </a:xfrm>
        <a:prstGeom prst="straightConnector1">
          <a:avLst/>
        </a:prstGeom>
        <a:ln w="76200">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56259</xdr:colOff>
      <xdr:row>6</xdr:row>
      <xdr:rowOff>130171</xdr:rowOff>
    </xdr:from>
    <xdr:to>
      <xdr:col>8</xdr:col>
      <xdr:colOff>570911</xdr:colOff>
      <xdr:row>71</xdr:row>
      <xdr:rowOff>140051</xdr:rowOff>
    </xdr:to>
    <xdr:sp macro="" textlink="">
      <xdr:nvSpPr>
        <xdr:cNvPr id="2" name="TextBox 1">
          <a:extLst>
            <a:ext uri="{FF2B5EF4-FFF2-40B4-BE49-F238E27FC236}">
              <a16:creationId xmlns:a16="http://schemas.microsoft.com/office/drawing/2014/main" id="{D7AD3A88-5267-8BA4-8C9E-4831899D4A11}"/>
            </a:ext>
          </a:extLst>
        </xdr:cNvPr>
        <xdr:cNvSpPr txBox="1"/>
      </xdr:nvSpPr>
      <xdr:spPr>
        <a:xfrm>
          <a:off x="13499573650" y="1352427"/>
          <a:ext cx="7109740" cy="13250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 המשוער:</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0</xdr:col>
      <xdr:colOff>532402</xdr:colOff>
      <xdr:row>146</xdr:row>
      <xdr:rowOff>183014</xdr:rowOff>
    </xdr:from>
    <xdr:to>
      <xdr:col>0</xdr:col>
      <xdr:colOff>793057</xdr:colOff>
      <xdr:row>148</xdr:row>
      <xdr:rowOff>16638</xdr:rowOff>
    </xdr:to>
    <xdr:sp macro="" textlink="">
      <xdr:nvSpPr>
        <xdr:cNvPr id="3" name="Rectangle 2">
          <a:extLst>
            <a:ext uri="{FF2B5EF4-FFF2-40B4-BE49-F238E27FC236}">
              <a16:creationId xmlns:a16="http://schemas.microsoft.com/office/drawing/2014/main" id="{325B990C-CFEF-9F4F-9E54-29F5E694F7BD}"/>
            </a:ext>
          </a:extLst>
        </xdr:cNvPr>
        <xdr:cNvSpPr/>
      </xdr:nvSpPr>
      <xdr:spPr>
        <a:xfrm>
          <a:off x="13524198943" y="13721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150</xdr:row>
      <xdr:rowOff>194105</xdr:rowOff>
    </xdr:from>
    <xdr:to>
      <xdr:col>0</xdr:col>
      <xdr:colOff>793057</xdr:colOff>
      <xdr:row>152</xdr:row>
      <xdr:rowOff>27728</xdr:rowOff>
    </xdr:to>
    <xdr:sp macro="" textlink="">
      <xdr:nvSpPr>
        <xdr:cNvPr id="4" name="Rectangle 3">
          <a:extLst>
            <a:ext uri="{FF2B5EF4-FFF2-40B4-BE49-F238E27FC236}">
              <a16:creationId xmlns:a16="http://schemas.microsoft.com/office/drawing/2014/main" id="{B97B5C13-1908-9741-9787-D8B917133F33}"/>
            </a:ext>
          </a:extLst>
        </xdr:cNvPr>
        <xdr:cNvSpPr/>
      </xdr:nvSpPr>
      <xdr:spPr>
        <a:xfrm>
          <a:off x="13524198943" y="14545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147</xdr:row>
      <xdr:rowOff>199799</xdr:rowOff>
    </xdr:from>
    <xdr:to>
      <xdr:col>0</xdr:col>
      <xdr:colOff>793057</xdr:colOff>
      <xdr:row>149</xdr:row>
      <xdr:rowOff>33423</xdr:rowOff>
    </xdr:to>
    <xdr:sp macro="" textlink="">
      <xdr:nvSpPr>
        <xdr:cNvPr id="5" name="Rectangle 4">
          <a:extLst>
            <a:ext uri="{FF2B5EF4-FFF2-40B4-BE49-F238E27FC236}">
              <a16:creationId xmlns:a16="http://schemas.microsoft.com/office/drawing/2014/main" id="{F8B6403F-8036-8B43-AA60-EBCD2DABF6B2}"/>
            </a:ext>
          </a:extLst>
        </xdr:cNvPr>
        <xdr:cNvSpPr/>
      </xdr:nvSpPr>
      <xdr:spPr>
        <a:xfrm>
          <a:off x="13524198943" y="13941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346</xdr:row>
      <xdr:rowOff>183014</xdr:rowOff>
    </xdr:from>
    <xdr:to>
      <xdr:col>0</xdr:col>
      <xdr:colOff>793057</xdr:colOff>
      <xdr:row>348</xdr:row>
      <xdr:rowOff>16638</xdr:rowOff>
    </xdr:to>
    <xdr:sp macro="" textlink="">
      <xdr:nvSpPr>
        <xdr:cNvPr id="8" name="Rectangle 7">
          <a:extLst>
            <a:ext uri="{FF2B5EF4-FFF2-40B4-BE49-F238E27FC236}">
              <a16:creationId xmlns:a16="http://schemas.microsoft.com/office/drawing/2014/main" id="{A5D031D1-9495-2D40-87E6-2D647F6A53EC}"/>
            </a:ext>
          </a:extLst>
        </xdr:cNvPr>
        <xdr:cNvSpPr/>
      </xdr:nvSpPr>
      <xdr:spPr>
        <a:xfrm>
          <a:off x="13524198943" y="50297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350</xdr:row>
      <xdr:rowOff>194105</xdr:rowOff>
    </xdr:from>
    <xdr:to>
      <xdr:col>0</xdr:col>
      <xdr:colOff>793057</xdr:colOff>
      <xdr:row>352</xdr:row>
      <xdr:rowOff>27728</xdr:rowOff>
    </xdr:to>
    <xdr:sp macro="" textlink="">
      <xdr:nvSpPr>
        <xdr:cNvPr id="9" name="Rectangle 8">
          <a:extLst>
            <a:ext uri="{FF2B5EF4-FFF2-40B4-BE49-F238E27FC236}">
              <a16:creationId xmlns:a16="http://schemas.microsoft.com/office/drawing/2014/main" id="{9167A974-4F9D-8A48-BFC7-9673DC897DE7}"/>
            </a:ext>
          </a:extLst>
        </xdr:cNvPr>
        <xdr:cNvSpPr/>
      </xdr:nvSpPr>
      <xdr:spPr>
        <a:xfrm>
          <a:off x="13524198943" y="51121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347</xdr:row>
      <xdr:rowOff>199799</xdr:rowOff>
    </xdr:from>
    <xdr:to>
      <xdr:col>0</xdr:col>
      <xdr:colOff>793057</xdr:colOff>
      <xdr:row>349</xdr:row>
      <xdr:rowOff>33423</xdr:rowOff>
    </xdr:to>
    <xdr:sp macro="" textlink="">
      <xdr:nvSpPr>
        <xdr:cNvPr id="10" name="Rectangle 9">
          <a:extLst>
            <a:ext uri="{FF2B5EF4-FFF2-40B4-BE49-F238E27FC236}">
              <a16:creationId xmlns:a16="http://schemas.microsoft.com/office/drawing/2014/main" id="{3EBCDFD2-3704-1949-9479-1DA2622C19E9}"/>
            </a:ext>
          </a:extLst>
        </xdr:cNvPr>
        <xdr:cNvSpPr/>
      </xdr:nvSpPr>
      <xdr:spPr>
        <a:xfrm>
          <a:off x="13524198943" y="50517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356</xdr:row>
      <xdr:rowOff>183014</xdr:rowOff>
    </xdr:from>
    <xdr:to>
      <xdr:col>0</xdr:col>
      <xdr:colOff>793057</xdr:colOff>
      <xdr:row>358</xdr:row>
      <xdr:rowOff>16638</xdr:rowOff>
    </xdr:to>
    <xdr:sp macro="" textlink="">
      <xdr:nvSpPr>
        <xdr:cNvPr id="11" name="Rectangle 10">
          <a:extLst>
            <a:ext uri="{FF2B5EF4-FFF2-40B4-BE49-F238E27FC236}">
              <a16:creationId xmlns:a16="http://schemas.microsoft.com/office/drawing/2014/main" id="{197FFDB2-E21C-DA41-AB62-F70E32B5CD6D}"/>
            </a:ext>
          </a:extLst>
        </xdr:cNvPr>
        <xdr:cNvSpPr/>
      </xdr:nvSpPr>
      <xdr:spPr>
        <a:xfrm>
          <a:off x="13524198943" y="52329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360</xdr:row>
      <xdr:rowOff>194105</xdr:rowOff>
    </xdr:from>
    <xdr:to>
      <xdr:col>0</xdr:col>
      <xdr:colOff>793057</xdr:colOff>
      <xdr:row>362</xdr:row>
      <xdr:rowOff>27728</xdr:rowOff>
    </xdr:to>
    <xdr:sp macro="" textlink="">
      <xdr:nvSpPr>
        <xdr:cNvPr id="12" name="Rectangle 11">
          <a:extLst>
            <a:ext uri="{FF2B5EF4-FFF2-40B4-BE49-F238E27FC236}">
              <a16:creationId xmlns:a16="http://schemas.microsoft.com/office/drawing/2014/main" id="{59F4A15B-B116-034C-9344-BAF03D10C2C8}"/>
            </a:ext>
          </a:extLst>
        </xdr:cNvPr>
        <xdr:cNvSpPr/>
      </xdr:nvSpPr>
      <xdr:spPr>
        <a:xfrm>
          <a:off x="13524198943" y="53153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357</xdr:row>
      <xdr:rowOff>199799</xdr:rowOff>
    </xdr:from>
    <xdr:to>
      <xdr:col>0</xdr:col>
      <xdr:colOff>793057</xdr:colOff>
      <xdr:row>359</xdr:row>
      <xdr:rowOff>33423</xdr:rowOff>
    </xdr:to>
    <xdr:sp macro="" textlink="">
      <xdr:nvSpPr>
        <xdr:cNvPr id="13" name="Rectangle 12">
          <a:extLst>
            <a:ext uri="{FF2B5EF4-FFF2-40B4-BE49-F238E27FC236}">
              <a16:creationId xmlns:a16="http://schemas.microsoft.com/office/drawing/2014/main" id="{360A28C1-4C88-E34A-B327-89C23B48EE2A}"/>
            </a:ext>
          </a:extLst>
        </xdr:cNvPr>
        <xdr:cNvSpPr/>
      </xdr:nvSpPr>
      <xdr:spPr>
        <a:xfrm>
          <a:off x="13524198943" y="52549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5</xdr:col>
      <xdr:colOff>406400</xdr:colOff>
      <xdr:row>165</xdr:row>
      <xdr:rowOff>41275</xdr:rowOff>
    </xdr:from>
    <xdr:to>
      <xdr:col>5</xdr:col>
      <xdr:colOff>406400</xdr:colOff>
      <xdr:row>166</xdr:row>
      <xdr:rowOff>190500</xdr:rowOff>
    </xdr:to>
    <xdr:cxnSp macro="">
      <xdr:nvCxnSpPr>
        <xdr:cNvPr id="15" name="Straight Arrow Connector 14">
          <a:extLst>
            <a:ext uri="{FF2B5EF4-FFF2-40B4-BE49-F238E27FC236}">
              <a16:creationId xmlns:a16="http://schemas.microsoft.com/office/drawing/2014/main" id="{9A3E6D7F-E912-8F67-D258-E49D9E77E11A}"/>
            </a:ext>
          </a:extLst>
        </xdr:cNvPr>
        <xdr:cNvCxnSpPr/>
      </xdr:nvCxnSpPr>
      <xdr:spPr>
        <a:xfrm>
          <a:off x="1352045810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654050</xdr:colOff>
      <xdr:row>165</xdr:row>
      <xdr:rowOff>41275</xdr:rowOff>
    </xdr:from>
    <xdr:to>
      <xdr:col>4</xdr:col>
      <xdr:colOff>654050</xdr:colOff>
      <xdr:row>166</xdr:row>
      <xdr:rowOff>190500</xdr:rowOff>
    </xdr:to>
    <xdr:cxnSp macro="">
      <xdr:nvCxnSpPr>
        <xdr:cNvPr id="16" name="Straight Arrow Connector 15">
          <a:extLst>
            <a:ext uri="{FF2B5EF4-FFF2-40B4-BE49-F238E27FC236}">
              <a16:creationId xmlns:a16="http://schemas.microsoft.com/office/drawing/2014/main" id="{FA322821-BA56-B669-A9A7-D00F251A6B9F}"/>
            </a:ext>
          </a:extLst>
        </xdr:cNvPr>
        <xdr:cNvCxnSpPr/>
      </xdr:nvCxnSpPr>
      <xdr:spPr>
        <a:xfrm>
          <a:off x="1352103595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434976</xdr:colOff>
      <xdr:row>163</xdr:row>
      <xdr:rowOff>122241</xdr:rowOff>
    </xdr:from>
    <xdr:to>
      <xdr:col>5</xdr:col>
      <xdr:colOff>627063</xdr:colOff>
      <xdr:row>164</xdr:row>
      <xdr:rowOff>123829</xdr:rowOff>
    </xdr:to>
    <xdr:sp macro="" textlink="">
      <xdr:nvSpPr>
        <xdr:cNvPr id="17" name="Left Brace 16">
          <a:extLst>
            <a:ext uri="{FF2B5EF4-FFF2-40B4-BE49-F238E27FC236}">
              <a16:creationId xmlns:a16="http://schemas.microsoft.com/office/drawing/2014/main" id="{E3254EEA-4256-BCE4-E296-BF05260C25BF}"/>
            </a:ext>
          </a:extLst>
        </xdr:cNvPr>
        <xdr:cNvSpPr/>
      </xdr:nvSpPr>
      <xdr:spPr>
        <a:xfrm rot="5400000">
          <a:off x="13520643837" y="33015241"/>
          <a:ext cx="204788" cy="101758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454025</xdr:colOff>
      <xdr:row>164</xdr:row>
      <xdr:rowOff>187325</xdr:rowOff>
    </xdr:from>
    <xdr:to>
      <xdr:col>4</xdr:col>
      <xdr:colOff>355600</xdr:colOff>
      <xdr:row>166</xdr:row>
      <xdr:rowOff>187325</xdr:rowOff>
    </xdr:to>
    <xdr:cxnSp macro="">
      <xdr:nvCxnSpPr>
        <xdr:cNvPr id="18" name="Straight Arrow Connector 17">
          <a:extLst>
            <a:ext uri="{FF2B5EF4-FFF2-40B4-BE49-F238E27FC236}">
              <a16:creationId xmlns:a16="http://schemas.microsoft.com/office/drawing/2014/main" id="{C04688BB-59BF-3BE0-C235-64E8AE99B8A7}"/>
            </a:ext>
          </a:extLst>
        </xdr:cNvPr>
        <xdr:cNvCxnSpPr/>
      </xdr:nvCxnSpPr>
      <xdr:spPr>
        <a:xfrm>
          <a:off x="13521334400" y="33689925"/>
          <a:ext cx="727075" cy="406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133350</xdr:colOff>
      <xdr:row>164</xdr:row>
      <xdr:rowOff>107950</xdr:rowOff>
    </xdr:from>
    <xdr:to>
      <xdr:col>2</xdr:col>
      <xdr:colOff>774700</xdr:colOff>
      <xdr:row>164</xdr:row>
      <xdr:rowOff>111125</xdr:rowOff>
    </xdr:to>
    <xdr:cxnSp macro="">
      <xdr:nvCxnSpPr>
        <xdr:cNvPr id="20" name="Straight Arrow Connector 19">
          <a:extLst>
            <a:ext uri="{FF2B5EF4-FFF2-40B4-BE49-F238E27FC236}">
              <a16:creationId xmlns:a16="http://schemas.microsoft.com/office/drawing/2014/main" id="{EE28D63E-A64A-AE91-C37A-07809C31612E}"/>
            </a:ext>
          </a:extLst>
        </xdr:cNvPr>
        <xdr:cNvCxnSpPr/>
      </xdr:nvCxnSpPr>
      <xdr:spPr>
        <a:xfrm flipV="1">
          <a:off x="13522566300" y="33610550"/>
          <a:ext cx="641350"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495300</xdr:colOff>
      <xdr:row>180</xdr:row>
      <xdr:rowOff>184150</xdr:rowOff>
    </xdr:from>
    <xdr:to>
      <xdr:col>0</xdr:col>
      <xdr:colOff>742950</xdr:colOff>
      <xdr:row>181</xdr:row>
      <xdr:rowOff>184150</xdr:rowOff>
    </xdr:to>
    <xdr:sp macro="" textlink="">
      <xdr:nvSpPr>
        <xdr:cNvPr id="22" name="Rectangle 21">
          <a:extLst>
            <a:ext uri="{FF2B5EF4-FFF2-40B4-BE49-F238E27FC236}">
              <a16:creationId xmlns:a16="http://schemas.microsoft.com/office/drawing/2014/main" id="{3BB8E2EC-B7BD-0F9F-B7DF-60710DDCE64C}"/>
            </a:ext>
          </a:extLst>
        </xdr:cNvPr>
        <xdr:cNvSpPr/>
      </xdr:nvSpPr>
      <xdr:spPr>
        <a:xfrm>
          <a:off x="13524249050" y="369379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א</a:t>
          </a:r>
          <a:endParaRPr lang="en-US" sz="1100"/>
        </a:p>
      </xdr:txBody>
    </xdr:sp>
    <xdr:clientData/>
  </xdr:twoCellAnchor>
  <xdr:twoCellAnchor>
    <xdr:from>
      <xdr:col>0</xdr:col>
      <xdr:colOff>454025</xdr:colOff>
      <xdr:row>185</xdr:row>
      <xdr:rowOff>6350</xdr:rowOff>
    </xdr:from>
    <xdr:to>
      <xdr:col>0</xdr:col>
      <xdr:colOff>701675</xdr:colOff>
      <xdr:row>186</xdr:row>
      <xdr:rowOff>6350</xdr:rowOff>
    </xdr:to>
    <xdr:sp macro="" textlink="">
      <xdr:nvSpPr>
        <xdr:cNvPr id="23" name="Rectangle 22">
          <a:extLst>
            <a:ext uri="{FF2B5EF4-FFF2-40B4-BE49-F238E27FC236}">
              <a16:creationId xmlns:a16="http://schemas.microsoft.com/office/drawing/2014/main" id="{6A64A797-DE90-5D60-CFA4-1E59A13B716F}"/>
            </a:ext>
          </a:extLst>
        </xdr:cNvPr>
        <xdr:cNvSpPr/>
      </xdr:nvSpPr>
      <xdr:spPr>
        <a:xfrm>
          <a:off x="13524290325" y="377761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ב</a:t>
          </a:r>
          <a:endParaRPr lang="en-US" sz="1100"/>
        </a:p>
      </xdr:txBody>
    </xdr:sp>
    <xdr:clientData/>
  </xdr:twoCellAnchor>
  <xdr:twoCellAnchor>
    <xdr:from>
      <xdr:col>0</xdr:col>
      <xdr:colOff>495300</xdr:colOff>
      <xdr:row>182</xdr:row>
      <xdr:rowOff>6350</xdr:rowOff>
    </xdr:from>
    <xdr:to>
      <xdr:col>0</xdr:col>
      <xdr:colOff>742950</xdr:colOff>
      <xdr:row>183</xdr:row>
      <xdr:rowOff>6350</xdr:rowOff>
    </xdr:to>
    <xdr:sp macro="" textlink="">
      <xdr:nvSpPr>
        <xdr:cNvPr id="24" name="Rectangle 23">
          <a:extLst>
            <a:ext uri="{FF2B5EF4-FFF2-40B4-BE49-F238E27FC236}">
              <a16:creationId xmlns:a16="http://schemas.microsoft.com/office/drawing/2014/main" id="{AB77B6AE-E44A-8D3F-41E8-76D006B52F01}"/>
            </a:ext>
          </a:extLst>
        </xdr:cNvPr>
        <xdr:cNvSpPr/>
      </xdr:nvSpPr>
      <xdr:spPr>
        <a:xfrm>
          <a:off x="13524249050" y="371665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ג</a:t>
          </a:r>
          <a:endParaRPr lang="en-US" sz="1100"/>
        </a:p>
      </xdr:txBody>
    </xdr:sp>
    <xdr:clientData/>
  </xdr:twoCellAnchor>
  <xdr:twoCellAnchor>
    <xdr:from>
      <xdr:col>0</xdr:col>
      <xdr:colOff>444500</xdr:colOff>
      <xdr:row>205</xdr:row>
      <xdr:rowOff>190500</xdr:rowOff>
    </xdr:from>
    <xdr:to>
      <xdr:col>0</xdr:col>
      <xdr:colOff>730250</xdr:colOff>
      <xdr:row>207</xdr:row>
      <xdr:rowOff>9525</xdr:rowOff>
    </xdr:to>
    <xdr:sp macro="" textlink="">
      <xdr:nvSpPr>
        <xdr:cNvPr id="25" name="Rectangle 24">
          <a:extLst>
            <a:ext uri="{FF2B5EF4-FFF2-40B4-BE49-F238E27FC236}">
              <a16:creationId xmlns:a16="http://schemas.microsoft.com/office/drawing/2014/main" id="{A689A198-82DE-1EB8-0EFD-CCA1D1B7B69D}"/>
            </a:ext>
          </a:extLst>
        </xdr:cNvPr>
        <xdr:cNvSpPr/>
      </xdr:nvSpPr>
      <xdr:spPr>
        <a:xfrm>
          <a:off x="13524261750" y="42024300"/>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א</a:t>
          </a:r>
          <a:endParaRPr lang="en-US" sz="1100"/>
        </a:p>
      </xdr:txBody>
    </xdr:sp>
    <xdr:clientData/>
  </xdr:twoCellAnchor>
  <xdr:twoCellAnchor>
    <xdr:from>
      <xdr:col>6</xdr:col>
      <xdr:colOff>6350</xdr:colOff>
      <xdr:row>206</xdr:row>
      <xdr:rowOff>3175</xdr:rowOff>
    </xdr:from>
    <xdr:to>
      <xdr:col>6</xdr:col>
      <xdr:colOff>282575</xdr:colOff>
      <xdr:row>209</xdr:row>
      <xdr:rowOff>9525</xdr:rowOff>
    </xdr:to>
    <xdr:sp macro="" textlink="">
      <xdr:nvSpPr>
        <xdr:cNvPr id="26" name="Left Brace 25">
          <a:extLst>
            <a:ext uri="{FF2B5EF4-FFF2-40B4-BE49-F238E27FC236}">
              <a16:creationId xmlns:a16="http://schemas.microsoft.com/office/drawing/2014/main" id="{F0AF3A56-CB83-C69E-4A60-051AB5792F15}"/>
            </a:ext>
          </a:extLst>
        </xdr:cNvPr>
        <xdr:cNvSpPr/>
      </xdr:nvSpPr>
      <xdr:spPr>
        <a:xfrm>
          <a:off x="13519756425" y="42040175"/>
          <a:ext cx="276225" cy="6159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282575</xdr:colOff>
      <xdr:row>207</xdr:row>
      <xdr:rowOff>107950</xdr:rowOff>
    </xdr:from>
    <xdr:to>
      <xdr:col>6</xdr:col>
      <xdr:colOff>727075</xdr:colOff>
      <xdr:row>207</xdr:row>
      <xdr:rowOff>107950</xdr:rowOff>
    </xdr:to>
    <xdr:cxnSp macro="">
      <xdr:nvCxnSpPr>
        <xdr:cNvPr id="28" name="Straight Arrow Connector 27">
          <a:extLst>
            <a:ext uri="{FF2B5EF4-FFF2-40B4-BE49-F238E27FC236}">
              <a16:creationId xmlns:a16="http://schemas.microsoft.com/office/drawing/2014/main" id="{F43394E1-4B20-530E-9F97-19E365AA6545}"/>
            </a:ext>
          </a:extLst>
        </xdr:cNvPr>
        <xdr:cNvCxnSpPr>
          <a:stCxn id="26" idx="1"/>
        </xdr:cNvCxnSpPr>
      </xdr:nvCxnSpPr>
      <xdr:spPr>
        <a:xfrm flipH="1">
          <a:off x="13519311925" y="42348150"/>
          <a:ext cx="4445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454025</xdr:colOff>
      <xdr:row>209</xdr:row>
      <xdr:rowOff>187325</xdr:rowOff>
    </xdr:from>
    <xdr:to>
      <xdr:col>0</xdr:col>
      <xdr:colOff>739775</xdr:colOff>
      <xdr:row>211</xdr:row>
      <xdr:rowOff>6350</xdr:rowOff>
    </xdr:to>
    <xdr:sp macro="" textlink="">
      <xdr:nvSpPr>
        <xdr:cNvPr id="29" name="Rectangle 28">
          <a:extLst>
            <a:ext uri="{FF2B5EF4-FFF2-40B4-BE49-F238E27FC236}">
              <a16:creationId xmlns:a16="http://schemas.microsoft.com/office/drawing/2014/main" id="{FEA248D4-59C7-AE9C-8D57-28EFE21D9A7E}"/>
            </a:ext>
          </a:extLst>
        </xdr:cNvPr>
        <xdr:cNvSpPr/>
      </xdr:nvSpPr>
      <xdr:spPr>
        <a:xfrm>
          <a:off x="13524252225" y="4283392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ב</a:t>
          </a:r>
          <a:endParaRPr lang="en-US" sz="1100"/>
        </a:p>
      </xdr:txBody>
    </xdr:sp>
    <xdr:clientData/>
  </xdr:twoCellAnchor>
  <xdr:twoCellAnchor>
    <xdr:from>
      <xdr:col>0</xdr:col>
      <xdr:colOff>441325</xdr:colOff>
      <xdr:row>207</xdr:row>
      <xdr:rowOff>28575</xdr:rowOff>
    </xdr:from>
    <xdr:to>
      <xdr:col>0</xdr:col>
      <xdr:colOff>727075</xdr:colOff>
      <xdr:row>208</xdr:row>
      <xdr:rowOff>50800</xdr:rowOff>
    </xdr:to>
    <xdr:sp macro="" textlink="">
      <xdr:nvSpPr>
        <xdr:cNvPr id="30" name="Rectangle 29">
          <a:extLst>
            <a:ext uri="{FF2B5EF4-FFF2-40B4-BE49-F238E27FC236}">
              <a16:creationId xmlns:a16="http://schemas.microsoft.com/office/drawing/2014/main" id="{58E77C27-8B5D-7EBB-0078-2B5E7585BF27}"/>
            </a:ext>
          </a:extLst>
        </xdr:cNvPr>
        <xdr:cNvSpPr/>
      </xdr:nvSpPr>
      <xdr:spPr>
        <a:xfrm>
          <a:off x="13524264925" y="4226877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ג</a:t>
          </a:r>
          <a:endParaRPr lang="en-US" sz="1100"/>
        </a:p>
      </xdr:txBody>
    </xdr:sp>
    <xdr:clientData/>
  </xdr:twoCellAnchor>
  <xdr:twoCellAnchor>
    <xdr:from>
      <xdr:col>4</xdr:col>
      <xdr:colOff>712982</xdr:colOff>
      <xdr:row>208</xdr:row>
      <xdr:rowOff>120316</xdr:rowOff>
    </xdr:from>
    <xdr:to>
      <xdr:col>5</xdr:col>
      <xdr:colOff>120315</xdr:colOff>
      <xdr:row>208</xdr:row>
      <xdr:rowOff>120316</xdr:rowOff>
    </xdr:to>
    <xdr:cxnSp macro="">
      <xdr:nvCxnSpPr>
        <xdr:cNvPr id="32" name="Straight Connector 31">
          <a:extLst>
            <a:ext uri="{FF2B5EF4-FFF2-40B4-BE49-F238E27FC236}">
              <a16:creationId xmlns:a16="http://schemas.microsoft.com/office/drawing/2014/main" id="{E02FAD4D-3F70-5B02-EE27-52DE2F593468}"/>
            </a:ext>
          </a:extLst>
        </xdr:cNvPr>
        <xdr:cNvCxnSpPr/>
      </xdr:nvCxnSpPr>
      <xdr:spPr>
        <a:xfrm flipH="1">
          <a:off x="13502497404" y="42899263"/>
          <a:ext cx="23171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115859</xdr:colOff>
      <xdr:row>208</xdr:row>
      <xdr:rowOff>124772</xdr:rowOff>
    </xdr:from>
    <xdr:to>
      <xdr:col>5</xdr:col>
      <xdr:colOff>115859</xdr:colOff>
      <xdr:row>209</xdr:row>
      <xdr:rowOff>129228</xdr:rowOff>
    </xdr:to>
    <xdr:cxnSp macro="">
      <xdr:nvCxnSpPr>
        <xdr:cNvPr id="33" name="Straight Connector 32">
          <a:extLst>
            <a:ext uri="{FF2B5EF4-FFF2-40B4-BE49-F238E27FC236}">
              <a16:creationId xmlns:a16="http://schemas.microsoft.com/office/drawing/2014/main" id="{B593EE73-FF25-B4A2-D2E9-18C08B469D85}"/>
            </a:ext>
          </a:extLst>
        </xdr:cNvPr>
        <xdr:cNvCxnSpPr/>
      </xdr:nvCxnSpPr>
      <xdr:spPr>
        <a:xfrm>
          <a:off x="13502501860" y="42903719"/>
          <a:ext cx="0" cy="2094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120315</xdr:colOff>
      <xdr:row>209</xdr:row>
      <xdr:rowOff>129227</xdr:rowOff>
    </xdr:from>
    <xdr:to>
      <xdr:col>9</xdr:col>
      <xdr:colOff>686245</xdr:colOff>
      <xdr:row>209</xdr:row>
      <xdr:rowOff>129228</xdr:rowOff>
    </xdr:to>
    <xdr:cxnSp macro="">
      <xdr:nvCxnSpPr>
        <xdr:cNvPr id="36" name="Straight Connector 35">
          <a:extLst>
            <a:ext uri="{FF2B5EF4-FFF2-40B4-BE49-F238E27FC236}">
              <a16:creationId xmlns:a16="http://schemas.microsoft.com/office/drawing/2014/main" id="{5AB2F697-3C08-939A-B008-7C93913B28EA}"/>
            </a:ext>
          </a:extLst>
        </xdr:cNvPr>
        <xdr:cNvCxnSpPr/>
      </xdr:nvCxnSpPr>
      <xdr:spPr>
        <a:xfrm flipH="1">
          <a:off x="13498633930" y="43113157"/>
          <a:ext cx="386347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677333</xdr:colOff>
      <xdr:row>209</xdr:row>
      <xdr:rowOff>133683</xdr:rowOff>
    </xdr:from>
    <xdr:to>
      <xdr:col>9</xdr:col>
      <xdr:colOff>695157</xdr:colOff>
      <xdr:row>227</xdr:row>
      <xdr:rowOff>106948</xdr:rowOff>
    </xdr:to>
    <xdr:cxnSp macro="">
      <xdr:nvCxnSpPr>
        <xdr:cNvPr id="38" name="Straight Connector 37">
          <a:extLst>
            <a:ext uri="{FF2B5EF4-FFF2-40B4-BE49-F238E27FC236}">
              <a16:creationId xmlns:a16="http://schemas.microsoft.com/office/drawing/2014/main" id="{209A23EC-DB01-8BCE-ECA7-608707C45E56}"/>
            </a:ext>
          </a:extLst>
        </xdr:cNvPr>
        <xdr:cNvCxnSpPr/>
      </xdr:nvCxnSpPr>
      <xdr:spPr>
        <a:xfrm flipH="1">
          <a:off x="13498625018" y="43117613"/>
          <a:ext cx="17824" cy="36718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797649</xdr:colOff>
      <xdr:row>227</xdr:row>
      <xdr:rowOff>111404</xdr:rowOff>
    </xdr:from>
    <xdr:to>
      <xdr:col>9</xdr:col>
      <xdr:colOff>712982</xdr:colOff>
      <xdr:row>227</xdr:row>
      <xdr:rowOff>120317</xdr:rowOff>
    </xdr:to>
    <xdr:cxnSp macro="">
      <xdr:nvCxnSpPr>
        <xdr:cNvPr id="41" name="Straight Arrow Connector 40">
          <a:extLst>
            <a:ext uri="{FF2B5EF4-FFF2-40B4-BE49-F238E27FC236}">
              <a16:creationId xmlns:a16="http://schemas.microsoft.com/office/drawing/2014/main" id="{06D5B4A1-D2CC-D252-0AD3-24BE8166F950}"/>
            </a:ext>
          </a:extLst>
        </xdr:cNvPr>
        <xdr:cNvCxnSpPr/>
      </xdr:nvCxnSpPr>
      <xdr:spPr>
        <a:xfrm>
          <a:off x="13498607193" y="46793930"/>
          <a:ext cx="3212877" cy="8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479425</xdr:colOff>
      <xdr:row>240</xdr:row>
      <xdr:rowOff>114300</xdr:rowOff>
    </xdr:from>
    <xdr:to>
      <xdr:col>3</xdr:col>
      <xdr:colOff>6350</xdr:colOff>
      <xdr:row>240</xdr:row>
      <xdr:rowOff>117475</xdr:rowOff>
    </xdr:to>
    <xdr:cxnSp macro="">
      <xdr:nvCxnSpPr>
        <xdr:cNvPr id="45" name="Straight Connector 44">
          <a:extLst>
            <a:ext uri="{FF2B5EF4-FFF2-40B4-BE49-F238E27FC236}">
              <a16:creationId xmlns:a16="http://schemas.microsoft.com/office/drawing/2014/main" id="{3D2E4159-8AE9-FECF-B045-FD42C4D7162E}"/>
            </a:ext>
          </a:extLst>
        </xdr:cNvPr>
        <xdr:cNvCxnSpPr/>
      </xdr:nvCxnSpPr>
      <xdr:spPr>
        <a:xfrm>
          <a:off x="13522509150" y="49085500"/>
          <a:ext cx="352425"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240</xdr:row>
      <xdr:rowOff>117475</xdr:rowOff>
    </xdr:from>
    <xdr:to>
      <xdr:col>2</xdr:col>
      <xdr:colOff>492125</xdr:colOff>
      <xdr:row>245</xdr:row>
      <xdr:rowOff>114300</xdr:rowOff>
    </xdr:to>
    <xdr:cxnSp macro="">
      <xdr:nvCxnSpPr>
        <xdr:cNvPr id="46" name="Straight Connector 45">
          <a:extLst>
            <a:ext uri="{FF2B5EF4-FFF2-40B4-BE49-F238E27FC236}">
              <a16:creationId xmlns:a16="http://schemas.microsoft.com/office/drawing/2014/main" id="{34BE654B-0826-74CA-354D-6B3106664EB6}"/>
            </a:ext>
          </a:extLst>
        </xdr:cNvPr>
        <xdr:cNvCxnSpPr/>
      </xdr:nvCxnSpPr>
      <xdr:spPr>
        <a:xfrm>
          <a:off x="13522848875" y="49088675"/>
          <a:ext cx="15875" cy="101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245</xdr:row>
      <xdr:rowOff>108144</xdr:rowOff>
    </xdr:from>
    <xdr:to>
      <xdr:col>3</xdr:col>
      <xdr:colOff>0</xdr:colOff>
      <xdr:row>245</xdr:row>
      <xdr:rowOff>124642</xdr:rowOff>
    </xdr:to>
    <xdr:cxnSp macro="">
      <xdr:nvCxnSpPr>
        <xdr:cNvPr id="48" name="Straight Connector 47">
          <a:extLst>
            <a:ext uri="{FF2B5EF4-FFF2-40B4-BE49-F238E27FC236}">
              <a16:creationId xmlns:a16="http://schemas.microsoft.com/office/drawing/2014/main" id="{29330211-E137-5E3C-8B61-9565DA845553}"/>
            </a:ext>
          </a:extLst>
        </xdr:cNvPr>
        <xdr:cNvCxnSpPr/>
      </xdr:nvCxnSpPr>
      <xdr:spPr>
        <a:xfrm flipH="1">
          <a:off x="13519756366" y="49843635"/>
          <a:ext cx="352964"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247</xdr:row>
      <xdr:rowOff>111167</xdr:rowOff>
    </xdr:from>
    <xdr:to>
      <xdr:col>8</xdr:col>
      <xdr:colOff>407613</xdr:colOff>
      <xdr:row>247</xdr:row>
      <xdr:rowOff>117475</xdr:rowOff>
    </xdr:to>
    <xdr:cxnSp macro="">
      <xdr:nvCxnSpPr>
        <xdr:cNvPr id="51" name="Straight Connector 50">
          <a:extLst>
            <a:ext uri="{FF2B5EF4-FFF2-40B4-BE49-F238E27FC236}">
              <a16:creationId xmlns:a16="http://schemas.microsoft.com/office/drawing/2014/main" id="{89D1F687-D309-F7EC-AEDB-D964EB84B9A1}"/>
            </a:ext>
          </a:extLst>
        </xdr:cNvPr>
        <xdr:cNvCxnSpPr/>
      </xdr:nvCxnSpPr>
      <xdr:spPr>
        <a:xfrm>
          <a:off x="13515222095" y="50250902"/>
          <a:ext cx="2087526"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240</xdr:row>
      <xdr:rowOff>131379</xdr:rowOff>
    </xdr:from>
    <xdr:to>
      <xdr:col>8</xdr:col>
      <xdr:colOff>398770</xdr:colOff>
      <xdr:row>247</xdr:row>
      <xdr:rowOff>97456</xdr:rowOff>
    </xdr:to>
    <xdr:cxnSp macro="">
      <xdr:nvCxnSpPr>
        <xdr:cNvPr id="53" name="Straight Connector 52">
          <a:extLst>
            <a:ext uri="{FF2B5EF4-FFF2-40B4-BE49-F238E27FC236}">
              <a16:creationId xmlns:a16="http://schemas.microsoft.com/office/drawing/2014/main" id="{EAE6B820-6514-8E53-C95C-437B0C5B5190}"/>
            </a:ext>
          </a:extLst>
        </xdr:cNvPr>
        <xdr:cNvCxnSpPr/>
      </xdr:nvCxnSpPr>
      <xdr:spPr>
        <a:xfrm flipH="1">
          <a:off x="13515230938" y="48856260"/>
          <a:ext cx="21476" cy="13809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240</xdr:row>
      <xdr:rowOff>128010</xdr:rowOff>
    </xdr:from>
    <xdr:to>
      <xdr:col>8</xdr:col>
      <xdr:colOff>380663</xdr:colOff>
      <xdr:row>240</xdr:row>
      <xdr:rowOff>131378</xdr:rowOff>
    </xdr:to>
    <xdr:cxnSp macro="">
      <xdr:nvCxnSpPr>
        <xdr:cNvPr id="55" name="Straight Connector 54">
          <a:extLst>
            <a:ext uri="{FF2B5EF4-FFF2-40B4-BE49-F238E27FC236}">
              <a16:creationId xmlns:a16="http://schemas.microsoft.com/office/drawing/2014/main" id="{62A8EC40-3FED-FECE-4262-2D8FECF7F1AE}"/>
            </a:ext>
          </a:extLst>
        </xdr:cNvPr>
        <xdr:cNvCxnSpPr/>
      </xdr:nvCxnSpPr>
      <xdr:spPr>
        <a:xfrm flipV="1">
          <a:off x="13515249045" y="4885289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690584</xdr:colOff>
      <xdr:row>250</xdr:row>
      <xdr:rowOff>175172</xdr:rowOff>
    </xdr:from>
    <xdr:to>
      <xdr:col>6</xdr:col>
      <xdr:colOff>154961</xdr:colOff>
      <xdr:row>252</xdr:row>
      <xdr:rowOff>37056</xdr:rowOff>
    </xdr:to>
    <xdr:cxnSp macro="">
      <xdr:nvCxnSpPr>
        <xdr:cNvPr id="57" name="Straight Connector 56">
          <a:extLst>
            <a:ext uri="{FF2B5EF4-FFF2-40B4-BE49-F238E27FC236}">
              <a16:creationId xmlns:a16="http://schemas.microsoft.com/office/drawing/2014/main" id="{F933F45C-A49C-DBC7-AA69-74189F1E0C83}"/>
            </a:ext>
          </a:extLst>
        </xdr:cNvPr>
        <xdr:cNvCxnSpPr/>
      </xdr:nvCxnSpPr>
      <xdr:spPr>
        <a:xfrm flipH="1">
          <a:off x="13517125411" y="50921273"/>
          <a:ext cx="289708" cy="26612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272865</xdr:colOff>
      <xdr:row>251</xdr:row>
      <xdr:rowOff>0</xdr:rowOff>
    </xdr:from>
    <xdr:to>
      <xdr:col>5</xdr:col>
      <xdr:colOff>518780</xdr:colOff>
      <xdr:row>252</xdr:row>
      <xdr:rowOff>188647</xdr:rowOff>
    </xdr:to>
    <xdr:cxnSp macro="">
      <xdr:nvCxnSpPr>
        <xdr:cNvPr id="60" name="Straight Connector 59">
          <a:extLst>
            <a:ext uri="{FF2B5EF4-FFF2-40B4-BE49-F238E27FC236}">
              <a16:creationId xmlns:a16="http://schemas.microsoft.com/office/drawing/2014/main" id="{C5E276AC-B95C-9B2A-9A60-37EEAFC99694}"/>
            </a:ext>
          </a:extLst>
        </xdr:cNvPr>
        <xdr:cNvCxnSpPr/>
      </xdr:nvCxnSpPr>
      <xdr:spPr>
        <a:xfrm flipH="1">
          <a:off x="13517586923" y="50948223"/>
          <a:ext cx="245915" cy="39076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464881</xdr:colOff>
      <xdr:row>250</xdr:row>
      <xdr:rowOff>192016</xdr:rowOff>
    </xdr:from>
    <xdr:to>
      <xdr:col>5</xdr:col>
      <xdr:colOff>6737</xdr:colOff>
      <xdr:row>254</xdr:row>
      <xdr:rowOff>6737</xdr:rowOff>
    </xdr:to>
    <xdr:cxnSp macro="">
      <xdr:nvCxnSpPr>
        <xdr:cNvPr id="62" name="Straight Connector 61">
          <a:extLst>
            <a:ext uri="{FF2B5EF4-FFF2-40B4-BE49-F238E27FC236}">
              <a16:creationId xmlns:a16="http://schemas.microsoft.com/office/drawing/2014/main" id="{185F695B-6CA0-DE0B-64D6-E64DDF0F0546}"/>
            </a:ext>
          </a:extLst>
        </xdr:cNvPr>
        <xdr:cNvCxnSpPr/>
      </xdr:nvCxnSpPr>
      <xdr:spPr>
        <a:xfrm>
          <a:off x="13518098966" y="50938117"/>
          <a:ext cx="367188" cy="62320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424456</xdr:colOff>
      <xdr:row>250</xdr:row>
      <xdr:rowOff>188647</xdr:rowOff>
    </xdr:from>
    <xdr:to>
      <xdr:col>4</xdr:col>
      <xdr:colOff>390769</xdr:colOff>
      <xdr:row>252</xdr:row>
      <xdr:rowOff>151591</xdr:rowOff>
    </xdr:to>
    <xdr:cxnSp macro="">
      <xdr:nvCxnSpPr>
        <xdr:cNvPr id="64" name="Straight Connector 63">
          <a:extLst>
            <a:ext uri="{FF2B5EF4-FFF2-40B4-BE49-F238E27FC236}">
              <a16:creationId xmlns:a16="http://schemas.microsoft.com/office/drawing/2014/main" id="{8063E6D5-9A52-006A-FD78-B22F0201030F}"/>
            </a:ext>
          </a:extLst>
        </xdr:cNvPr>
        <xdr:cNvCxnSpPr/>
      </xdr:nvCxnSpPr>
      <xdr:spPr>
        <a:xfrm>
          <a:off x="13518540266" y="50934748"/>
          <a:ext cx="791644" cy="36718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242</xdr:row>
      <xdr:rowOff>47161</xdr:rowOff>
    </xdr:from>
    <xdr:to>
      <xdr:col>2</xdr:col>
      <xdr:colOff>320027</xdr:colOff>
      <xdr:row>243</xdr:row>
      <xdr:rowOff>16843</xdr:rowOff>
    </xdr:to>
    <xdr:sp macro="" textlink="">
      <xdr:nvSpPr>
        <xdr:cNvPr id="66" name="Oval 65">
          <a:extLst>
            <a:ext uri="{FF2B5EF4-FFF2-40B4-BE49-F238E27FC236}">
              <a16:creationId xmlns:a16="http://schemas.microsoft.com/office/drawing/2014/main" id="{630B2BC0-5130-3F54-2BFF-8DB7FF1BFDFB}"/>
            </a:ext>
          </a:extLst>
        </xdr:cNvPr>
        <xdr:cNvSpPr/>
      </xdr:nvSpPr>
      <xdr:spPr>
        <a:xfrm>
          <a:off x="13520261671" y="49176286"/>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242</xdr:row>
      <xdr:rowOff>185278</xdr:rowOff>
    </xdr:from>
    <xdr:to>
      <xdr:col>8</xdr:col>
      <xdr:colOff>623210</xdr:colOff>
      <xdr:row>243</xdr:row>
      <xdr:rowOff>154960</xdr:rowOff>
    </xdr:to>
    <xdr:sp macro="" textlink="">
      <xdr:nvSpPr>
        <xdr:cNvPr id="67" name="Oval 66">
          <a:extLst>
            <a:ext uri="{FF2B5EF4-FFF2-40B4-BE49-F238E27FC236}">
              <a16:creationId xmlns:a16="http://schemas.microsoft.com/office/drawing/2014/main" id="{887382A5-3F84-A2F3-5147-A57F67384F33}"/>
            </a:ext>
          </a:extLst>
        </xdr:cNvPr>
        <xdr:cNvSpPr/>
      </xdr:nvSpPr>
      <xdr:spPr>
        <a:xfrm>
          <a:off x="13515006498" y="49314403"/>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2</xdr:col>
      <xdr:colOff>479425</xdr:colOff>
      <xdr:row>270</xdr:row>
      <xdr:rowOff>114300</xdr:rowOff>
    </xdr:from>
    <xdr:to>
      <xdr:col>3</xdr:col>
      <xdr:colOff>6350</xdr:colOff>
      <xdr:row>270</xdr:row>
      <xdr:rowOff>117475</xdr:rowOff>
    </xdr:to>
    <xdr:cxnSp macro="">
      <xdr:nvCxnSpPr>
        <xdr:cNvPr id="68" name="Straight Connector 67">
          <a:extLst>
            <a:ext uri="{FF2B5EF4-FFF2-40B4-BE49-F238E27FC236}">
              <a16:creationId xmlns:a16="http://schemas.microsoft.com/office/drawing/2014/main" id="{DE6AF8E4-AF8E-2D44-A988-A4AA3AEFDEB1}"/>
            </a:ext>
          </a:extLst>
        </xdr:cNvPr>
        <xdr:cNvCxnSpPr/>
      </xdr:nvCxnSpPr>
      <xdr:spPr>
        <a:xfrm>
          <a:off x="13533123369" y="49307361"/>
          <a:ext cx="353073"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270</xdr:row>
      <xdr:rowOff>117475</xdr:rowOff>
    </xdr:from>
    <xdr:to>
      <xdr:col>2</xdr:col>
      <xdr:colOff>492125</xdr:colOff>
      <xdr:row>275</xdr:row>
      <xdr:rowOff>114300</xdr:rowOff>
    </xdr:to>
    <xdr:cxnSp macro="">
      <xdr:nvCxnSpPr>
        <xdr:cNvPr id="69" name="Straight Connector 68">
          <a:extLst>
            <a:ext uri="{FF2B5EF4-FFF2-40B4-BE49-F238E27FC236}">
              <a16:creationId xmlns:a16="http://schemas.microsoft.com/office/drawing/2014/main" id="{2DA5381F-7E53-7045-822A-56D130EE2EEB}"/>
            </a:ext>
          </a:extLst>
        </xdr:cNvPr>
        <xdr:cNvCxnSpPr/>
      </xdr:nvCxnSpPr>
      <xdr:spPr>
        <a:xfrm>
          <a:off x="13533463742" y="49310536"/>
          <a:ext cx="15875" cy="1017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275</xdr:row>
      <xdr:rowOff>108144</xdr:rowOff>
    </xdr:from>
    <xdr:to>
      <xdr:col>3</xdr:col>
      <xdr:colOff>0</xdr:colOff>
      <xdr:row>275</xdr:row>
      <xdr:rowOff>124642</xdr:rowOff>
    </xdr:to>
    <xdr:cxnSp macro="">
      <xdr:nvCxnSpPr>
        <xdr:cNvPr id="70" name="Straight Connector 69">
          <a:extLst>
            <a:ext uri="{FF2B5EF4-FFF2-40B4-BE49-F238E27FC236}">
              <a16:creationId xmlns:a16="http://schemas.microsoft.com/office/drawing/2014/main" id="{57D28A87-5BA5-4547-B9D2-7AC332674C22}"/>
            </a:ext>
          </a:extLst>
        </xdr:cNvPr>
        <xdr:cNvCxnSpPr/>
      </xdr:nvCxnSpPr>
      <xdr:spPr>
        <a:xfrm flipH="1">
          <a:off x="13533129719" y="50321741"/>
          <a:ext cx="353780"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277</xdr:row>
      <xdr:rowOff>111167</xdr:rowOff>
    </xdr:from>
    <xdr:to>
      <xdr:col>8</xdr:col>
      <xdr:colOff>407613</xdr:colOff>
      <xdr:row>277</xdr:row>
      <xdr:rowOff>117475</xdr:rowOff>
    </xdr:to>
    <xdr:cxnSp macro="">
      <xdr:nvCxnSpPr>
        <xdr:cNvPr id="71" name="Straight Connector 70">
          <a:extLst>
            <a:ext uri="{FF2B5EF4-FFF2-40B4-BE49-F238E27FC236}">
              <a16:creationId xmlns:a16="http://schemas.microsoft.com/office/drawing/2014/main" id="{CB44E37C-901A-0348-9D37-61A3CA69B74C}"/>
            </a:ext>
          </a:extLst>
        </xdr:cNvPr>
        <xdr:cNvCxnSpPr/>
      </xdr:nvCxnSpPr>
      <xdr:spPr>
        <a:xfrm>
          <a:off x="13528591366" y="50732978"/>
          <a:ext cx="2089975"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270</xdr:row>
      <xdr:rowOff>131379</xdr:rowOff>
    </xdr:from>
    <xdr:to>
      <xdr:col>8</xdr:col>
      <xdr:colOff>398770</xdr:colOff>
      <xdr:row>277</xdr:row>
      <xdr:rowOff>97456</xdr:rowOff>
    </xdr:to>
    <xdr:cxnSp macro="">
      <xdr:nvCxnSpPr>
        <xdr:cNvPr id="72" name="Straight Connector 71">
          <a:extLst>
            <a:ext uri="{FF2B5EF4-FFF2-40B4-BE49-F238E27FC236}">
              <a16:creationId xmlns:a16="http://schemas.microsoft.com/office/drawing/2014/main" id="{6CA7F2BE-685E-4C44-A501-9A7C6B6A425D}"/>
            </a:ext>
          </a:extLst>
        </xdr:cNvPr>
        <xdr:cNvCxnSpPr/>
      </xdr:nvCxnSpPr>
      <xdr:spPr>
        <a:xfrm flipH="1">
          <a:off x="13528600209" y="49324440"/>
          <a:ext cx="21476" cy="13948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270</xdr:row>
      <xdr:rowOff>128010</xdr:rowOff>
    </xdr:from>
    <xdr:to>
      <xdr:col>8</xdr:col>
      <xdr:colOff>380663</xdr:colOff>
      <xdr:row>270</xdr:row>
      <xdr:rowOff>131378</xdr:rowOff>
    </xdr:to>
    <xdr:cxnSp macro="">
      <xdr:nvCxnSpPr>
        <xdr:cNvPr id="73" name="Straight Connector 72">
          <a:extLst>
            <a:ext uri="{FF2B5EF4-FFF2-40B4-BE49-F238E27FC236}">
              <a16:creationId xmlns:a16="http://schemas.microsoft.com/office/drawing/2014/main" id="{17382994-8C4E-0E43-A8B0-DE12A8B1D98D}"/>
            </a:ext>
          </a:extLst>
        </xdr:cNvPr>
        <xdr:cNvCxnSpPr/>
      </xdr:nvCxnSpPr>
      <xdr:spPr>
        <a:xfrm flipV="1">
          <a:off x="13528618316" y="4932107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272</xdr:row>
      <xdr:rowOff>47161</xdr:rowOff>
    </xdr:from>
    <xdr:to>
      <xdr:col>2</xdr:col>
      <xdr:colOff>320027</xdr:colOff>
      <xdr:row>273</xdr:row>
      <xdr:rowOff>16843</xdr:rowOff>
    </xdr:to>
    <xdr:sp macro="" textlink="">
      <xdr:nvSpPr>
        <xdr:cNvPr id="74" name="Oval 73">
          <a:extLst>
            <a:ext uri="{FF2B5EF4-FFF2-40B4-BE49-F238E27FC236}">
              <a16:creationId xmlns:a16="http://schemas.microsoft.com/office/drawing/2014/main" id="{D3EA12C1-7BDB-E04E-A6BF-F523B69F464B}"/>
            </a:ext>
          </a:extLst>
        </xdr:cNvPr>
        <xdr:cNvSpPr/>
      </xdr:nvSpPr>
      <xdr:spPr>
        <a:xfrm>
          <a:off x="13533635840" y="49648437"/>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272</xdr:row>
      <xdr:rowOff>185278</xdr:rowOff>
    </xdr:from>
    <xdr:to>
      <xdr:col>8</xdr:col>
      <xdr:colOff>623210</xdr:colOff>
      <xdr:row>273</xdr:row>
      <xdr:rowOff>154960</xdr:rowOff>
    </xdr:to>
    <xdr:sp macro="" textlink="">
      <xdr:nvSpPr>
        <xdr:cNvPr id="75" name="Oval 74">
          <a:extLst>
            <a:ext uri="{FF2B5EF4-FFF2-40B4-BE49-F238E27FC236}">
              <a16:creationId xmlns:a16="http://schemas.microsoft.com/office/drawing/2014/main" id="{882442F1-250A-9047-B157-EA1665111500}"/>
            </a:ext>
          </a:extLst>
        </xdr:cNvPr>
        <xdr:cNvSpPr/>
      </xdr:nvSpPr>
      <xdr:spPr>
        <a:xfrm>
          <a:off x="13528375769" y="49786554"/>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6</xdr:col>
      <xdr:colOff>545291</xdr:colOff>
      <xdr:row>280</xdr:row>
      <xdr:rowOff>200527</xdr:rowOff>
    </xdr:from>
    <xdr:to>
      <xdr:col>6</xdr:col>
      <xdr:colOff>552327</xdr:colOff>
      <xdr:row>282</xdr:row>
      <xdr:rowOff>21108</xdr:rowOff>
    </xdr:to>
    <xdr:cxnSp macro="">
      <xdr:nvCxnSpPr>
        <xdr:cNvPr id="76" name="Straight Connector 75">
          <a:extLst>
            <a:ext uri="{FF2B5EF4-FFF2-40B4-BE49-F238E27FC236}">
              <a16:creationId xmlns:a16="http://schemas.microsoft.com/office/drawing/2014/main" id="{EA95A6B8-4769-F696-B6FF-7047D1F016F5}"/>
            </a:ext>
          </a:extLst>
        </xdr:cNvPr>
        <xdr:cNvCxnSpPr/>
      </xdr:nvCxnSpPr>
      <xdr:spPr>
        <a:xfrm flipH="1">
          <a:off x="13539652936" y="57508837"/>
          <a:ext cx="7036" cy="22867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513628</xdr:colOff>
      <xdr:row>281</xdr:row>
      <xdr:rowOff>0</xdr:rowOff>
    </xdr:from>
    <xdr:to>
      <xdr:col>5</xdr:col>
      <xdr:colOff>788033</xdr:colOff>
      <xdr:row>282</xdr:row>
      <xdr:rowOff>42216</xdr:rowOff>
    </xdr:to>
    <xdr:cxnSp macro="">
      <xdr:nvCxnSpPr>
        <xdr:cNvPr id="79" name="Straight Connector 78">
          <a:extLst>
            <a:ext uri="{FF2B5EF4-FFF2-40B4-BE49-F238E27FC236}">
              <a16:creationId xmlns:a16="http://schemas.microsoft.com/office/drawing/2014/main" id="{B4F15755-9CED-E9CA-39BF-D04463B31D0D}"/>
            </a:ext>
          </a:extLst>
        </xdr:cNvPr>
        <xdr:cNvCxnSpPr/>
      </xdr:nvCxnSpPr>
      <xdr:spPr>
        <a:xfrm>
          <a:off x="13540243961" y="57512355"/>
          <a:ext cx="274405" cy="24626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520665</xdr:colOff>
      <xdr:row>280</xdr:row>
      <xdr:rowOff>168865</xdr:rowOff>
    </xdr:from>
    <xdr:to>
      <xdr:col>5</xdr:col>
      <xdr:colOff>478448</xdr:colOff>
      <xdr:row>282</xdr:row>
      <xdr:rowOff>21108</xdr:rowOff>
    </xdr:to>
    <xdr:cxnSp macro="">
      <xdr:nvCxnSpPr>
        <xdr:cNvPr id="81" name="Straight Connector 80">
          <a:extLst>
            <a:ext uri="{FF2B5EF4-FFF2-40B4-BE49-F238E27FC236}">
              <a16:creationId xmlns:a16="http://schemas.microsoft.com/office/drawing/2014/main" id="{EDFAA1BA-6144-527B-E713-7EC4B8471D62}"/>
            </a:ext>
          </a:extLst>
        </xdr:cNvPr>
        <xdr:cNvCxnSpPr/>
      </xdr:nvCxnSpPr>
      <xdr:spPr>
        <a:xfrm>
          <a:off x="13540553546" y="57477175"/>
          <a:ext cx="784515" cy="260332"/>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756372</xdr:colOff>
      <xdr:row>280</xdr:row>
      <xdr:rowOff>94987</xdr:rowOff>
    </xdr:from>
    <xdr:to>
      <xdr:col>4</xdr:col>
      <xdr:colOff>612133</xdr:colOff>
      <xdr:row>282</xdr:row>
      <xdr:rowOff>144238</xdr:rowOff>
    </xdr:to>
    <xdr:cxnSp macro="">
      <xdr:nvCxnSpPr>
        <xdr:cNvPr id="83" name="Straight Connector 82">
          <a:extLst>
            <a:ext uri="{FF2B5EF4-FFF2-40B4-BE49-F238E27FC236}">
              <a16:creationId xmlns:a16="http://schemas.microsoft.com/office/drawing/2014/main" id="{A046911D-4AD6-658D-8BC9-96EFECD69840}"/>
            </a:ext>
          </a:extLst>
        </xdr:cNvPr>
        <xdr:cNvCxnSpPr/>
      </xdr:nvCxnSpPr>
      <xdr:spPr>
        <a:xfrm>
          <a:off x="13541246593" y="57403297"/>
          <a:ext cx="2335955" cy="45734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532402</xdr:colOff>
      <xdr:row>80</xdr:row>
      <xdr:rowOff>183014</xdr:rowOff>
    </xdr:from>
    <xdr:to>
      <xdr:col>0</xdr:col>
      <xdr:colOff>793057</xdr:colOff>
      <xdr:row>82</xdr:row>
      <xdr:rowOff>16638</xdr:rowOff>
    </xdr:to>
    <xdr:sp macro="" textlink="">
      <xdr:nvSpPr>
        <xdr:cNvPr id="2" name="Rectangle 1">
          <a:extLst>
            <a:ext uri="{FF2B5EF4-FFF2-40B4-BE49-F238E27FC236}">
              <a16:creationId xmlns:a16="http://schemas.microsoft.com/office/drawing/2014/main" id="{9166AFE7-9C13-C245-80F5-A4E821FC138F}"/>
            </a:ext>
          </a:extLst>
        </xdr:cNvPr>
        <xdr:cNvSpPr/>
      </xdr:nvSpPr>
      <xdr:spPr>
        <a:xfrm>
          <a:off x="13524198943" y="70896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84</xdr:row>
      <xdr:rowOff>194105</xdr:rowOff>
    </xdr:from>
    <xdr:to>
      <xdr:col>0</xdr:col>
      <xdr:colOff>793057</xdr:colOff>
      <xdr:row>86</xdr:row>
      <xdr:rowOff>27728</xdr:rowOff>
    </xdr:to>
    <xdr:sp macro="" textlink="">
      <xdr:nvSpPr>
        <xdr:cNvPr id="3" name="Rectangle 2">
          <a:extLst>
            <a:ext uri="{FF2B5EF4-FFF2-40B4-BE49-F238E27FC236}">
              <a16:creationId xmlns:a16="http://schemas.microsoft.com/office/drawing/2014/main" id="{1C44B68C-618D-1C4B-84D3-FF4946DE2434}"/>
            </a:ext>
          </a:extLst>
        </xdr:cNvPr>
        <xdr:cNvSpPr/>
      </xdr:nvSpPr>
      <xdr:spPr>
        <a:xfrm>
          <a:off x="13524198943" y="71720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81</xdr:row>
      <xdr:rowOff>199799</xdr:rowOff>
    </xdr:from>
    <xdr:to>
      <xdr:col>0</xdr:col>
      <xdr:colOff>793057</xdr:colOff>
      <xdr:row>83</xdr:row>
      <xdr:rowOff>33423</xdr:rowOff>
    </xdr:to>
    <xdr:sp macro="" textlink="">
      <xdr:nvSpPr>
        <xdr:cNvPr id="4" name="Rectangle 3">
          <a:extLst>
            <a:ext uri="{FF2B5EF4-FFF2-40B4-BE49-F238E27FC236}">
              <a16:creationId xmlns:a16="http://schemas.microsoft.com/office/drawing/2014/main" id="{58D050D1-2C32-9540-96C6-5BC648BB71FF}"/>
            </a:ext>
          </a:extLst>
        </xdr:cNvPr>
        <xdr:cNvSpPr/>
      </xdr:nvSpPr>
      <xdr:spPr>
        <a:xfrm>
          <a:off x="13524198943" y="71116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90</xdr:row>
      <xdr:rowOff>183014</xdr:rowOff>
    </xdr:from>
    <xdr:to>
      <xdr:col>0</xdr:col>
      <xdr:colOff>793057</xdr:colOff>
      <xdr:row>92</xdr:row>
      <xdr:rowOff>16638</xdr:rowOff>
    </xdr:to>
    <xdr:sp macro="" textlink="">
      <xdr:nvSpPr>
        <xdr:cNvPr id="5" name="Rectangle 4">
          <a:extLst>
            <a:ext uri="{FF2B5EF4-FFF2-40B4-BE49-F238E27FC236}">
              <a16:creationId xmlns:a16="http://schemas.microsoft.com/office/drawing/2014/main" id="{ABE7C8A1-AFB7-B845-B259-6707873AAC63}"/>
            </a:ext>
          </a:extLst>
        </xdr:cNvPr>
        <xdr:cNvSpPr/>
      </xdr:nvSpPr>
      <xdr:spPr>
        <a:xfrm>
          <a:off x="13524198943" y="72928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94</xdr:row>
      <xdr:rowOff>194105</xdr:rowOff>
    </xdr:from>
    <xdr:to>
      <xdr:col>0</xdr:col>
      <xdr:colOff>793057</xdr:colOff>
      <xdr:row>96</xdr:row>
      <xdr:rowOff>27728</xdr:rowOff>
    </xdr:to>
    <xdr:sp macro="" textlink="">
      <xdr:nvSpPr>
        <xdr:cNvPr id="6" name="Rectangle 5">
          <a:extLst>
            <a:ext uri="{FF2B5EF4-FFF2-40B4-BE49-F238E27FC236}">
              <a16:creationId xmlns:a16="http://schemas.microsoft.com/office/drawing/2014/main" id="{86697278-597E-8540-A4AB-F3983A858D72}"/>
            </a:ext>
          </a:extLst>
        </xdr:cNvPr>
        <xdr:cNvSpPr/>
      </xdr:nvSpPr>
      <xdr:spPr>
        <a:xfrm>
          <a:off x="13524198943" y="73752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91</xdr:row>
      <xdr:rowOff>199799</xdr:rowOff>
    </xdr:from>
    <xdr:to>
      <xdr:col>0</xdr:col>
      <xdr:colOff>793057</xdr:colOff>
      <xdr:row>93</xdr:row>
      <xdr:rowOff>33423</xdr:rowOff>
    </xdr:to>
    <xdr:sp macro="" textlink="">
      <xdr:nvSpPr>
        <xdr:cNvPr id="7" name="Rectangle 6">
          <a:extLst>
            <a:ext uri="{FF2B5EF4-FFF2-40B4-BE49-F238E27FC236}">
              <a16:creationId xmlns:a16="http://schemas.microsoft.com/office/drawing/2014/main" id="{26EB3E6F-B69E-BE42-B568-09D1BEDCF999}"/>
            </a:ext>
          </a:extLst>
        </xdr:cNvPr>
        <xdr:cNvSpPr/>
      </xdr:nvSpPr>
      <xdr:spPr>
        <a:xfrm>
          <a:off x="13524198943" y="73148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oneCellAnchor>
    <xdr:from>
      <xdr:col>8</xdr:col>
      <xdr:colOff>451924</xdr:colOff>
      <xdr:row>22</xdr:row>
      <xdr:rowOff>43372</xdr:rowOff>
    </xdr:from>
    <xdr:ext cx="1500149" cy="31579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7</xdr:col>
      <xdr:colOff>791940</xdr:colOff>
      <xdr:row>25</xdr:row>
      <xdr:rowOff>53118</xdr:rowOff>
    </xdr:from>
    <xdr:to>
      <xdr:col>8</xdr:col>
      <xdr:colOff>289734</xdr:colOff>
      <xdr:row>30</xdr:row>
      <xdr:rowOff>164183</xdr:rowOff>
    </xdr:to>
    <xdr:sp macro="" textlink="">
      <xdr:nvSpPr>
        <xdr:cNvPr id="9" name="Left Brace 8">
          <a:extLst>
            <a:ext uri="{FF2B5EF4-FFF2-40B4-BE49-F238E27FC236}">
              <a16:creationId xmlns:a16="http://schemas.microsoft.com/office/drawing/2014/main" id="{30823CCC-2832-9EDE-9D2A-BCE0BFA947DF}"/>
            </a:ext>
          </a:extLst>
        </xdr:cNvPr>
        <xdr:cNvSpPr/>
      </xdr:nvSpPr>
      <xdr:spPr>
        <a:xfrm>
          <a:off x="13522052167" y="4978593"/>
          <a:ext cx="323536" cy="1149278"/>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48289</xdr:colOff>
      <xdr:row>31</xdr:row>
      <xdr:rowOff>115893</xdr:rowOff>
    </xdr:from>
    <xdr:to>
      <xdr:col>8</xdr:col>
      <xdr:colOff>637414</xdr:colOff>
      <xdr:row>31</xdr:row>
      <xdr:rowOff>120722</xdr:rowOff>
    </xdr:to>
    <xdr:cxnSp macro="">
      <xdr:nvCxnSpPr>
        <xdr:cNvPr id="11" name="Straight Arrow Connector 10">
          <a:extLst>
            <a:ext uri="{FF2B5EF4-FFF2-40B4-BE49-F238E27FC236}">
              <a16:creationId xmlns:a16="http://schemas.microsoft.com/office/drawing/2014/main" id="{B5BBED1E-A11C-306E-BC7A-34051E3FBFB5}"/>
            </a:ext>
          </a:extLst>
        </xdr:cNvPr>
        <xdr:cNvCxnSpPr/>
      </xdr:nvCxnSpPr>
      <xdr:spPr>
        <a:xfrm flipH="1" flipV="1">
          <a:off x="13521704487" y="6282395"/>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173840</xdr:colOff>
      <xdr:row>45</xdr:row>
      <xdr:rowOff>4829</xdr:rowOff>
    </xdr:from>
    <xdr:to>
      <xdr:col>7</xdr:col>
      <xdr:colOff>762966</xdr:colOff>
      <xdr:row>45</xdr:row>
      <xdr:rowOff>9658</xdr:rowOff>
    </xdr:to>
    <xdr:cxnSp macro="">
      <xdr:nvCxnSpPr>
        <xdr:cNvPr id="12" name="Straight Arrow Connector 11">
          <a:extLst>
            <a:ext uri="{FF2B5EF4-FFF2-40B4-BE49-F238E27FC236}">
              <a16:creationId xmlns:a16="http://schemas.microsoft.com/office/drawing/2014/main" id="{9A035B94-AF53-5822-15CC-9623BD6DA188}"/>
            </a:ext>
          </a:extLst>
        </xdr:cNvPr>
        <xdr:cNvCxnSpPr/>
      </xdr:nvCxnSpPr>
      <xdr:spPr>
        <a:xfrm flipH="1" flipV="1">
          <a:off x="13522404677" y="9025209"/>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796863</xdr:colOff>
      <xdr:row>51</xdr:row>
      <xdr:rowOff>8301</xdr:rowOff>
    </xdr:from>
    <xdr:to>
      <xdr:col>3</xdr:col>
      <xdr:colOff>306335</xdr:colOff>
      <xdr:row>53</xdr:row>
      <xdr:rowOff>184934</xdr:rowOff>
    </xdr:to>
    <xdr:sp macro="" textlink="">
      <xdr:nvSpPr>
        <xdr:cNvPr id="13" name="Left Brace 12">
          <a:extLst>
            <a:ext uri="{FF2B5EF4-FFF2-40B4-BE49-F238E27FC236}">
              <a16:creationId xmlns:a16="http://schemas.microsoft.com/office/drawing/2014/main" id="{E60FE0E8-8C86-564B-BFF5-84AA0576D560}"/>
            </a:ext>
          </a:extLst>
        </xdr:cNvPr>
        <xdr:cNvSpPr/>
      </xdr:nvSpPr>
      <xdr:spPr>
        <a:xfrm>
          <a:off x="13529007815" y="10504477"/>
          <a:ext cx="335387" cy="60826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87157</xdr:colOff>
      <xdr:row>52</xdr:row>
      <xdr:rowOff>45653</xdr:rowOff>
    </xdr:from>
    <xdr:ext cx="1500149" cy="31579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he-IL" sz="1100" b="0" i="1">
                        <a:latin typeface="Cambria Math" panose="02040503050406030204" pitchFamily="18" charset="0"/>
                      </a:rPr>
                      <m:t>=9,000</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r>
                <a:rPr lang="he-IL" sz="1100" b="0" i="0">
                  <a:latin typeface="Cambria Math" panose="02040503050406030204" pitchFamily="18" charset="0"/>
                </a:rPr>
                <a:t>=9,000</a:t>
              </a:r>
              <a:endParaRPr lang="en-US" sz="1100"/>
            </a:p>
          </xdr:txBody>
        </xdr:sp>
      </mc:Fallback>
    </mc:AlternateContent>
    <xdr:clientData/>
  </xdr:oneCellAnchor>
  <xdr:twoCellAnchor>
    <xdr:from>
      <xdr:col>5</xdr:col>
      <xdr:colOff>4150</xdr:colOff>
      <xdr:row>53</xdr:row>
      <xdr:rowOff>158079</xdr:rowOff>
    </xdr:from>
    <xdr:to>
      <xdr:col>5</xdr:col>
      <xdr:colOff>11316</xdr:colOff>
      <xdr:row>56</xdr:row>
      <xdr:rowOff>8301</xdr:rowOff>
    </xdr:to>
    <xdr:cxnSp macro="">
      <xdr:nvCxnSpPr>
        <xdr:cNvPr id="16" name="Straight Arrow Connector 15">
          <a:extLst>
            <a:ext uri="{FF2B5EF4-FFF2-40B4-BE49-F238E27FC236}">
              <a16:creationId xmlns:a16="http://schemas.microsoft.com/office/drawing/2014/main" id="{39D34CD5-B2AB-57D4-A8E2-0610467D7A1A}"/>
            </a:ext>
          </a:extLst>
        </xdr:cNvPr>
        <xdr:cNvCxnSpPr>
          <a:stCxn id="14" idx="2"/>
        </xdr:cNvCxnSpPr>
      </xdr:nvCxnSpPr>
      <xdr:spPr>
        <a:xfrm>
          <a:off x="13527651004" y="11085889"/>
          <a:ext cx="7166" cy="460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33202</xdr:colOff>
      <xdr:row>56</xdr:row>
      <xdr:rowOff>78855</xdr:rowOff>
    </xdr:from>
    <xdr:ext cx="1500149"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he-IL" sz="1100" b="0" i="1">
                            <a:latin typeface="Cambria Math" panose="02040503050406030204" pitchFamily="18" charset="0"/>
                          </a:rPr>
                          <m:t>10,000</m:t>
                        </m:r>
                      </m:num>
                      <m:den>
                        <m:r>
                          <a:rPr lang="en-US" sz="1100" b="0" i="1">
                            <a:latin typeface="Cambria Math" panose="02040503050406030204" pitchFamily="18" charset="0"/>
                          </a:rPr>
                          <m:t>10</m:t>
                        </m:r>
                      </m:den>
                    </m:f>
                    <m:r>
                      <a:rPr lang="he-IL" sz="1100" b="0" i="1">
                        <a:latin typeface="Cambria Math" panose="02040503050406030204" pitchFamily="18" charset="0"/>
                      </a:rPr>
                      <m:t>=9,000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a:t>
              </a:r>
              <a:r>
                <a:rPr lang="he-IL" sz="1100" b="0" i="0">
                  <a:latin typeface="Cambria Math" panose="02040503050406030204" pitchFamily="18" charset="0"/>
                </a:rPr>
                <a:t>10,000</a:t>
              </a:r>
              <a:r>
                <a:rPr lang="en-US" sz="1100" b="0" i="0">
                  <a:latin typeface="Cambria Math" panose="02040503050406030204" pitchFamily="18" charset="0"/>
                </a:rPr>
                <a:t>)/10</a:t>
              </a:r>
              <a:r>
                <a:rPr lang="he-IL" sz="1100" b="0" i="0">
                  <a:latin typeface="Cambria Math" panose="02040503050406030204" pitchFamily="18" charset="0"/>
                </a:rPr>
                <a:t>=9,000</a:t>
              </a:r>
              <a:endParaRPr lang="en-US" sz="1100"/>
            </a:p>
          </xdr:txBody>
        </xdr:sp>
      </mc:Fallback>
    </mc:AlternateContent>
    <xdr:clientData/>
  </xdr:oneCellAnchor>
  <xdr:twoCellAnchor>
    <xdr:from>
      <xdr:col>3</xdr:col>
      <xdr:colOff>236568</xdr:colOff>
      <xdr:row>57</xdr:row>
      <xdr:rowOff>24901</xdr:rowOff>
    </xdr:from>
    <xdr:to>
      <xdr:col>3</xdr:col>
      <xdr:colOff>809313</xdr:colOff>
      <xdr:row>57</xdr:row>
      <xdr:rowOff>29052</xdr:rowOff>
    </xdr:to>
    <xdr:cxnSp macro="">
      <xdr:nvCxnSpPr>
        <xdr:cNvPr id="18" name="Straight Arrow Connector 17">
          <a:extLst>
            <a:ext uri="{FF2B5EF4-FFF2-40B4-BE49-F238E27FC236}">
              <a16:creationId xmlns:a16="http://schemas.microsoft.com/office/drawing/2014/main" id="{003CD68C-B309-8193-CC4F-E3EEBCCD5742}"/>
            </a:ext>
          </a:extLst>
        </xdr:cNvPr>
        <xdr:cNvCxnSpPr/>
      </xdr:nvCxnSpPr>
      <xdr:spPr>
        <a:xfrm>
          <a:off x="13528504837" y="11766176"/>
          <a:ext cx="572745" cy="415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572744</xdr:colOff>
      <xdr:row>56</xdr:row>
      <xdr:rowOff>145260</xdr:rowOff>
    </xdr:from>
    <xdr:ext cx="1500149" cy="17370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=100,000</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𝐼_0=100,000</a:t>
              </a:r>
              <a:endParaRPr lang="en-US" sz="1100"/>
            </a:p>
          </xdr:txBody>
        </xdr:sp>
      </mc:Fallback>
    </mc:AlternateContent>
    <xdr:clientData/>
  </xdr:oneCellAnchor>
  <xdr:twoCellAnchor>
    <xdr:from>
      <xdr:col>5</xdr:col>
      <xdr:colOff>8300</xdr:colOff>
      <xdr:row>67</xdr:row>
      <xdr:rowOff>149411</xdr:rowOff>
    </xdr:from>
    <xdr:to>
      <xdr:col>5</xdr:col>
      <xdr:colOff>116209</xdr:colOff>
      <xdr:row>68</xdr:row>
      <xdr:rowOff>70554</xdr:rowOff>
    </xdr:to>
    <xdr:cxnSp macro="">
      <xdr:nvCxnSpPr>
        <xdr:cNvPr id="22" name="Straight Arrow Connector 21">
          <a:extLst>
            <a:ext uri="{FF2B5EF4-FFF2-40B4-BE49-F238E27FC236}">
              <a16:creationId xmlns:a16="http://schemas.microsoft.com/office/drawing/2014/main" id="{CBD188E6-33C3-74EF-07B5-B10FDAD43007}"/>
            </a:ext>
          </a:extLst>
        </xdr:cNvPr>
        <xdr:cNvCxnSpPr/>
      </xdr:nvCxnSpPr>
      <xdr:spPr>
        <a:xfrm flipH="1" flipV="1">
          <a:off x="13527546111" y="13949248"/>
          <a:ext cx="107909" cy="1245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269771</xdr:colOff>
      <xdr:row>68</xdr:row>
      <xdr:rowOff>203365</xdr:rowOff>
    </xdr:from>
    <xdr:to>
      <xdr:col>4</xdr:col>
      <xdr:colOff>282221</xdr:colOff>
      <xdr:row>71</xdr:row>
      <xdr:rowOff>37353</xdr:rowOff>
    </xdr:to>
    <xdr:cxnSp macro="">
      <xdr:nvCxnSpPr>
        <xdr:cNvPr id="25" name="Straight Arrow Connector 24">
          <a:extLst>
            <a:ext uri="{FF2B5EF4-FFF2-40B4-BE49-F238E27FC236}">
              <a16:creationId xmlns:a16="http://schemas.microsoft.com/office/drawing/2014/main" id="{7F7A5D62-FB47-F6EB-7312-116CBB7345DE}"/>
            </a:ext>
          </a:extLst>
        </xdr:cNvPr>
        <xdr:cNvCxnSpPr/>
      </xdr:nvCxnSpPr>
      <xdr:spPr>
        <a:xfrm>
          <a:off x="13528206014" y="14206568"/>
          <a:ext cx="12450" cy="44408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xdr:col>
      <xdr:colOff>4151</xdr:colOff>
      <xdr:row>56</xdr:row>
      <xdr:rowOff>203366</xdr:rowOff>
    </xdr:from>
    <xdr:to>
      <xdr:col>8</xdr:col>
      <xdr:colOff>742344</xdr:colOff>
      <xdr:row>60</xdr:row>
      <xdr:rowOff>103758</xdr:rowOff>
    </xdr:to>
    <xdr:pic>
      <xdr:nvPicPr>
        <xdr:cNvPr id="29" name="Picture 28">
          <a:extLst>
            <a:ext uri="{FF2B5EF4-FFF2-40B4-BE49-F238E27FC236}">
              <a16:creationId xmlns:a16="http://schemas.microsoft.com/office/drawing/2014/main" id="{3272A54E-306B-CD2B-924C-07808A3CF2D9}"/>
            </a:ext>
          </a:extLst>
        </xdr:cNvPr>
        <xdr:cNvPicPr>
          <a:picLocks noChangeAspect="1"/>
        </xdr:cNvPicPr>
      </xdr:nvPicPr>
      <xdr:blipFill>
        <a:blip xmlns:r="http://schemas.openxmlformats.org/officeDocument/2006/relationships" r:embed="rId1"/>
        <a:stretch>
          <a:fillRect/>
        </a:stretch>
      </xdr:blipFill>
      <xdr:spPr>
        <a:xfrm>
          <a:off x="13524442231" y="11741274"/>
          <a:ext cx="738193" cy="713857"/>
        </a:xfrm>
        <a:prstGeom prst="rect">
          <a:avLst/>
        </a:prstGeom>
      </xdr:spPr>
    </xdr:pic>
    <xdr:clientData/>
  </xdr:twoCellAnchor>
  <xdr:twoCellAnchor>
    <xdr:from>
      <xdr:col>8</xdr:col>
      <xdr:colOff>722156</xdr:colOff>
      <xdr:row>52</xdr:row>
      <xdr:rowOff>157713</xdr:rowOff>
    </xdr:from>
    <xdr:to>
      <xdr:col>11</xdr:col>
      <xdr:colOff>510490</xdr:colOff>
      <xdr:row>60</xdr:row>
      <xdr:rowOff>116209</xdr:rowOff>
    </xdr:to>
    <xdr:sp macro="" textlink="">
      <xdr:nvSpPr>
        <xdr:cNvPr id="30" name="Rounded Rectangular Callout 29">
          <a:extLst>
            <a:ext uri="{FF2B5EF4-FFF2-40B4-BE49-F238E27FC236}">
              <a16:creationId xmlns:a16="http://schemas.microsoft.com/office/drawing/2014/main" id="{6281133F-D77D-4830-A829-EDDB6C738371}"/>
            </a:ext>
          </a:extLst>
        </xdr:cNvPr>
        <xdr:cNvSpPr/>
      </xdr:nvSpPr>
      <xdr:spPr>
        <a:xfrm>
          <a:off x="13522196340" y="10882157"/>
          <a:ext cx="2266079" cy="1585425"/>
        </a:xfrm>
        <a:prstGeom prst="wedgeRoundRectCallout">
          <a:avLst>
            <a:gd name="adj1" fmla="val 59936"/>
            <a:gd name="adj2" fmla="val 3344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מה למדנו מהשאלה?</a:t>
          </a:r>
        </a:p>
        <a:p>
          <a:pPr algn="r" rtl="1"/>
          <a:r>
            <a:rPr lang="he-IL" sz="1100"/>
            <a:t>א. שאם יודעים פחת נצבר ותקופת הפחתה, ניתן לחלץ פחת לשנה.</a:t>
          </a:r>
        </a:p>
        <a:p>
          <a:pPr algn="r" rtl="1"/>
          <a:r>
            <a:rPr lang="he-IL" sz="1100"/>
            <a:t>ב. שאם הוצאות הפחת ידועות, ניתן לחלץ את העלות.</a:t>
          </a:r>
        </a:p>
        <a:p>
          <a:pPr algn="r" rtl="1"/>
          <a:r>
            <a:rPr lang="he-IL" sz="1100"/>
            <a:t>ג</a:t>
          </a:r>
          <a:r>
            <a:rPr lang="he-IL" sz="1100" baseline="0"/>
            <a:t>. שאם ידועים כלל נתוני ההפחתה, ניתן לחשב עלות מופחתת (עלות בניכוי פחת נצבר) לכל תאריך.</a:t>
          </a:r>
          <a:endParaRPr lang="en-US" sz="1100"/>
        </a:p>
      </xdr:txBody>
    </xdr:sp>
    <xdr:clientData/>
  </xdr:twoCellAnchor>
  <xdr:twoCellAnchor>
    <xdr:from>
      <xdr:col>0</xdr:col>
      <xdr:colOff>531241</xdr:colOff>
      <xdr:row>145</xdr:row>
      <xdr:rowOff>182615</xdr:rowOff>
    </xdr:from>
    <xdr:to>
      <xdr:col>0</xdr:col>
      <xdr:colOff>734607</xdr:colOff>
      <xdr:row>146</xdr:row>
      <xdr:rowOff>178465</xdr:rowOff>
    </xdr:to>
    <xdr:sp macro="" textlink="">
      <xdr:nvSpPr>
        <xdr:cNvPr id="31" name="Rectangle 30">
          <a:extLst>
            <a:ext uri="{FF2B5EF4-FFF2-40B4-BE49-F238E27FC236}">
              <a16:creationId xmlns:a16="http://schemas.microsoft.com/office/drawing/2014/main" id="{98F6502B-D8F9-A0B6-720E-1577B27319AA}"/>
            </a:ext>
          </a:extLst>
        </xdr:cNvPr>
        <xdr:cNvSpPr/>
      </xdr:nvSpPr>
      <xdr:spPr>
        <a:xfrm>
          <a:off x="13531057288" y="29438269"/>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0</xdr:col>
      <xdr:colOff>502189</xdr:colOff>
      <xdr:row>150</xdr:row>
      <xdr:rowOff>33204</xdr:rowOff>
    </xdr:from>
    <xdr:to>
      <xdr:col>0</xdr:col>
      <xdr:colOff>705555</xdr:colOff>
      <xdr:row>151</xdr:row>
      <xdr:rowOff>29054</xdr:rowOff>
    </xdr:to>
    <xdr:sp macro="" textlink="">
      <xdr:nvSpPr>
        <xdr:cNvPr id="32" name="Rectangle 31">
          <a:extLst>
            <a:ext uri="{FF2B5EF4-FFF2-40B4-BE49-F238E27FC236}">
              <a16:creationId xmlns:a16="http://schemas.microsoft.com/office/drawing/2014/main" id="{7A3C1A80-6770-D914-49D2-41014287122E}"/>
            </a:ext>
          </a:extLst>
        </xdr:cNvPr>
        <xdr:cNvSpPr/>
      </xdr:nvSpPr>
      <xdr:spPr>
        <a:xfrm>
          <a:off x="13531086340" y="3030568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527091</xdr:colOff>
      <xdr:row>147</xdr:row>
      <xdr:rowOff>4152</xdr:rowOff>
    </xdr:from>
    <xdr:to>
      <xdr:col>0</xdr:col>
      <xdr:colOff>730457</xdr:colOff>
      <xdr:row>148</xdr:row>
      <xdr:rowOff>2</xdr:rowOff>
    </xdr:to>
    <xdr:sp macro="" textlink="">
      <xdr:nvSpPr>
        <xdr:cNvPr id="33" name="Rectangle 32">
          <a:extLst>
            <a:ext uri="{FF2B5EF4-FFF2-40B4-BE49-F238E27FC236}">
              <a16:creationId xmlns:a16="http://schemas.microsoft.com/office/drawing/2014/main" id="{01FECFCC-8311-413C-1BEF-90E1A8055C88}"/>
            </a:ext>
          </a:extLst>
        </xdr:cNvPr>
        <xdr:cNvSpPr/>
      </xdr:nvSpPr>
      <xdr:spPr>
        <a:xfrm>
          <a:off x="13531061438" y="2966653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0</xdr:col>
      <xdr:colOff>531241</xdr:colOff>
      <xdr:row>148</xdr:row>
      <xdr:rowOff>16603</xdr:rowOff>
    </xdr:from>
    <xdr:to>
      <xdr:col>0</xdr:col>
      <xdr:colOff>734607</xdr:colOff>
      <xdr:row>149</xdr:row>
      <xdr:rowOff>12453</xdr:rowOff>
    </xdr:to>
    <xdr:sp macro="" textlink="">
      <xdr:nvSpPr>
        <xdr:cNvPr id="34" name="Rectangle 33">
          <a:extLst>
            <a:ext uri="{FF2B5EF4-FFF2-40B4-BE49-F238E27FC236}">
              <a16:creationId xmlns:a16="http://schemas.microsoft.com/office/drawing/2014/main" id="{EA7F00F7-D733-B471-D8D3-1280716850AF}"/>
            </a:ext>
          </a:extLst>
        </xdr:cNvPr>
        <xdr:cNvSpPr/>
      </xdr:nvSpPr>
      <xdr:spPr>
        <a:xfrm>
          <a:off x="13531057288" y="29882355"/>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oneCellAnchor>
    <xdr:from>
      <xdr:col>8</xdr:col>
      <xdr:colOff>456536</xdr:colOff>
      <xdr:row>141</xdr:row>
      <xdr:rowOff>24902</xdr:rowOff>
    </xdr:from>
    <xdr:ext cx="1500149" cy="31579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9</xdr:col>
      <xdr:colOff>356928</xdr:colOff>
      <xdr:row>142</xdr:row>
      <xdr:rowOff>195065</xdr:rowOff>
    </xdr:from>
    <xdr:to>
      <xdr:col>9</xdr:col>
      <xdr:colOff>356928</xdr:colOff>
      <xdr:row>144</xdr:row>
      <xdr:rowOff>103758</xdr:rowOff>
    </xdr:to>
    <xdr:cxnSp macro="">
      <xdr:nvCxnSpPr>
        <xdr:cNvPr id="37" name="Straight Arrow Connector 36">
          <a:extLst>
            <a:ext uri="{FF2B5EF4-FFF2-40B4-BE49-F238E27FC236}">
              <a16:creationId xmlns:a16="http://schemas.microsoft.com/office/drawing/2014/main" id="{4CDE0CEC-A2FF-7E51-8E5B-2B2DB2F9AEDA}"/>
            </a:ext>
          </a:extLst>
        </xdr:cNvPr>
        <xdr:cNvCxnSpPr/>
      </xdr:nvCxnSpPr>
      <xdr:spPr>
        <a:xfrm>
          <a:off x="13524001732" y="29247353"/>
          <a:ext cx="0" cy="315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452385</xdr:colOff>
      <xdr:row>145</xdr:row>
      <xdr:rowOff>0</xdr:rowOff>
    </xdr:from>
    <xdr:ext cx="2340785" cy="321435"/>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250,000</m:t>
                        </m:r>
                        <m:r>
                          <a:rPr lang="en-US" sz="1100" b="0" i="1">
                            <a:latin typeface="Cambria Math" panose="02040503050406030204" pitchFamily="18" charset="0"/>
                          </a:rPr>
                          <m:t>−</m:t>
                        </m:r>
                        <m:r>
                          <a:rPr lang="he-IL" sz="1100" b="0" i="1">
                            <a:latin typeface="Cambria Math" panose="02040503050406030204" pitchFamily="18" charset="0"/>
                          </a:rPr>
                          <m:t>30,000</m:t>
                        </m:r>
                      </m:num>
                      <m:den>
                        <m:r>
                          <a:rPr lang="he-IL" sz="1100" b="0" i="1">
                            <a:latin typeface="Cambria Math" panose="02040503050406030204" pitchFamily="18" charset="0"/>
                          </a:rPr>
                          <m:t>5</m:t>
                        </m:r>
                      </m:den>
                    </m:f>
                    <m:r>
                      <a:rPr lang="he-IL" sz="1100" b="0" i="1">
                        <a:latin typeface="Cambria Math" panose="02040503050406030204" pitchFamily="18" charset="0"/>
                      </a:rPr>
                      <m:t>=44,000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250,000</a:t>
              </a:r>
              <a:r>
                <a:rPr lang="en-US" sz="1100" b="0" i="0">
                  <a:latin typeface="Cambria Math" panose="02040503050406030204" pitchFamily="18" charset="0"/>
                </a:rPr>
                <a:t>−</a:t>
              </a:r>
              <a:r>
                <a:rPr lang="he-IL" sz="1100" b="0" i="0">
                  <a:latin typeface="Cambria Math" panose="02040503050406030204" pitchFamily="18" charset="0"/>
                </a:rPr>
                <a:t>30,000</a:t>
              </a:r>
              <a:r>
                <a:rPr lang="en-US" sz="1100" b="0" i="0">
                  <a:latin typeface="Cambria Math" panose="02040503050406030204" pitchFamily="18" charset="0"/>
                </a:rPr>
                <a:t>)/</a:t>
              </a:r>
              <a:r>
                <a:rPr lang="he-IL" sz="1100" b="0" i="0">
                  <a:latin typeface="Cambria Math" panose="02040503050406030204" pitchFamily="18" charset="0"/>
                </a:rPr>
                <a:t>5=44,000</a:t>
              </a:r>
              <a:endParaRPr lang="en-US" sz="1100"/>
            </a:p>
          </xdr:txBody>
        </xdr:sp>
      </mc:Fallback>
    </mc:AlternateContent>
    <xdr:clientData/>
  </xdr:oneCellAnchor>
  <xdr:twoCellAnchor>
    <xdr:from>
      <xdr:col>7</xdr:col>
      <xdr:colOff>821764</xdr:colOff>
      <xdr:row>151</xdr:row>
      <xdr:rowOff>116209</xdr:rowOff>
    </xdr:from>
    <xdr:to>
      <xdr:col>8</xdr:col>
      <xdr:colOff>219967</xdr:colOff>
      <xdr:row>151</xdr:row>
      <xdr:rowOff>116209</xdr:rowOff>
    </xdr:to>
    <xdr:cxnSp macro="">
      <xdr:nvCxnSpPr>
        <xdr:cNvPr id="39" name="Straight Arrow Connector 38">
          <a:extLst>
            <a:ext uri="{FF2B5EF4-FFF2-40B4-BE49-F238E27FC236}">
              <a16:creationId xmlns:a16="http://schemas.microsoft.com/office/drawing/2014/main" id="{E2606452-1EAD-9D12-F3F0-1ADA0841400B}"/>
            </a:ext>
          </a:extLst>
        </xdr:cNvPr>
        <xdr:cNvCxnSpPr/>
      </xdr:nvCxnSpPr>
      <xdr:spPr>
        <a:xfrm flipH="1">
          <a:off x="13524964608" y="30998791"/>
          <a:ext cx="224118"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83006</xdr:colOff>
      <xdr:row>178</xdr:row>
      <xdr:rowOff>182614</xdr:rowOff>
    </xdr:from>
    <xdr:to>
      <xdr:col>7</xdr:col>
      <xdr:colOff>664051</xdr:colOff>
      <xdr:row>193</xdr:row>
      <xdr:rowOff>29052</xdr:rowOff>
    </xdr:to>
    <xdr:sp macro="" textlink="">
      <xdr:nvSpPr>
        <xdr:cNvPr id="41" name="TextBox 40">
          <a:extLst>
            <a:ext uri="{FF2B5EF4-FFF2-40B4-BE49-F238E27FC236}">
              <a16:creationId xmlns:a16="http://schemas.microsoft.com/office/drawing/2014/main" id="{54A5610C-0DE7-9454-D71F-991FB30BBF48}"/>
            </a:ext>
          </a:extLst>
        </xdr:cNvPr>
        <xdr:cNvSpPr txBox="1"/>
      </xdr:nvSpPr>
      <xdr:spPr>
        <a:xfrm>
          <a:off x="13525346439" y="36580980"/>
          <a:ext cx="6362450" cy="289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a:t>
          </a:r>
          <a:r>
            <a:rPr lang="he-IL" sz="1100" u="sng">
              <a:solidFill>
                <a:schemeClr val="dk1"/>
              </a:solidFill>
              <a:effectLst/>
              <a:latin typeface="David" panose="020E0502060401010101" pitchFamily="34" charset="-79"/>
              <a:ea typeface="+mn-ea"/>
              <a:cs typeface="David" panose="020E0502060401010101" pitchFamily="34" charset="-79"/>
            </a:rPr>
            <a:t>ולהבין את השפעותיהם</a:t>
          </a:r>
          <a:r>
            <a:rPr lang="he-IL" sz="1100">
              <a:solidFill>
                <a:schemeClr val="dk1"/>
              </a:solidFill>
              <a:effectLst/>
              <a:latin typeface="David" panose="020E0502060401010101" pitchFamily="34" charset="-79"/>
              <a:ea typeface="+mn-ea"/>
              <a:cs typeface="David" panose="020E0502060401010101" pitchFamily="34" charset="-79"/>
            </a:rPr>
            <a:t>.</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 (הכוונה היא, שאצלנו, הפחת מחושב לפי עלות פחות שייר חלקי תקופת הפחתה).</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ניתוח שינויים ואומדנים</a:t>
          </a:r>
          <a:r>
            <a:rPr lang="he-IL" sz="1100" b="1" baseline="0">
              <a:solidFill>
                <a:srgbClr val="FF0000"/>
              </a:solidFill>
              <a:effectLst/>
              <a:latin typeface="David" panose="020E0502060401010101" pitchFamily="34" charset="-79"/>
              <a:ea typeface="+mn-ea"/>
              <a:cs typeface="David" panose="020E0502060401010101" pitchFamily="34" charset="-79"/>
            </a:rPr>
            <a:t> (את זה נדגים כעת)</a:t>
          </a:r>
          <a:endParaRPr lang="he-IL" sz="1100" b="1">
            <a:solidFill>
              <a:srgbClr val="FF0000"/>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xdr:txBody>
    </xdr:sp>
    <xdr:clientData/>
  </xdr:twoCellAnchor>
  <xdr:twoCellAnchor>
    <xdr:from>
      <xdr:col>1</xdr:col>
      <xdr:colOff>351972</xdr:colOff>
      <xdr:row>215</xdr:row>
      <xdr:rowOff>32658</xdr:rowOff>
    </xdr:from>
    <xdr:to>
      <xdr:col>1</xdr:col>
      <xdr:colOff>359229</xdr:colOff>
      <xdr:row>217</xdr:row>
      <xdr:rowOff>79829</xdr:rowOff>
    </xdr:to>
    <xdr:cxnSp macro="">
      <xdr:nvCxnSpPr>
        <xdr:cNvPr id="43" name="Straight Arrow Connector 42">
          <a:extLst>
            <a:ext uri="{FF2B5EF4-FFF2-40B4-BE49-F238E27FC236}">
              <a16:creationId xmlns:a16="http://schemas.microsoft.com/office/drawing/2014/main" id="{E61F9BA2-B4CC-293C-E945-B2E39E20B293}"/>
            </a:ext>
          </a:extLst>
        </xdr:cNvPr>
        <xdr:cNvCxnSpPr/>
      </xdr:nvCxnSpPr>
      <xdr:spPr>
        <a:xfrm>
          <a:off x="13553530714" y="43945629"/>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714829</xdr:colOff>
      <xdr:row>221</xdr:row>
      <xdr:rowOff>27215</xdr:rowOff>
    </xdr:from>
    <xdr:ext cx="3058884" cy="427489"/>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25</m:t>
                        </m:r>
                      </m:den>
                    </m:f>
                    <m:r>
                      <a:rPr lang="en-US" sz="1100" b="0" i="1">
                        <a:latin typeface="Cambria Math" panose="02040503050406030204" pitchFamily="18" charset="0"/>
                      </a:rPr>
                      <m:t>=30,000</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𝐷=(𝐼_0−𝐼_𝐺)/𝑛=(1,000,000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25=30,000</a:t>
              </a:r>
              <a:endParaRPr lang="en-US" sz="1100"/>
            </a:p>
          </xdr:txBody>
        </xdr:sp>
      </mc:Fallback>
    </mc:AlternateContent>
    <xdr:clientData/>
  </xdr:oneCellAnchor>
  <xdr:twoCellAnchor>
    <xdr:from>
      <xdr:col>5</xdr:col>
      <xdr:colOff>460830</xdr:colOff>
      <xdr:row>215</xdr:row>
      <xdr:rowOff>1</xdr:rowOff>
    </xdr:from>
    <xdr:to>
      <xdr:col>5</xdr:col>
      <xdr:colOff>468087</xdr:colOff>
      <xdr:row>217</xdr:row>
      <xdr:rowOff>47172</xdr:rowOff>
    </xdr:to>
    <xdr:cxnSp macro="">
      <xdr:nvCxnSpPr>
        <xdr:cNvPr id="45" name="Straight Arrow Connector 44">
          <a:extLst>
            <a:ext uri="{FF2B5EF4-FFF2-40B4-BE49-F238E27FC236}">
              <a16:creationId xmlns:a16="http://schemas.microsoft.com/office/drawing/2014/main" id="{3E1C0135-1A8D-A240-B844-A7EC51CEFC43}"/>
            </a:ext>
          </a:extLst>
        </xdr:cNvPr>
        <xdr:cNvCxnSpPr/>
      </xdr:nvCxnSpPr>
      <xdr:spPr>
        <a:xfrm>
          <a:off x="13550112599" y="43912972"/>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431801</xdr:colOff>
      <xdr:row>224</xdr:row>
      <xdr:rowOff>161472</xdr:rowOff>
    </xdr:from>
    <xdr:ext cx="3058884" cy="4263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𝑁𝐸𝑊</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880,000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10</m:t>
                        </m:r>
                      </m:den>
                    </m:f>
                    <m:r>
                      <a:rPr lang="he-IL" sz="1100" b="0" i="1">
                        <a:latin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𝑁𝐸𝑊=(880,000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10</a:t>
              </a:r>
              <a:r>
                <a:rPr lang="he-IL" sz="1100" b="0" i="0">
                  <a:latin typeface="Cambria Math" panose="02040503050406030204" pitchFamily="18" charset="0"/>
                </a:rPr>
                <a:t>=</a:t>
              </a:r>
              <a:endParaRPr lang="en-US" sz="1100"/>
            </a:p>
          </xdr:txBody>
        </xdr:sp>
      </mc:Fallback>
    </mc:AlternateContent>
    <xdr:clientData/>
  </xdr:oneCellAnchor>
  <xdr:twoCellAnchor>
    <xdr:from>
      <xdr:col>7</xdr:col>
      <xdr:colOff>624114</xdr:colOff>
      <xdr:row>224</xdr:row>
      <xdr:rowOff>10886</xdr:rowOff>
    </xdr:from>
    <xdr:to>
      <xdr:col>7</xdr:col>
      <xdr:colOff>624114</xdr:colOff>
      <xdr:row>225</xdr:row>
      <xdr:rowOff>1</xdr:rowOff>
    </xdr:to>
    <xdr:cxnSp macro="">
      <xdr:nvCxnSpPr>
        <xdr:cNvPr id="47" name="Straight Arrow Connector 46">
          <a:extLst>
            <a:ext uri="{FF2B5EF4-FFF2-40B4-BE49-F238E27FC236}">
              <a16:creationId xmlns:a16="http://schemas.microsoft.com/office/drawing/2014/main" id="{FB3413B0-2EF5-B845-513A-CB29E69CC41B}"/>
            </a:ext>
          </a:extLst>
        </xdr:cNvPr>
        <xdr:cNvCxnSpPr/>
      </xdr:nvCxnSpPr>
      <xdr:spPr>
        <a:xfrm flipV="1">
          <a:off x="13548301943" y="45752657"/>
          <a:ext cx="0" cy="1923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159657</xdr:colOff>
      <xdr:row>224</xdr:row>
      <xdr:rowOff>68943</xdr:rowOff>
    </xdr:from>
    <xdr:to>
      <xdr:col>6</xdr:col>
      <xdr:colOff>544285</xdr:colOff>
      <xdr:row>225</xdr:row>
      <xdr:rowOff>25401</xdr:rowOff>
    </xdr:to>
    <xdr:cxnSp macro="">
      <xdr:nvCxnSpPr>
        <xdr:cNvPr id="50" name="Straight Arrow Connector 49">
          <a:extLst>
            <a:ext uri="{FF2B5EF4-FFF2-40B4-BE49-F238E27FC236}">
              <a16:creationId xmlns:a16="http://schemas.microsoft.com/office/drawing/2014/main" id="{38F13312-9372-F2A0-000C-CDB69994ED4B}"/>
            </a:ext>
          </a:extLst>
        </xdr:cNvPr>
        <xdr:cNvCxnSpPr/>
      </xdr:nvCxnSpPr>
      <xdr:spPr>
        <a:xfrm flipV="1">
          <a:off x="13549209086" y="45810714"/>
          <a:ext cx="384628" cy="1596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137885</xdr:colOff>
      <xdr:row>227</xdr:row>
      <xdr:rowOff>21773</xdr:rowOff>
    </xdr:from>
    <xdr:to>
      <xdr:col>7</xdr:col>
      <xdr:colOff>137885</xdr:colOff>
      <xdr:row>228</xdr:row>
      <xdr:rowOff>50800</xdr:rowOff>
    </xdr:to>
    <xdr:cxnSp macro="">
      <xdr:nvCxnSpPr>
        <xdr:cNvPr id="52" name="Straight Arrow Connector 51">
          <a:extLst>
            <a:ext uri="{FF2B5EF4-FFF2-40B4-BE49-F238E27FC236}">
              <a16:creationId xmlns:a16="http://schemas.microsoft.com/office/drawing/2014/main" id="{E17A85E7-1C82-EA8D-88DA-1BC785A44836}"/>
            </a:ext>
          </a:extLst>
        </xdr:cNvPr>
        <xdr:cNvCxnSpPr/>
      </xdr:nvCxnSpPr>
      <xdr:spPr>
        <a:xfrm>
          <a:off x="13548788172" y="46373144"/>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413657</xdr:colOff>
      <xdr:row>227</xdr:row>
      <xdr:rowOff>32658</xdr:rowOff>
    </xdr:from>
    <xdr:to>
      <xdr:col>5</xdr:col>
      <xdr:colOff>413657</xdr:colOff>
      <xdr:row>228</xdr:row>
      <xdr:rowOff>61685</xdr:rowOff>
    </xdr:to>
    <xdr:cxnSp macro="">
      <xdr:nvCxnSpPr>
        <xdr:cNvPr id="54" name="Straight Arrow Connector 53">
          <a:extLst>
            <a:ext uri="{FF2B5EF4-FFF2-40B4-BE49-F238E27FC236}">
              <a16:creationId xmlns:a16="http://schemas.microsoft.com/office/drawing/2014/main" id="{40F98FD7-BD57-67E1-62A9-987DA32F3702}"/>
            </a:ext>
          </a:extLst>
        </xdr:cNvPr>
        <xdr:cNvCxnSpPr/>
      </xdr:nvCxnSpPr>
      <xdr:spPr>
        <a:xfrm>
          <a:off x="13550167029" y="46384029"/>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203011</xdr:colOff>
      <xdr:row>209</xdr:row>
      <xdr:rowOff>23606</xdr:rowOff>
    </xdr:from>
    <xdr:to>
      <xdr:col>10</xdr:col>
      <xdr:colOff>596003</xdr:colOff>
      <xdr:row>215</xdr:row>
      <xdr:rowOff>177139</xdr:rowOff>
    </xdr:to>
    <xdr:pic>
      <xdr:nvPicPr>
        <xdr:cNvPr id="55" name="Picture 54">
          <a:extLst>
            <a:ext uri="{FF2B5EF4-FFF2-40B4-BE49-F238E27FC236}">
              <a16:creationId xmlns:a16="http://schemas.microsoft.com/office/drawing/2014/main" id="{CCDF71D2-42B5-EBE5-CEEB-15273B719B58}"/>
            </a:ext>
          </a:extLst>
        </xdr:cNvPr>
        <xdr:cNvPicPr>
          <a:picLocks noChangeAspect="1"/>
        </xdr:cNvPicPr>
      </xdr:nvPicPr>
      <xdr:blipFill>
        <a:blip xmlns:r="http://schemas.openxmlformats.org/officeDocument/2006/relationships" r:embed="rId2"/>
        <a:stretch>
          <a:fillRect/>
        </a:stretch>
      </xdr:blipFill>
      <xdr:spPr>
        <a:xfrm>
          <a:off x="13527736711" y="42670112"/>
          <a:ext cx="1219200" cy="1371600"/>
        </a:xfrm>
        <a:prstGeom prst="rect">
          <a:avLst/>
        </a:prstGeom>
      </xdr:spPr>
    </xdr:pic>
    <xdr:clientData/>
  </xdr:twoCellAnchor>
  <xdr:twoCellAnchor>
    <xdr:from>
      <xdr:col>10</xdr:col>
      <xdr:colOff>590148</xdr:colOff>
      <xdr:row>208</xdr:row>
      <xdr:rowOff>141636</xdr:rowOff>
    </xdr:from>
    <xdr:to>
      <xdr:col>13</xdr:col>
      <xdr:colOff>349368</xdr:colOff>
      <xdr:row>218</xdr:row>
      <xdr:rowOff>42491</xdr:rowOff>
    </xdr:to>
    <xdr:sp macro="" textlink="">
      <xdr:nvSpPr>
        <xdr:cNvPr id="56" name="Rounded Rectangular Callout 55">
          <a:extLst>
            <a:ext uri="{FF2B5EF4-FFF2-40B4-BE49-F238E27FC236}">
              <a16:creationId xmlns:a16="http://schemas.microsoft.com/office/drawing/2014/main" id="{35C67B60-2FFF-2C3B-0D06-4091369E7A85}"/>
            </a:ext>
          </a:extLst>
        </xdr:cNvPr>
        <xdr:cNvSpPr/>
      </xdr:nvSpPr>
      <xdr:spPr>
        <a:xfrm>
          <a:off x="13525504722" y="42585130"/>
          <a:ext cx="2237844" cy="1930967"/>
        </a:xfrm>
        <a:prstGeom prst="wedgeRoundRectCallout">
          <a:avLst>
            <a:gd name="adj1" fmla="val 65664"/>
            <a:gd name="adj2" fmla="val 35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שינוי בתקופת ההפחתה מטופל באופן הבא:</a:t>
          </a:r>
        </a:p>
        <a:p>
          <a:pPr algn="r" rtl="1"/>
          <a:r>
            <a:rPr lang="he-IL" sz="1100"/>
            <a:t>א. חישוב עלות מופחתת ״רגע לפני השינוי״</a:t>
          </a:r>
        </a:p>
        <a:p>
          <a:pPr algn="r" rtl="1"/>
          <a:r>
            <a:rPr lang="he-IL" sz="1100"/>
            <a:t>ב. חישוב הוצאות פחת שמתבססות על העלות המופחתת ״רגע לפני השינוי״</a:t>
          </a:r>
        </a:p>
        <a:p>
          <a:pPr algn="r" rtl="1"/>
          <a:r>
            <a:rPr lang="he-IL" sz="1100"/>
            <a:t>ג.</a:t>
          </a:r>
          <a:r>
            <a:rPr lang="he-IL" sz="1100" baseline="0"/>
            <a:t> הוצאות פחת אלו תרשמנה בגין הפריט בכל שנה לאחר מועד השינוי</a:t>
          </a:r>
          <a:endParaRPr lang="he-IL" sz="1100"/>
        </a:p>
      </xdr:txBody>
    </xdr:sp>
    <xdr:clientData/>
  </xdr:twoCellAnchor>
  <xdr:twoCellAnchor>
    <xdr:from>
      <xdr:col>3</xdr:col>
      <xdr:colOff>458107</xdr:colOff>
      <xdr:row>239</xdr:row>
      <xdr:rowOff>197758</xdr:rowOff>
    </xdr:from>
    <xdr:to>
      <xdr:col>3</xdr:col>
      <xdr:colOff>458107</xdr:colOff>
      <xdr:row>241</xdr:row>
      <xdr:rowOff>23585</xdr:rowOff>
    </xdr:to>
    <xdr:cxnSp macro="">
      <xdr:nvCxnSpPr>
        <xdr:cNvPr id="57" name="Straight Arrow Connector 56">
          <a:extLst>
            <a:ext uri="{FF2B5EF4-FFF2-40B4-BE49-F238E27FC236}">
              <a16:creationId xmlns:a16="http://schemas.microsoft.com/office/drawing/2014/main" id="{FB45F997-43E3-4965-6EE9-0DCBED2E3865}"/>
            </a:ext>
          </a:extLst>
        </xdr:cNvPr>
        <xdr:cNvCxnSpPr/>
      </xdr:nvCxnSpPr>
      <xdr:spPr>
        <a:xfrm>
          <a:off x="13522057393" y="49016558"/>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3175</xdr:colOff>
      <xdr:row>237</xdr:row>
      <xdr:rowOff>101600</xdr:rowOff>
    </xdr:from>
    <xdr:to>
      <xdr:col>5</xdr:col>
      <xdr:colOff>196850</xdr:colOff>
      <xdr:row>237</xdr:row>
      <xdr:rowOff>104775</xdr:rowOff>
    </xdr:to>
    <xdr:cxnSp macro="">
      <xdr:nvCxnSpPr>
        <xdr:cNvPr id="58" name="Straight Arrow Connector 57">
          <a:extLst>
            <a:ext uri="{FF2B5EF4-FFF2-40B4-BE49-F238E27FC236}">
              <a16:creationId xmlns:a16="http://schemas.microsoft.com/office/drawing/2014/main" id="{3BA58A76-3206-24E0-9FEA-C10BF59C1F2D}"/>
            </a:ext>
          </a:extLst>
        </xdr:cNvPr>
        <xdr:cNvCxnSpPr/>
      </xdr:nvCxnSpPr>
      <xdr:spPr>
        <a:xfrm flipH="1">
          <a:off x="13520667650" y="48514000"/>
          <a:ext cx="1019175"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377658</xdr:colOff>
      <xdr:row>240</xdr:row>
      <xdr:rowOff>16711</xdr:rowOff>
    </xdr:from>
    <xdr:to>
      <xdr:col>8</xdr:col>
      <xdr:colOff>387684</xdr:colOff>
      <xdr:row>241</xdr:row>
      <xdr:rowOff>83552</xdr:rowOff>
    </xdr:to>
    <xdr:cxnSp macro="">
      <xdr:nvCxnSpPr>
        <xdr:cNvPr id="61" name="Straight Arrow Connector 60">
          <a:extLst>
            <a:ext uri="{FF2B5EF4-FFF2-40B4-BE49-F238E27FC236}">
              <a16:creationId xmlns:a16="http://schemas.microsoft.com/office/drawing/2014/main" id="{1E7EE3F6-48D8-E78D-01C7-CF074E6B395D}"/>
            </a:ext>
          </a:extLst>
        </xdr:cNvPr>
        <xdr:cNvCxnSpPr/>
      </xdr:nvCxnSpPr>
      <xdr:spPr>
        <a:xfrm flipH="1">
          <a:off x="13518000316" y="49205816"/>
          <a:ext cx="10026" cy="27071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127001</xdr:colOff>
      <xdr:row>12</xdr:row>
      <xdr:rowOff>98425</xdr:rowOff>
    </xdr:from>
    <xdr:to>
      <xdr:col>7</xdr:col>
      <xdr:colOff>533400</xdr:colOff>
      <xdr:row>19</xdr:row>
      <xdr:rowOff>88901</xdr:rowOff>
    </xdr:to>
    <xdr:sp macro="" textlink="">
      <xdr:nvSpPr>
        <xdr:cNvPr id="2" name="TextBox 1">
          <a:extLst>
            <a:ext uri="{FF2B5EF4-FFF2-40B4-BE49-F238E27FC236}">
              <a16:creationId xmlns:a16="http://schemas.microsoft.com/office/drawing/2014/main" id="{9749DBCE-A048-7941-AC0E-A5ED714B3FE1}"/>
            </a:ext>
          </a:extLst>
        </xdr:cNvPr>
        <xdr:cNvSpPr txBox="1"/>
      </xdr:nvSpPr>
      <xdr:spPr>
        <a:xfrm>
          <a:off x="13518680100" y="2536825"/>
          <a:ext cx="6184899" cy="141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000">
            <a:solidFill>
              <a:schemeClr val="dk1"/>
            </a:solidFill>
            <a:effectLst/>
            <a:latin typeface="David" panose="020E0502060401010101" pitchFamily="34" charset="-79"/>
            <a:ea typeface="+mn-ea"/>
            <a:cs typeface="David" panose="020E0502060401010101" pitchFamily="34" charset="-79"/>
          </a:endParaRPr>
        </a:p>
        <a:p>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נושא: הון עצמי</a:t>
          </a:r>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000">
              <a:solidFill>
                <a:schemeClr val="dk1"/>
              </a:solidFill>
              <a:effectLst/>
              <a:latin typeface="David" panose="020E0502060401010101" pitchFamily="34" charset="-79"/>
              <a:ea typeface="+mn-ea"/>
              <a:cs typeface="David" panose="020E0502060401010101" pitchFamily="34" charset="-79"/>
            </a:rPr>
            <a:t>• דגשים:</a:t>
          </a: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7</xdr:col>
      <xdr:colOff>10353</xdr:colOff>
      <xdr:row>37</xdr:row>
      <xdr:rowOff>200162</xdr:rowOff>
    </xdr:from>
    <xdr:to>
      <xdr:col>7</xdr:col>
      <xdr:colOff>483152</xdr:colOff>
      <xdr:row>39</xdr:row>
      <xdr:rowOff>3451</xdr:rowOff>
    </xdr:to>
    <xdr:sp macro="" textlink="">
      <xdr:nvSpPr>
        <xdr:cNvPr id="3" name="Down Arrow 2">
          <a:extLst>
            <a:ext uri="{FF2B5EF4-FFF2-40B4-BE49-F238E27FC236}">
              <a16:creationId xmlns:a16="http://schemas.microsoft.com/office/drawing/2014/main" id="{04ABCC3F-4E6C-9072-464E-891BE5B82F93}"/>
            </a:ext>
          </a:extLst>
        </xdr:cNvPr>
        <xdr:cNvSpPr/>
      </xdr:nvSpPr>
      <xdr:spPr>
        <a:xfrm rot="5400000">
          <a:off x="13507557799" y="7754592"/>
          <a:ext cx="210517" cy="47279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6</xdr:col>
      <xdr:colOff>278409</xdr:colOff>
      <xdr:row>35</xdr:row>
      <xdr:rowOff>93585</xdr:rowOff>
    </xdr:from>
    <xdr:to>
      <xdr:col>6</xdr:col>
      <xdr:colOff>735074</xdr:colOff>
      <xdr:row>37</xdr:row>
      <xdr:rowOff>185731</xdr:rowOff>
    </xdr:to>
    <xdr:pic>
      <xdr:nvPicPr>
        <xdr:cNvPr id="4" name="Picture 3">
          <a:extLst>
            <a:ext uri="{FF2B5EF4-FFF2-40B4-BE49-F238E27FC236}">
              <a16:creationId xmlns:a16="http://schemas.microsoft.com/office/drawing/2014/main" id="{8F4D2EDD-BDC0-B737-C3BF-CCEDB6658F14}"/>
            </a:ext>
          </a:extLst>
        </xdr:cNvPr>
        <xdr:cNvPicPr>
          <a:picLocks noChangeAspect="1"/>
        </xdr:cNvPicPr>
      </xdr:nvPicPr>
      <xdr:blipFill>
        <a:blip xmlns:r="http://schemas.openxmlformats.org/officeDocument/2006/relationships" r:embed="rId1"/>
        <a:stretch>
          <a:fillRect/>
        </a:stretch>
      </xdr:blipFill>
      <xdr:spPr>
        <a:xfrm>
          <a:off x="13491195737" y="7305507"/>
          <a:ext cx="456665" cy="526921"/>
        </a:xfrm>
        <a:prstGeom prst="rect">
          <a:avLst/>
        </a:prstGeom>
      </xdr:spPr>
    </xdr:pic>
    <xdr:clientData/>
  </xdr:twoCellAnchor>
  <xdr:twoCellAnchor>
    <xdr:from>
      <xdr:col>5</xdr:col>
      <xdr:colOff>772474</xdr:colOff>
      <xdr:row>54</xdr:row>
      <xdr:rowOff>13093</xdr:rowOff>
    </xdr:from>
    <xdr:to>
      <xdr:col>9</xdr:col>
      <xdr:colOff>137996</xdr:colOff>
      <xdr:row>61</xdr:row>
      <xdr:rowOff>81831</xdr:rowOff>
    </xdr:to>
    <xdr:sp macro="" textlink="">
      <xdr:nvSpPr>
        <xdr:cNvPr id="5" name="TextBox 4">
          <a:extLst>
            <a:ext uri="{FF2B5EF4-FFF2-40B4-BE49-F238E27FC236}">
              <a16:creationId xmlns:a16="http://schemas.microsoft.com/office/drawing/2014/main" id="{EC5B548D-9B77-5F4C-81A4-78A3813BBEBA}"/>
            </a:ext>
          </a:extLst>
        </xdr:cNvPr>
        <xdr:cNvSpPr txBox="1"/>
      </xdr:nvSpPr>
      <xdr:spPr>
        <a:xfrm>
          <a:off x="13506704788" y="11181237"/>
          <a:ext cx="2664903" cy="1489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2</xdr:col>
      <xdr:colOff>699371</xdr:colOff>
      <xdr:row>124</xdr:row>
      <xdr:rowOff>104384</xdr:rowOff>
    </xdr:from>
    <xdr:to>
      <xdr:col>3</xdr:col>
      <xdr:colOff>713289</xdr:colOff>
      <xdr:row>124</xdr:row>
      <xdr:rowOff>107863</xdr:rowOff>
    </xdr:to>
    <xdr:cxnSp macro="">
      <xdr:nvCxnSpPr>
        <xdr:cNvPr id="7" name="Straight Arrow Connector 6">
          <a:extLst>
            <a:ext uri="{FF2B5EF4-FFF2-40B4-BE49-F238E27FC236}">
              <a16:creationId xmlns:a16="http://schemas.microsoft.com/office/drawing/2014/main" id="{6312AD8C-508B-4212-E387-83FB28C4BC44}"/>
            </a:ext>
          </a:extLst>
        </xdr:cNvPr>
        <xdr:cNvCxnSpPr/>
      </xdr:nvCxnSpPr>
      <xdr:spPr>
        <a:xfrm flipH="1">
          <a:off x="13507580821" y="23040932"/>
          <a:ext cx="838548" cy="3479"/>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716767</xdr:colOff>
      <xdr:row>125</xdr:row>
      <xdr:rowOff>170493</xdr:rowOff>
    </xdr:from>
    <xdr:to>
      <xdr:col>4</xdr:col>
      <xdr:colOff>716767</xdr:colOff>
      <xdr:row>126</xdr:row>
      <xdr:rowOff>125261</xdr:rowOff>
    </xdr:to>
    <xdr:cxnSp macro="">
      <xdr:nvCxnSpPr>
        <xdr:cNvPr id="9" name="Straight Arrow Connector 8">
          <a:extLst>
            <a:ext uri="{FF2B5EF4-FFF2-40B4-BE49-F238E27FC236}">
              <a16:creationId xmlns:a16="http://schemas.microsoft.com/office/drawing/2014/main" id="{AE283F22-EAE3-274C-7479-B963B311AE9E}"/>
            </a:ext>
          </a:extLst>
        </xdr:cNvPr>
        <xdr:cNvCxnSpPr/>
      </xdr:nvCxnSpPr>
      <xdr:spPr>
        <a:xfrm>
          <a:off x="13506752712" y="23322767"/>
          <a:ext cx="0" cy="1704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786356</xdr:colOff>
      <xdr:row>125</xdr:row>
      <xdr:rowOff>146137</xdr:rowOff>
    </xdr:from>
    <xdr:to>
      <xdr:col>5</xdr:col>
      <xdr:colOff>313151</xdr:colOff>
      <xdr:row>126</xdr:row>
      <xdr:rowOff>69589</xdr:rowOff>
    </xdr:to>
    <xdr:sp macro="" textlink="">
      <xdr:nvSpPr>
        <xdr:cNvPr id="10" name="Rounded Rectangle 9">
          <a:extLst>
            <a:ext uri="{FF2B5EF4-FFF2-40B4-BE49-F238E27FC236}">
              <a16:creationId xmlns:a16="http://schemas.microsoft.com/office/drawing/2014/main" id="{F4336039-6E69-BC94-5D24-CEC770AF8B7C}"/>
            </a:ext>
          </a:extLst>
        </xdr:cNvPr>
        <xdr:cNvSpPr/>
      </xdr:nvSpPr>
      <xdr:spPr>
        <a:xfrm>
          <a:off x="13506331698" y="23298411"/>
          <a:ext cx="351425" cy="1391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500"/>
            <a:t>10%</a:t>
          </a:r>
          <a:endParaRPr lang="en-US" sz="500"/>
        </a:p>
      </xdr:txBody>
    </xdr:sp>
    <xdr:clientData/>
  </xdr:twoCellAnchor>
  <xdr:twoCellAnchor editAs="oneCell">
    <xdr:from>
      <xdr:col>5</xdr:col>
      <xdr:colOff>431450</xdr:colOff>
      <xdr:row>75</xdr:row>
      <xdr:rowOff>111878</xdr:rowOff>
    </xdr:from>
    <xdr:to>
      <xdr:col>7</xdr:col>
      <xdr:colOff>787052</xdr:colOff>
      <xdr:row>85</xdr:row>
      <xdr:rowOff>134827</xdr:rowOff>
    </xdr:to>
    <xdr:pic>
      <xdr:nvPicPr>
        <xdr:cNvPr id="11" name="Picture 10">
          <a:extLst>
            <a:ext uri="{FF2B5EF4-FFF2-40B4-BE49-F238E27FC236}">
              <a16:creationId xmlns:a16="http://schemas.microsoft.com/office/drawing/2014/main" id="{5E6AF57F-1F85-FEED-682F-D4B3A6656ECC}"/>
            </a:ext>
          </a:extLst>
        </xdr:cNvPr>
        <xdr:cNvPicPr>
          <a:picLocks noChangeAspect="1"/>
        </xdr:cNvPicPr>
      </xdr:nvPicPr>
      <xdr:blipFill>
        <a:blip xmlns:r="http://schemas.openxmlformats.org/officeDocument/2006/relationships" r:embed="rId2"/>
        <a:stretch>
          <a:fillRect/>
        </a:stretch>
      </xdr:blipFill>
      <xdr:spPr>
        <a:xfrm>
          <a:off x="13504208537" y="15470179"/>
          <a:ext cx="2004862" cy="2041032"/>
        </a:xfrm>
        <a:prstGeom prst="rect">
          <a:avLst/>
        </a:prstGeom>
      </xdr:spPr>
    </xdr:pic>
    <xdr:clientData/>
  </xdr:twoCellAnchor>
  <xdr:twoCellAnchor editAs="oneCell">
    <xdr:from>
      <xdr:col>0</xdr:col>
      <xdr:colOff>154101</xdr:colOff>
      <xdr:row>174</xdr:row>
      <xdr:rowOff>95649</xdr:rowOff>
    </xdr:from>
    <xdr:to>
      <xdr:col>7</xdr:col>
      <xdr:colOff>212552</xdr:colOff>
      <xdr:row>189</xdr:row>
      <xdr:rowOff>133755</xdr:rowOff>
    </xdr:to>
    <xdr:pic>
      <xdr:nvPicPr>
        <xdr:cNvPr id="12" name="Picture 11">
          <a:extLst>
            <a:ext uri="{FF2B5EF4-FFF2-40B4-BE49-F238E27FC236}">
              <a16:creationId xmlns:a16="http://schemas.microsoft.com/office/drawing/2014/main" id="{E1E715F7-639F-547F-BB69-9B8FDFCCE6C1}"/>
            </a:ext>
          </a:extLst>
        </xdr:cNvPr>
        <xdr:cNvPicPr>
          <a:picLocks noChangeAspect="1"/>
        </xdr:cNvPicPr>
      </xdr:nvPicPr>
      <xdr:blipFill>
        <a:blip xmlns:r="http://schemas.openxmlformats.org/officeDocument/2006/relationships" r:embed="rId3"/>
        <a:stretch>
          <a:fillRect/>
        </a:stretch>
      </xdr:blipFill>
      <xdr:spPr>
        <a:xfrm>
          <a:off x="13488569038" y="36266737"/>
          <a:ext cx="5823932" cy="306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haytsaban/Documents/YVC%20-%20Intro%20ACC/2025A/Course%20Notes%20-%20Intro%20ACC%20-%202025%20A.xlsx" TargetMode="External"/><Relationship Id="rId1" Type="http://schemas.openxmlformats.org/officeDocument/2006/relationships/externalLinkPath" Target="/Users/shaytsaban/Documents/YVC%20-%20Intro%20ACC/2025A/Course%20Notes%20-%20Intro%20ACC%20-%202025%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אינדקס"/>
      <sheetName val="1 - הרצאה"/>
      <sheetName val="1 - מושגים"/>
      <sheetName val="1 - תרגול"/>
      <sheetName val="2 - הרצאה"/>
      <sheetName val="2 - ביאורים"/>
      <sheetName val="2 - יונית"/>
      <sheetName val="2 - תרגול נוסף"/>
      <sheetName val="3 - הרצאה"/>
      <sheetName val="3 - תרגול נוסף"/>
      <sheetName val="4 - הרצאה"/>
      <sheetName val="5 - הרצאה"/>
      <sheetName val="5 - תרגול 1"/>
      <sheetName val="5 - תרגול 2"/>
      <sheetName val="5 - תרגול 3"/>
      <sheetName val="6 - הרצאה"/>
      <sheetName val="7 - הרצאה חדשה"/>
      <sheetName val="8 - הרצאה חדשה"/>
      <sheetName val="9 - הנסיכה התימנית"/>
      <sheetName val="שרה"/>
      <sheetName val="מבנה הבחינה"/>
      <sheetName val="מסה נוספת לחזרה"/>
      <sheetName val="תרגילים נוספים קצרים לחזרה"/>
      <sheetName val="תרגול קצר אחרון"/>
    </sheetNames>
    <sheetDataSet>
      <sheetData sheetId="0"/>
      <sheetData sheetId="1"/>
      <sheetData sheetId="2"/>
      <sheetData sheetId="3"/>
      <sheetData sheetId="4">
        <row r="119">
          <cell r="I119">
            <v>14000</v>
          </cell>
        </row>
        <row r="120">
          <cell r="I120">
            <v>11000</v>
          </cell>
        </row>
        <row r="131">
          <cell r="I131">
            <v>13000</v>
          </cell>
        </row>
        <row r="132">
          <cell r="I132">
            <v>23000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hyperlink" Target="mailto:shay.tsaban@gmail.com" TargetMode="Externa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hyperlink" Target="mailto:shay.tsaban@gmail.com" TargetMode="Externa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2D1D-95FC-4B41-8636-1F174D124CA9}">
  <dimension ref="A1:H220"/>
  <sheetViews>
    <sheetView rightToLeft="1" topLeftCell="A223" zoomScale="233" workbookViewId="0">
      <selection activeCell="B221" sqref="B221"/>
    </sheetView>
  </sheetViews>
  <sheetFormatPr baseColWidth="10" defaultRowHeight="16" x14ac:dyDescent="0.2"/>
  <cols>
    <col min="1" max="16384" width="10.83203125" style="1"/>
  </cols>
  <sheetData>
    <row r="1" spans="1:8" x14ac:dyDescent="0.2">
      <c r="A1" s="1" t="s">
        <v>0</v>
      </c>
    </row>
    <row r="2" spans="1:8" x14ac:dyDescent="0.2">
      <c r="A2" s="1" t="s">
        <v>1</v>
      </c>
    </row>
    <row r="3" spans="1:8" x14ac:dyDescent="0.2">
      <c r="A3" s="1" t="s">
        <v>2</v>
      </c>
    </row>
    <row r="4" spans="1:8" x14ac:dyDescent="0.2">
      <c r="A4" s="1" t="s">
        <v>3</v>
      </c>
    </row>
    <row r="6" spans="1:8" x14ac:dyDescent="0.2">
      <c r="A6" s="2" t="s">
        <v>4</v>
      </c>
      <c r="B6" s="2"/>
      <c r="C6" s="2"/>
      <c r="D6" s="2"/>
      <c r="E6" s="2"/>
      <c r="F6" s="2"/>
      <c r="G6" s="2"/>
      <c r="H6" s="2"/>
    </row>
    <row r="7" spans="1:8" x14ac:dyDescent="0.2">
      <c r="A7" s="1" t="s">
        <v>5</v>
      </c>
    </row>
    <row r="8" spans="1:8" x14ac:dyDescent="0.2">
      <c r="A8" s="1" t="s">
        <v>6</v>
      </c>
    </row>
    <row r="9" spans="1:8" x14ac:dyDescent="0.2">
      <c r="A9" s="1" t="s">
        <v>7</v>
      </c>
    </row>
    <row r="10" spans="1:8" x14ac:dyDescent="0.2">
      <c r="A10" s="1" t="s">
        <v>8</v>
      </c>
    </row>
    <row r="12" spans="1:8" x14ac:dyDescent="0.2">
      <c r="A12" s="2" t="s">
        <v>9</v>
      </c>
      <c r="B12" s="2"/>
      <c r="C12" s="2"/>
      <c r="D12" s="2"/>
      <c r="E12" s="2"/>
      <c r="F12" s="2"/>
      <c r="G12" s="2"/>
      <c r="H12" s="2"/>
    </row>
    <row r="13" spans="1:8" x14ac:dyDescent="0.2">
      <c r="A13" s="1" t="s">
        <v>10</v>
      </c>
    </row>
    <row r="14" spans="1:8" x14ac:dyDescent="0.2">
      <c r="A14" s="1" t="s">
        <v>11</v>
      </c>
    </row>
    <row r="15" spans="1:8" x14ac:dyDescent="0.2">
      <c r="A15" s="1" t="s">
        <v>12</v>
      </c>
    </row>
    <row r="17" spans="1:8" x14ac:dyDescent="0.2">
      <c r="A17" s="2" t="s">
        <v>13</v>
      </c>
      <c r="B17" s="2"/>
      <c r="C17" s="2"/>
      <c r="D17" s="2"/>
      <c r="E17" s="2"/>
      <c r="F17" s="2"/>
      <c r="G17" s="2"/>
      <c r="H17" s="2"/>
    </row>
    <row r="19" spans="1:8" x14ac:dyDescent="0.2">
      <c r="A19" s="3" t="s">
        <v>14</v>
      </c>
    </row>
    <row r="20" spans="1:8" x14ac:dyDescent="0.2">
      <c r="B20" s="1" t="s">
        <v>15</v>
      </c>
    </row>
    <row r="22" spans="1:8" x14ac:dyDescent="0.2">
      <c r="A22" s="3" t="s">
        <v>16</v>
      </c>
    </row>
    <row r="23" spans="1:8" x14ac:dyDescent="0.2">
      <c r="B23" s="1" t="s">
        <v>17</v>
      </c>
    </row>
    <row r="24" spans="1:8" x14ac:dyDescent="0.2">
      <c r="B24" s="1" t="s">
        <v>18</v>
      </c>
    </row>
    <row r="25" spans="1:8" x14ac:dyDescent="0.2">
      <c r="B25" s="1" t="s">
        <v>19</v>
      </c>
    </row>
    <row r="27" spans="1:8" x14ac:dyDescent="0.2">
      <c r="A27" s="1" t="s">
        <v>20</v>
      </c>
    </row>
    <row r="28" spans="1:8" x14ac:dyDescent="0.2">
      <c r="A28" s="1" t="s">
        <v>21</v>
      </c>
    </row>
    <row r="30" spans="1:8" x14ac:dyDescent="0.2">
      <c r="A30" s="2" t="s">
        <v>89</v>
      </c>
      <c r="B30" s="2"/>
      <c r="C30" s="2"/>
      <c r="D30" s="2"/>
      <c r="E30" s="2"/>
      <c r="F30" s="2"/>
      <c r="G30" s="2"/>
      <c r="H30" s="2"/>
    </row>
    <row r="32" spans="1:8" x14ac:dyDescent="0.2">
      <c r="A32" s="1" t="s">
        <v>22</v>
      </c>
      <c r="E32" s="1" t="s">
        <v>31</v>
      </c>
    </row>
    <row r="33" spans="1:8" x14ac:dyDescent="0.2">
      <c r="A33" s="1" t="s">
        <v>23</v>
      </c>
      <c r="E33" s="1" t="s">
        <v>32</v>
      </c>
    </row>
    <row r="36" spans="1:8" x14ac:dyDescent="0.2">
      <c r="A36" s="5" t="s">
        <v>30</v>
      </c>
      <c r="B36" s="5"/>
      <c r="C36" s="5"/>
      <c r="E36" s="5" t="s">
        <v>39</v>
      </c>
      <c r="F36" s="6"/>
      <c r="G36" s="6"/>
      <c r="H36" s="6"/>
    </row>
    <row r="37" spans="1:8" x14ac:dyDescent="0.2">
      <c r="A37" s="1" t="s">
        <v>24</v>
      </c>
      <c r="C37" s="4" t="s">
        <v>25</v>
      </c>
      <c r="E37" s="1" t="s">
        <v>33</v>
      </c>
      <c r="F37" s="4" t="s">
        <v>34</v>
      </c>
      <c r="G37" s="1" t="s">
        <v>35</v>
      </c>
      <c r="H37" s="4" t="s">
        <v>34</v>
      </c>
    </row>
    <row r="38" spans="1:8" x14ac:dyDescent="0.2">
      <c r="A38" s="1" t="s">
        <v>26</v>
      </c>
      <c r="C38" s="4" t="s">
        <v>27</v>
      </c>
      <c r="G38" s="1" t="s">
        <v>36</v>
      </c>
      <c r="H38" s="4" t="s">
        <v>34</v>
      </c>
    </row>
    <row r="39" spans="1:8" x14ac:dyDescent="0.2">
      <c r="A39" s="1" t="s">
        <v>29</v>
      </c>
      <c r="C39" s="4" t="s">
        <v>28</v>
      </c>
    </row>
    <row r="40" spans="1:8" x14ac:dyDescent="0.2">
      <c r="E40" s="1" t="s">
        <v>37</v>
      </c>
    </row>
    <row r="41" spans="1:8" x14ac:dyDescent="0.2">
      <c r="E41" s="1" t="s">
        <v>38</v>
      </c>
    </row>
    <row r="43" spans="1:8" x14ac:dyDescent="0.2">
      <c r="A43" s="2" t="s">
        <v>40</v>
      </c>
      <c r="B43" s="2"/>
      <c r="C43" s="2"/>
      <c r="D43" s="2"/>
      <c r="E43" s="2"/>
      <c r="F43" s="2"/>
      <c r="G43" s="2"/>
      <c r="H43" s="2"/>
    </row>
    <row r="45" spans="1:8" x14ac:dyDescent="0.2">
      <c r="A45" s="10" t="s">
        <v>43</v>
      </c>
      <c r="B45" s="11"/>
      <c r="C45" s="11"/>
      <c r="D45" s="11"/>
      <c r="E45" s="11"/>
      <c r="F45" s="11"/>
      <c r="G45" s="11"/>
      <c r="H45" s="12"/>
    </row>
    <row r="46" spans="1:8" x14ac:dyDescent="0.2">
      <c r="A46" s="13" t="s">
        <v>41</v>
      </c>
      <c r="H46" s="14"/>
    </row>
    <row r="47" spans="1:8" x14ac:dyDescent="0.2">
      <c r="A47" s="15" t="s">
        <v>42</v>
      </c>
      <c r="B47" s="6"/>
      <c r="C47" s="6"/>
      <c r="D47" s="6"/>
      <c r="E47" s="6"/>
      <c r="F47" s="6"/>
      <c r="G47" s="6"/>
      <c r="H47" s="16"/>
    </row>
    <row r="49" spans="1:8" x14ac:dyDescent="0.2">
      <c r="A49" s="1" t="s">
        <v>49</v>
      </c>
    </row>
    <row r="50" spans="1:8" x14ac:dyDescent="0.2">
      <c r="A50" s="1" t="s">
        <v>44</v>
      </c>
    </row>
    <row r="51" spans="1:8" x14ac:dyDescent="0.2">
      <c r="A51" s="1" t="s">
        <v>45</v>
      </c>
    </row>
    <row r="52" spans="1:8" x14ac:dyDescent="0.2">
      <c r="A52" s="1" t="s">
        <v>46</v>
      </c>
    </row>
    <row r="53" spans="1:8" x14ac:dyDescent="0.2">
      <c r="A53" s="1" t="s">
        <v>47</v>
      </c>
    </row>
    <row r="54" spans="1:8" x14ac:dyDescent="0.2">
      <c r="A54" s="1" t="s">
        <v>48</v>
      </c>
    </row>
    <row r="56" spans="1:8" x14ac:dyDescent="0.2">
      <c r="A56" s="3" t="s">
        <v>50</v>
      </c>
    </row>
    <row r="57" spans="1:8" x14ac:dyDescent="0.2">
      <c r="A57" s="1" t="s">
        <v>51</v>
      </c>
    </row>
    <row r="58" spans="1:8" x14ac:dyDescent="0.2">
      <c r="A58" s="1" t="s">
        <v>52</v>
      </c>
    </row>
    <row r="59" spans="1:8" x14ac:dyDescent="0.2">
      <c r="A59" s="1" t="s">
        <v>53</v>
      </c>
    </row>
    <row r="60" spans="1:8" x14ac:dyDescent="0.2">
      <c r="A60" s="1" t="s">
        <v>54</v>
      </c>
    </row>
    <row r="62" spans="1:8" x14ac:dyDescent="0.2">
      <c r="A62" s="21" t="s">
        <v>55</v>
      </c>
      <c r="B62" s="22" t="s">
        <v>56</v>
      </c>
      <c r="C62" s="22"/>
      <c r="D62" s="22"/>
      <c r="E62" s="22"/>
      <c r="F62" s="22"/>
      <c r="G62" s="22"/>
      <c r="H62" s="23"/>
    </row>
    <row r="64" spans="1:8" x14ac:dyDescent="0.2">
      <c r="A64" s="3" t="s">
        <v>57</v>
      </c>
    </row>
    <row r="66" spans="1:8" x14ac:dyDescent="0.2">
      <c r="A66" s="24" t="s">
        <v>117</v>
      </c>
      <c r="B66" s="25" t="s">
        <v>118</v>
      </c>
      <c r="C66" s="25"/>
      <c r="D66" s="25"/>
      <c r="E66" s="25"/>
      <c r="F66" s="25"/>
      <c r="G66" s="25"/>
      <c r="H66" s="26"/>
    </row>
    <row r="67" spans="1:8" x14ac:dyDescent="0.2">
      <c r="A67" s="27"/>
      <c r="B67" s="28" t="s">
        <v>119</v>
      </c>
      <c r="C67" s="28"/>
      <c r="D67" s="28"/>
      <c r="E67" s="28"/>
      <c r="F67" s="28"/>
      <c r="G67" s="28"/>
      <c r="H67" s="29"/>
    </row>
    <row r="69" spans="1:8" x14ac:dyDescent="0.2">
      <c r="A69" s="10" t="s">
        <v>58</v>
      </c>
      <c r="B69" s="11"/>
      <c r="C69" s="11"/>
      <c r="D69" s="11"/>
      <c r="E69" s="11"/>
      <c r="F69" s="11"/>
      <c r="G69" s="11"/>
      <c r="H69" s="12"/>
    </row>
    <row r="70" spans="1:8" x14ac:dyDescent="0.2">
      <c r="A70" s="13" t="s">
        <v>65</v>
      </c>
      <c r="H70" s="14"/>
    </row>
    <row r="71" spans="1:8" x14ac:dyDescent="0.2">
      <c r="A71" s="15" t="s">
        <v>59</v>
      </c>
      <c r="B71" s="6"/>
      <c r="C71" s="6"/>
      <c r="D71" s="6"/>
      <c r="E71" s="6"/>
      <c r="F71" s="6"/>
      <c r="G71" s="6"/>
      <c r="H71" s="16"/>
    </row>
    <row r="73" spans="1:8" x14ac:dyDescent="0.2">
      <c r="A73" s="1" t="s">
        <v>60</v>
      </c>
    </row>
    <row r="74" spans="1:8" x14ac:dyDescent="0.2">
      <c r="A74" s="1" t="s">
        <v>61</v>
      </c>
    </row>
    <row r="75" spans="1:8" x14ac:dyDescent="0.2">
      <c r="A75" s="1" t="s">
        <v>62</v>
      </c>
    </row>
    <row r="76" spans="1:8" x14ac:dyDescent="0.2">
      <c r="A76" s="1" t="s">
        <v>63</v>
      </c>
    </row>
    <row r="77" spans="1:8" x14ac:dyDescent="0.2">
      <c r="A77" s="1" t="s">
        <v>64</v>
      </c>
    </row>
    <row r="79" spans="1:8" x14ac:dyDescent="0.2">
      <c r="A79" s="3" t="s">
        <v>66</v>
      </c>
    </row>
    <row r="81" spans="1:8" x14ac:dyDescent="0.2">
      <c r="A81" s="1" t="s">
        <v>67</v>
      </c>
    </row>
    <row r="82" spans="1:8" x14ac:dyDescent="0.2">
      <c r="A82" s="1" t="s">
        <v>68</v>
      </c>
    </row>
    <row r="84" spans="1:8" x14ac:dyDescent="0.2">
      <c r="A84" s="7" t="s">
        <v>69</v>
      </c>
      <c r="B84" s="8"/>
      <c r="C84" s="8"/>
      <c r="D84" s="8"/>
      <c r="E84" s="8"/>
      <c r="F84" s="8"/>
      <c r="G84" s="8"/>
      <c r="H84" s="9"/>
    </row>
    <row r="85" spans="1:8" x14ac:dyDescent="0.2">
      <c r="A85" s="1" t="s">
        <v>70</v>
      </c>
    </row>
    <row r="86" spans="1:8" x14ac:dyDescent="0.2">
      <c r="A86" s="1" t="s">
        <v>71</v>
      </c>
    </row>
    <row r="87" spans="1:8" x14ac:dyDescent="0.2">
      <c r="E87" s="4" t="s">
        <v>75</v>
      </c>
      <c r="F87" s="4" t="s">
        <v>75</v>
      </c>
      <c r="G87" s="4"/>
    </row>
    <row r="88" spans="1:8" x14ac:dyDescent="0.2">
      <c r="E88" s="17" t="s">
        <v>80</v>
      </c>
      <c r="F88" s="17" t="s">
        <v>76</v>
      </c>
      <c r="G88" s="17" t="s">
        <v>72</v>
      </c>
    </row>
    <row r="89" spans="1:8" x14ac:dyDescent="0.2">
      <c r="A89" s="1">
        <v>2024</v>
      </c>
      <c r="B89" s="1" t="s">
        <v>73</v>
      </c>
      <c r="E89" s="4"/>
      <c r="F89" s="18">
        <f>G89</f>
        <v>70000</v>
      </c>
      <c r="G89" s="18">
        <v>70000</v>
      </c>
    </row>
    <row r="90" spans="1:8" x14ac:dyDescent="0.2">
      <c r="A90" s="1">
        <v>2025</v>
      </c>
      <c r="B90" s="1" t="s">
        <v>74</v>
      </c>
      <c r="E90" s="18">
        <v>70000</v>
      </c>
      <c r="F90" s="19">
        <f>-70000</f>
        <v>-70000</v>
      </c>
      <c r="G90" s="4">
        <v>0</v>
      </c>
    </row>
    <row r="92" spans="1:8" x14ac:dyDescent="0.2">
      <c r="A92" s="1" t="s">
        <v>77</v>
      </c>
    </row>
    <row r="93" spans="1:8" x14ac:dyDescent="0.2">
      <c r="A93" s="1" t="s">
        <v>78</v>
      </c>
    </row>
    <row r="94" spans="1:8" x14ac:dyDescent="0.2">
      <c r="A94" s="1" t="s">
        <v>79</v>
      </c>
    </row>
    <row r="95" spans="1:8" x14ac:dyDescent="0.2">
      <c r="A95" s="1" t="s">
        <v>83</v>
      </c>
    </row>
    <row r="97" spans="1:8" x14ac:dyDescent="0.2">
      <c r="A97" s="1" t="s">
        <v>81</v>
      </c>
    </row>
    <row r="98" spans="1:8" x14ac:dyDescent="0.2">
      <c r="A98" s="1" t="s">
        <v>82</v>
      </c>
    </row>
    <row r="100" spans="1:8" x14ac:dyDescent="0.2">
      <c r="A100" s="20" t="s">
        <v>84</v>
      </c>
      <c r="B100" s="11"/>
      <c r="C100" s="11"/>
      <c r="D100" s="11"/>
      <c r="E100" s="11"/>
      <c r="F100" s="11"/>
      <c r="G100" s="11"/>
      <c r="H100" s="12"/>
    </row>
    <row r="101" spans="1:8" x14ac:dyDescent="0.2">
      <c r="A101" s="13" t="s">
        <v>85</v>
      </c>
      <c r="H101" s="14"/>
    </row>
    <row r="102" spans="1:8" x14ac:dyDescent="0.2">
      <c r="A102" s="15" t="s">
        <v>86</v>
      </c>
      <c r="B102" s="6"/>
      <c r="C102" s="6"/>
      <c r="D102" s="6"/>
      <c r="E102" s="6"/>
      <c r="F102" s="6"/>
      <c r="G102" s="6"/>
      <c r="H102" s="16"/>
    </row>
    <row r="104" spans="1:8" x14ac:dyDescent="0.2">
      <c r="A104" s="24" t="s">
        <v>87</v>
      </c>
      <c r="B104" s="25"/>
      <c r="C104" s="25"/>
      <c r="D104" s="25"/>
      <c r="E104" s="25"/>
      <c r="F104" s="25"/>
      <c r="G104" s="25"/>
      <c r="H104" s="26"/>
    </row>
    <row r="105" spans="1:8" x14ac:dyDescent="0.2">
      <c r="A105" s="27" t="s">
        <v>88</v>
      </c>
      <c r="B105" s="28"/>
      <c r="C105" s="28"/>
      <c r="D105" s="28"/>
      <c r="E105" s="28"/>
      <c r="F105" s="28"/>
      <c r="G105" s="28"/>
      <c r="H105" s="29"/>
    </row>
    <row r="107" spans="1:8" x14ac:dyDescent="0.2">
      <c r="A107" s="24" t="s">
        <v>120</v>
      </c>
      <c r="B107" s="25"/>
      <c r="C107" s="25"/>
      <c r="D107" s="25"/>
      <c r="E107" s="25"/>
      <c r="F107" s="25"/>
      <c r="G107" s="25"/>
      <c r="H107" s="26"/>
    </row>
    <row r="108" spans="1:8" x14ac:dyDescent="0.2">
      <c r="A108" s="27" t="s">
        <v>121</v>
      </c>
      <c r="B108" s="28"/>
      <c r="C108" s="28"/>
      <c r="D108" s="28"/>
      <c r="E108" s="28"/>
      <c r="F108" s="28"/>
      <c r="G108" s="28"/>
      <c r="H108" s="29"/>
    </row>
    <row r="111" spans="1:8" x14ac:dyDescent="0.2">
      <c r="A111" s="3" t="s">
        <v>90</v>
      </c>
    </row>
    <row r="113" spans="1:8" x14ac:dyDescent="0.2">
      <c r="A113" s="6" t="s">
        <v>91</v>
      </c>
      <c r="B113" s="6"/>
      <c r="C113" s="6" t="s">
        <v>92</v>
      </c>
      <c r="D113" s="6" t="s">
        <v>33</v>
      </c>
      <c r="E113" s="6" t="s">
        <v>35</v>
      </c>
      <c r="F113" s="6" t="s">
        <v>72</v>
      </c>
      <c r="G113" s="6" t="s">
        <v>93</v>
      </c>
      <c r="H113" s="1" t="s">
        <v>36</v>
      </c>
    </row>
    <row r="114" spans="1:8" x14ac:dyDescent="0.2">
      <c r="A114" s="1" t="s">
        <v>94</v>
      </c>
      <c r="C114" s="1">
        <v>94905</v>
      </c>
      <c r="D114" s="1">
        <f>C114</f>
        <v>94905</v>
      </c>
    </row>
    <row r="115" spans="1:8" x14ac:dyDescent="0.2">
      <c r="A115" s="1" t="s">
        <v>95</v>
      </c>
      <c r="C115" s="1">
        <v>56958</v>
      </c>
      <c r="D115" s="1">
        <f>C115</f>
        <v>56958</v>
      </c>
    </row>
    <row r="116" spans="1:8" x14ac:dyDescent="0.2">
      <c r="A116" s="1" t="s">
        <v>96</v>
      </c>
      <c r="C116" s="1">
        <v>162882</v>
      </c>
      <c r="D116" s="1">
        <f>C116</f>
        <v>162882</v>
      </c>
    </row>
    <row r="117" spans="1:8" x14ac:dyDescent="0.2">
      <c r="A117" s="1" t="s">
        <v>97</v>
      </c>
      <c r="C117" s="1">
        <v>100679</v>
      </c>
      <c r="E117" s="1">
        <f>C117</f>
        <v>100679</v>
      </c>
    </row>
    <row r="118" spans="1:8" x14ac:dyDescent="0.2">
      <c r="A118" s="1" t="s">
        <v>98</v>
      </c>
      <c r="C118" s="1">
        <v>214504</v>
      </c>
      <c r="D118" s="1">
        <f>C118</f>
        <v>214504</v>
      </c>
    </row>
    <row r="119" spans="1:8" x14ac:dyDescent="0.2">
      <c r="A119" s="1" t="s">
        <v>99</v>
      </c>
      <c r="C119" s="1">
        <v>208155</v>
      </c>
      <c r="E119" s="1">
        <f>C119</f>
        <v>208155</v>
      </c>
    </row>
    <row r="120" spans="1:8" x14ac:dyDescent="0.2">
      <c r="A120" s="1" t="s">
        <v>100</v>
      </c>
      <c r="C120" s="1">
        <v>288657</v>
      </c>
      <c r="E120" s="1">
        <f>C120</f>
        <v>288657</v>
      </c>
    </row>
    <row r="121" spans="1:8" x14ac:dyDescent="0.2">
      <c r="A121" s="1" t="s">
        <v>101</v>
      </c>
      <c r="C121" s="1">
        <v>330812</v>
      </c>
      <c r="E121" s="1">
        <f>C121</f>
        <v>330812</v>
      </c>
    </row>
    <row r="122" spans="1:8" x14ac:dyDescent="0.2">
      <c r="A122" s="1" t="s">
        <v>102</v>
      </c>
      <c r="C122" s="1">
        <v>476277</v>
      </c>
      <c r="D122" s="1">
        <f>C122</f>
        <v>476277</v>
      </c>
    </row>
    <row r="123" spans="1:8" x14ac:dyDescent="0.2">
      <c r="A123" s="1" t="s">
        <v>103</v>
      </c>
      <c r="C123" s="1">
        <v>330598</v>
      </c>
      <c r="D123" s="1">
        <f>C123</f>
        <v>330598</v>
      </c>
    </row>
    <row r="124" spans="1:8" x14ac:dyDescent="0.2">
      <c r="A124" s="1" t="s">
        <v>104</v>
      </c>
      <c r="C124" s="1">
        <v>59107</v>
      </c>
      <c r="G124" s="1">
        <f t="shared" ref="G124:G129" si="0">C124</f>
        <v>59107</v>
      </c>
    </row>
    <row r="125" spans="1:8" x14ac:dyDescent="0.2">
      <c r="A125" s="1" t="s">
        <v>105</v>
      </c>
      <c r="C125" s="1">
        <v>89174</v>
      </c>
      <c r="G125" s="1">
        <f t="shared" si="0"/>
        <v>89174</v>
      </c>
    </row>
    <row r="126" spans="1:8" x14ac:dyDescent="0.2">
      <c r="A126" s="1" t="s">
        <v>106</v>
      </c>
      <c r="C126" s="1">
        <v>470433</v>
      </c>
      <c r="G126" s="1">
        <f t="shared" si="0"/>
        <v>470433</v>
      </c>
    </row>
    <row r="127" spans="1:8" x14ac:dyDescent="0.2">
      <c r="A127" s="1" t="s">
        <v>107</v>
      </c>
      <c r="C127" s="1">
        <v>316031</v>
      </c>
      <c r="G127" s="1">
        <f t="shared" si="0"/>
        <v>316031</v>
      </c>
    </row>
    <row r="128" spans="1:8" x14ac:dyDescent="0.2">
      <c r="A128" s="1" t="s">
        <v>108</v>
      </c>
      <c r="C128" s="1">
        <v>473445</v>
      </c>
      <c r="G128" s="1">
        <f t="shared" si="0"/>
        <v>473445</v>
      </c>
    </row>
    <row r="129" spans="1:8" x14ac:dyDescent="0.2">
      <c r="A129" s="1" t="s">
        <v>109</v>
      </c>
      <c r="C129" s="1">
        <v>107590</v>
      </c>
      <c r="G129" s="1">
        <f t="shared" si="0"/>
        <v>107590</v>
      </c>
    </row>
    <row r="130" spans="1:8" x14ac:dyDescent="0.2">
      <c r="A130" s="1" t="s">
        <v>110</v>
      </c>
      <c r="C130" s="1">
        <v>400892</v>
      </c>
      <c r="F130" s="1">
        <f>C130</f>
        <v>400892</v>
      </c>
    </row>
    <row r="131" spans="1:8" x14ac:dyDescent="0.2">
      <c r="A131" s="1" t="s">
        <v>111</v>
      </c>
      <c r="C131" s="1">
        <v>372451</v>
      </c>
      <c r="G131" s="1">
        <f>C131</f>
        <v>372451</v>
      </c>
    </row>
    <row r="132" spans="1:8" x14ac:dyDescent="0.2">
      <c r="A132" s="1" t="s">
        <v>112</v>
      </c>
      <c r="C132" s="1">
        <v>39746</v>
      </c>
      <c r="D132" s="1">
        <f>C132</f>
        <v>39746</v>
      </c>
    </row>
    <row r="133" spans="1:8" x14ac:dyDescent="0.2">
      <c r="A133" s="1" t="s">
        <v>113</v>
      </c>
      <c r="C133" s="1">
        <v>327072</v>
      </c>
      <c r="D133" s="1">
        <f>C133</f>
        <v>327072</v>
      </c>
    </row>
    <row r="134" spans="1:8" x14ac:dyDescent="0.2">
      <c r="A134" s="1" t="s">
        <v>114</v>
      </c>
      <c r="C134" s="1">
        <v>385005</v>
      </c>
      <c r="D134" s="1">
        <f>C134</f>
        <v>385005</v>
      </c>
    </row>
    <row r="135" spans="1:8" x14ac:dyDescent="0.2">
      <c r="A135" s="1" t="s">
        <v>115</v>
      </c>
      <c r="C135" s="1">
        <v>254376</v>
      </c>
      <c r="H135" s="1">
        <f>C135</f>
        <v>254376</v>
      </c>
    </row>
    <row r="136" spans="1:8" x14ac:dyDescent="0.2">
      <c r="A136" s="1" t="s">
        <v>116</v>
      </c>
      <c r="C136" s="1">
        <v>363706</v>
      </c>
      <c r="H136" s="1">
        <f>C136</f>
        <v>363706</v>
      </c>
    </row>
    <row r="138" spans="1:8" x14ac:dyDescent="0.2">
      <c r="A138" s="1" t="s">
        <v>140</v>
      </c>
    </row>
    <row r="139" spans="1:8" x14ac:dyDescent="0.2">
      <c r="A139" s="1" t="s">
        <v>125</v>
      </c>
    </row>
    <row r="140" spans="1:8" x14ac:dyDescent="0.2">
      <c r="A140" s="1" t="s">
        <v>126</v>
      </c>
    </row>
    <row r="141" spans="1:8" x14ac:dyDescent="0.2">
      <c r="A141" s="1" t="s">
        <v>127</v>
      </c>
    </row>
    <row r="142" spans="1:8" x14ac:dyDescent="0.2">
      <c r="A142" s="1" t="s">
        <v>122</v>
      </c>
    </row>
    <row r="143" spans="1:8" x14ac:dyDescent="0.2">
      <c r="A143" s="1" t="s">
        <v>123</v>
      </c>
    </row>
    <row r="144" spans="1:8" x14ac:dyDescent="0.2">
      <c r="A144" s="1" t="s">
        <v>128</v>
      </c>
    </row>
    <row r="145" spans="1:1" x14ac:dyDescent="0.2">
      <c r="A145" s="1" t="s">
        <v>124</v>
      </c>
    </row>
    <row r="146" spans="1:1" x14ac:dyDescent="0.2">
      <c r="A146" s="1" t="s">
        <v>130</v>
      </c>
    </row>
    <row r="147" spans="1:1" x14ac:dyDescent="0.2">
      <c r="A147" s="1" t="s">
        <v>129</v>
      </c>
    </row>
    <row r="148" spans="1:1" x14ac:dyDescent="0.2">
      <c r="A148" s="1" t="s">
        <v>131</v>
      </c>
    </row>
    <row r="149" spans="1:1" x14ac:dyDescent="0.2">
      <c r="A149" s="1" t="s">
        <v>134</v>
      </c>
    </row>
    <row r="150" spans="1:1" x14ac:dyDescent="0.2">
      <c r="A150" s="1" t="s">
        <v>133</v>
      </c>
    </row>
    <row r="151" spans="1:1" x14ac:dyDescent="0.2">
      <c r="A151" s="1" t="s">
        <v>132</v>
      </c>
    </row>
    <row r="152" spans="1:1" x14ac:dyDescent="0.2">
      <c r="A152" s="1" t="s">
        <v>135</v>
      </c>
    </row>
    <row r="153" spans="1:1" x14ac:dyDescent="0.2">
      <c r="A153" s="1" t="s">
        <v>137</v>
      </c>
    </row>
    <row r="154" spans="1:1" x14ac:dyDescent="0.2">
      <c r="A154" s="1" t="s">
        <v>136</v>
      </c>
    </row>
    <row r="155" spans="1:1" x14ac:dyDescent="0.2">
      <c r="A155" s="1" t="s">
        <v>139</v>
      </c>
    </row>
    <row r="156" spans="1:1" x14ac:dyDescent="0.2">
      <c r="A156" s="1" t="s">
        <v>138</v>
      </c>
    </row>
    <row r="157" spans="1:1" x14ac:dyDescent="0.2">
      <c r="A157" s="1" t="s">
        <v>143</v>
      </c>
    </row>
    <row r="158" spans="1:1" x14ac:dyDescent="0.2">
      <c r="A158" s="1" t="s">
        <v>141</v>
      </c>
    </row>
    <row r="159" spans="1:1" x14ac:dyDescent="0.2">
      <c r="A159" s="1" t="s">
        <v>142</v>
      </c>
    </row>
    <row r="160" spans="1:1" x14ac:dyDescent="0.2">
      <c r="A160" s="1" t="s">
        <v>150</v>
      </c>
    </row>
    <row r="161" spans="1:1" x14ac:dyDescent="0.2">
      <c r="A161" s="1" t="s">
        <v>144</v>
      </c>
    </row>
    <row r="162" spans="1:1" x14ac:dyDescent="0.2">
      <c r="A162" s="1" t="s">
        <v>151</v>
      </c>
    </row>
    <row r="163" spans="1:1" x14ac:dyDescent="0.2">
      <c r="A163" s="1" t="s">
        <v>145</v>
      </c>
    </row>
    <row r="164" spans="1:1" x14ac:dyDescent="0.2">
      <c r="A164" s="1" t="s">
        <v>152</v>
      </c>
    </row>
    <row r="165" spans="1:1" x14ac:dyDescent="0.2">
      <c r="A165" s="1" t="s">
        <v>146</v>
      </c>
    </row>
    <row r="166" spans="1:1" x14ac:dyDescent="0.2">
      <c r="A166" s="1" t="s">
        <v>147</v>
      </c>
    </row>
    <row r="167" spans="1:1" x14ac:dyDescent="0.2">
      <c r="A167" s="1" t="s">
        <v>153</v>
      </c>
    </row>
    <row r="168" spans="1:1" x14ac:dyDescent="0.2">
      <c r="A168" s="1" t="s">
        <v>148</v>
      </c>
    </row>
    <row r="169" spans="1:1" x14ac:dyDescent="0.2">
      <c r="A169" s="1" t="s">
        <v>149</v>
      </c>
    </row>
    <row r="171" spans="1:1" x14ac:dyDescent="0.2">
      <c r="A171" s="3" t="s">
        <v>175</v>
      </c>
    </row>
    <row r="173" spans="1:1" x14ac:dyDescent="0.2">
      <c r="A173" s="1" t="s">
        <v>154</v>
      </c>
    </row>
    <row r="174" spans="1:1" x14ac:dyDescent="0.2">
      <c r="A174" s="1" t="s">
        <v>155</v>
      </c>
    </row>
    <row r="175" spans="1:1" x14ac:dyDescent="0.2">
      <c r="A175" s="1" t="s">
        <v>156</v>
      </c>
    </row>
    <row r="176" spans="1:1" x14ac:dyDescent="0.2">
      <c r="A176" s="1" t="s">
        <v>157</v>
      </c>
    </row>
    <row r="177" spans="1:1" x14ac:dyDescent="0.2">
      <c r="A177" s="1" t="s">
        <v>158</v>
      </c>
    </row>
    <row r="178" spans="1:1" x14ac:dyDescent="0.2">
      <c r="A178" s="1" t="s">
        <v>159</v>
      </c>
    </row>
    <row r="179" spans="1:1" x14ac:dyDescent="0.2">
      <c r="A179" s="1" t="s">
        <v>160</v>
      </c>
    </row>
    <row r="181" spans="1:1" x14ac:dyDescent="0.2">
      <c r="A181" s="1" t="s">
        <v>164</v>
      </c>
    </row>
    <row r="182" spans="1:1" x14ac:dyDescent="0.2">
      <c r="A182" s="1" t="s">
        <v>155</v>
      </c>
    </row>
    <row r="183" spans="1:1" x14ac:dyDescent="0.2">
      <c r="A183" s="1" t="s">
        <v>165</v>
      </c>
    </row>
    <row r="184" spans="1:1" x14ac:dyDescent="0.2">
      <c r="A184" s="1" t="s">
        <v>166</v>
      </c>
    </row>
    <row r="185" spans="1:1" x14ac:dyDescent="0.2">
      <c r="A185" s="1" t="s">
        <v>167</v>
      </c>
    </row>
    <row r="186" spans="1:1" x14ac:dyDescent="0.2">
      <c r="A186" s="1" t="s">
        <v>159</v>
      </c>
    </row>
    <row r="187" spans="1:1" x14ac:dyDescent="0.2">
      <c r="A187" s="1" t="s">
        <v>160</v>
      </c>
    </row>
    <row r="189" spans="1:1" x14ac:dyDescent="0.2">
      <c r="A189" s="1" t="s">
        <v>168</v>
      </c>
    </row>
    <row r="190" spans="1:1" x14ac:dyDescent="0.2">
      <c r="A190" s="1" t="s">
        <v>155</v>
      </c>
    </row>
    <row r="191" spans="1:1" x14ac:dyDescent="0.2">
      <c r="A191" s="1" t="s">
        <v>169</v>
      </c>
    </row>
    <row r="192" spans="1:1" x14ac:dyDescent="0.2">
      <c r="A192" s="1" t="s">
        <v>170</v>
      </c>
    </row>
    <row r="193" spans="1:1" x14ac:dyDescent="0.2">
      <c r="A193" s="1" t="s">
        <v>171</v>
      </c>
    </row>
    <row r="194" spans="1:1" x14ac:dyDescent="0.2">
      <c r="A194" s="1" t="s">
        <v>172</v>
      </c>
    </row>
    <row r="195" spans="1:1" x14ac:dyDescent="0.2">
      <c r="A195" s="1" t="s">
        <v>160</v>
      </c>
    </row>
    <row r="197" spans="1:1" x14ac:dyDescent="0.2">
      <c r="A197" s="1" t="s">
        <v>174</v>
      </c>
    </row>
    <row r="198" spans="1:1" x14ac:dyDescent="0.2">
      <c r="A198" s="1" t="s">
        <v>155</v>
      </c>
    </row>
    <row r="199" spans="1:1" x14ac:dyDescent="0.2">
      <c r="A199" s="1" t="s">
        <v>176</v>
      </c>
    </row>
    <row r="200" spans="1:1" x14ac:dyDescent="0.2">
      <c r="A200" s="1" t="s">
        <v>177</v>
      </c>
    </row>
    <row r="201" spans="1:1" x14ac:dyDescent="0.2">
      <c r="A201" s="1" t="s">
        <v>178</v>
      </c>
    </row>
    <row r="202" spans="1:1" x14ac:dyDescent="0.2">
      <c r="A202" s="1" t="s">
        <v>179</v>
      </c>
    </row>
    <row r="203" spans="1:1" x14ac:dyDescent="0.2">
      <c r="A203" s="1" t="s">
        <v>180</v>
      </c>
    </row>
    <row r="205" spans="1:1" x14ac:dyDescent="0.2">
      <c r="A205" s="1" t="s">
        <v>182</v>
      </c>
    </row>
    <row r="206" spans="1:1" x14ac:dyDescent="0.2">
      <c r="A206" s="1" t="s">
        <v>183</v>
      </c>
    </row>
    <row r="207" spans="1:1" x14ac:dyDescent="0.2">
      <c r="A207" s="1" t="s">
        <v>155</v>
      </c>
    </row>
    <row r="208" spans="1:1" x14ac:dyDescent="0.2">
      <c r="A208" s="1" t="s">
        <v>184</v>
      </c>
    </row>
    <row r="209" spans="1:2" x14ac:dyDescent="0.2">
      <c r="A209" s="1" t="s">
        <v>185</v>
      </c>
    </row>
    <row r="210" spans="1:2" x14ac:dyDescent="0.2">
      <c r="A210" s="1" t="s">
        <v>186</v>
      </c>
    </row>
    <row r="211" spans="1:2" x14ac:dyDescent="0.2">
      <c r="A211" s="1" t="s">
        <v>187</v>
      </c>
    </row>
    <row r="212" spans="1:2" x14ac:dyDescent="0.2">
      <c r="A212" s="1" t="s">
        <v>188</v>
      </c>
    </row>
    <row r="215" spans="1:2" x14ac:dyDescent="0.2">
      <c r="A215" s="1" t="s">
        <v>161</v>
      </c>
      <c r="B215" s="1" t="s">
        <v>162</v>
      </c>
    </row>
    <row r="216" spans="1:2" x14ac:dyDescent="0.2">
      <c r="A216" s="1">
        <v>1</v>
      </c>
      <c r="B216" s="1" t="s">
        <v>163</v>
      </c>
    </row>
    <row r="217" spans="1:2" x14ac:dyDescent="0.2">
      <c r="A217" s="1">
        <v>2</v>
      </c>
      <c r="B217" s="1" t="s">
        <v>163</v>
      </c>
    </row>
    <row r="218" spans="1:2" x14ac:dyDescent="0.2">
      <c r="A218" s="1">
        <v>3</v>
      </c>
      <c r="B218" s="1" t="s">
        <v>173</v>
      </c>
    </row>
    <row r="219" spans="1:2" x14ac:dyDescent="0.2">
      <c r="A219" s="1">
        <v>4</v>
      </c>
      <c r="B219" s="1" t="s">
        <v>181</v>
      </c>
    </row>
    <row r="220" spans="1:2" x14ac:dyDescent="0.2">
      <c r="A220" s="1">
        <v>5</v>
      </c>
      <c r="B220" s="1"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12D5-F6AD-854D-881E-103A4EF411A2}">
  <dimension ref="A1:K244"/>
  <sheetViews>
    <sheetView rightToLeft="1" topLeftCell="A217" zoomScale="358" zoomScaleNormal="380" workbookViewId="0">
      <selection activeCell="D228" sqref="D228"/>
    </sheetView>
  </sheetViews>
  <sheetFormatPr baseColWidth="10" defaultRowHeight="16" x14ac:dyDescent="0.2"/>
  <cols>
    <col min="1" max="16384" width="10.83203125" style="1"/>
  </cols>
  <sheetData>
    <row r="1" spans="1:8" x14ac:dyDescent="0.2">
      <c r="A1" s="236" t="s">
        <v>1150</v>
      </c>
      <c r="B1" s="234"/>
      <c r="C1" s="234"/>
      <c r="D1" s="234"/>
      <c r="E1" s="234"/>
      <c r="F1" s="234"/>
      <c r="G1" s="234"/>
      <c r="H1" s="234"/>
    </row>
    <row r="2" spans="1:8" ht="17" thickBot="1" x14ac:dyDescent="0.25"/>
    <row r="3" spans="1:8" ht="17" thickBot="1" x14ac:dyDescent="0.25">
      <c r="A3" s="235" t="s">
        <v>1151</v>
      </c>
      <c r="B3" s="57"/>
      <c r="C3" s="57"/>
      <c r="D3" s="57"/>
      <c r="E3" s="57"/>
      <c r="F3" s="57"/>
      <c r="G3" s="57"/>
      <c r="H3" s="141"/>
    </row>
    <row r="4" spans="1:8" x14ac:dyDescent="0.2">
      <c r="A4" s="1" t="s">
        <v>1152</v>
      </c>
    </row>
    <row r="5" spans="1:8" x14ac:dyDescent="0.2">
      <c r="A5" s="1" t="s">
        <v>1153</v>
      </c>
    </row>
    <row r="6" spans="1:8" x14ac:dyDescent="0.2">
      <c r="A6" s="1" t="s">
        <v>1154</v>
      </c>
    </row>
    <row r="7" spans="1:8" x14ac:dyDescent="0.2">
      <c r="A7" s="1" t="s">
        <v>1155</v>
      </c>
    </row>
    <row r="9" spans="1:8" x14ac:dyDescent="0.2">
      <c r="A9" s="1" t="s">
        <v>1156</v>
      </c>
    </row>
    <row r="10" spans="1:8" x14ac:dyDescent="0.2">
      <c r="A10" s="1" t="s">
        <v>1157</v>
      </c>
    </row>
    <row r="11" spans="1:8" x14ac:dyDescent="0.2">
      <c r="A11" s="1" t="s">
        <v>1158</v>
      </c>
    </row>
    <row r="13" spans="1:8" x14ac:dyDescent="0.2">
      <c r="A13" s="1" t="s">
        <v>1159</v>
      </c>
    </row>
    <row r="14" spans="1:8" x14ac:dyDescent="0.2">
      <c r="A14" s="1" t="s">
        <v>1160</v>
      </c>
    </row>
    <row r="16" spans="1:8" x14ac:dyDescent="0.2">
      <c r="A16" s="198" t="s">
        <v>1161</v>
      </c>
      <c r="B16" s="199"/>
      <c r="C16" s="199"/>
      <c r="D16" s="199"/>
      <c r="E16" s="199"/>
      <c r="F16" s="199"/>
      <c r="G16" s="199"/>
      <c r="H16" s="199"/>
    </row>
    <row r="17" spans="1:10" x14ac:dyDescent="0.2">
      <c r="A17" s="1" t="s">
        <v>1169</v>
      </c>
    </row>
    <row r="18" spans="1:10" x14ac:dyDescent="0.2">
      <c r="A18" s="1" t="s">
        <v>1170</v>
      </c>
      <c r="I18" s="1" t="s">
        <v>1162</v>
      </c>
    </row>
    <row r="19" spans="1:10" x14ac:dyDescent="0.2">
      <c r="I19" s="4" t="s">
        <v>952</v>
      </c>
      <c r="J19" s="1" t="s">
        <v>1166</v>
      </c>
    </row>
    <row r="20" spans="1:10" x14ac:dyDescent="0.2">
      <c r="A20" s="1" t="s">
        <v>222</v>
      </c>
      <c r="I20" s="4" t="s">
        <v>956</v>
      </c>
      <c r="J20" s="1" t="s">
        <v>1163</v>
      </c>
    </row>
    <row r="21" spans="1:10" x14ac:dyDescent="0.2">
      <c r="A21" s="1" t="s">
        <v>1029</v>
      </c>
      <c r="I21" s="4" t="s">
        <v>958</v>
      </c>
      <c r="J21" s="1" t="s">
        <v>1164</v>
      </c>
    </row>
    <row r="22" spans="1:10" x14ac:dyDescent="0.2">
      <c r="A22" s="1" t="s">
        <v>1194</v>
      </c>
      <c r="I22" s="4" t="s">
        <v>953</v>
      </c>
      <c r="J22" s="1" t="s">
        <v>1165</v>
      </c>
    </row>
    <row r="23" spans="1:10" x14ac:dyDescent="0.2">
      <c r="A23" s="1" t="s">
        <v>1193</v>
      </c>
      <c r="I23" s="4"/>
    </row>
    <row r="24" spans="1:10" ht="17" thickBot="1" x14ac:dyDescent="0.25">
      <c r="I24" s="4"/>
    </row>
    <row r="25" spans="1:10" ht="17" thickBot="1" x14ac:dyDescent="0.25">
      <c r="A25" s="205" t="s">
        <v>1031</v>
      </c>
      <c r="I25" s="4"/>
    </row>
    <row r="27" spans="1:10" ht="18" x14ac:dyDescent="0.25">
      <c r="A27" s="239" t="s">
        <v>1032</v>
      </c>
      <c r="B27" s="240" t="s">
        <v>1167</v>
      </c>
      <c r="C27" s="241" t="s">
        <v>1168</v>
      </c>
      <c r="D27" s="241"/>
      <c r="E27" s="242"/>
      <c r="F27" s="242"/>
      <c r="G27" s="242"/>
      <c r="H27" s="12"/>
    </row>
    <row r="28" spans="1:10" x14ac:dyDescent="0.2">
      <c r="A28" s="243" t="s">
        <v>1034</v>
      </c>
      <c r="B28" s="173">
        <v>10000</v>
      </c>
      <c r="C28" s="38" t="s">
        <v>1130</v>
      </c>
      <c r="D28" s="38"/>
      <c r="E28" s="98"/>
      <c r="F28" s="98"/>
      <c r="G28" s="98"/>
      <c r="H28" s="14"/>
      <c r="J28" s="394" t="s">
        <v>1186</v>
      </c>
    </row>
    <row r="29" spans="1:10" x14ac:dyDescent="0.2">
      <c r="A29" s="243" t="s">
        <v>1035</v>
      </c>
      <c r="B29" s="173">
        <v>42750</v>
      </c>
      <c r="C29" s="38" t="s">
        <v>1036</v>
      </c>
      <c r="D29" s="38"/>
      <c r="E29" s="98"/>
      <c r="F29" s="98"/>
      <c r="G29" s="98"/>
      <c r="H29" s="14"/>
      <c r="J29" s="393"/>
    </row>
    <row r="30" spans="1:10" x14ac:dyDescent="0.2">
      <c r="A30" s="244" t="s">
        <v>1037</v>
      </c>
      <c r="B30" s="170">
        <v>10</v>
      </c>
      <c r="C30" s="245" t="s">
        <v>1038</v>
      </c>
      <c r="D30" s="245"/>
      <c r="E30" s="246"/>
      <c r="F30" s="246"/>
      <c r="G30" s="246"/>
      <c r="H30" s="16"/>
    </row>
    <row r="31" spans="1:10" x14ac:dyDescent="0.2">
      <c r="B31" s="98"/>
      <c r="C31" s="98"/>
      <c r="D31" s="98"/>
      <c r="E31" s="98"/>
      <c r="F31" s="98"/>
      <c r="G31" s="98"/>
    </row>
    <row r="32" spans="1:10" x14ac:dyDescent="0.2">
      <c r="A32" s="1" t="s">
        <v>1171</v>
      </c>
      <c r="B32" s="98"/>
      <c r="C32" s="98"/>
      <c r="D32" s="98"/>
      <c r="E32" s="98"/>
      <c r="F32" s="98"/>
      <c r="G32" s="98"/>
      <c r="J32" s="1" t="s">
        <v>1187</v>
      </c>
    </row>
    <row r="33" spans="1:10" x14ac:dyDescent="0.2">
      <c r="B33" s="98"/>
      <c r="C33" s="38" t="s">
        <v>1130</v>
      </c>
      <c r="D33" s="173">
        <v>42750</v>
      </c>
      <c r="E33" s="169" t="s">
        <v>28</v>
      </c>
      <c r="F33" s="237" t="s">
        <v>1172</v>
      </c>
      <c r="G33" s="98"/>
      <c r="J33" s="1" t="s">
        <v>1188</v>
      </c>
    </row>
    <row r="34" spans="1:10" x14ac:dyDescent="0.2">
      <c r="B34" s="98"/>
      <c r="C34" s="38" t="s">
        <v>1174</v>
      </c>
      <c r="D34" s="173" t="s">
        <v>1173</v>
      </c>
      <c r="E34" s="169" t="s">
        <v>28</v>
      </c>
      <c r="F34" s="237" t="s">
        <v>1172</v>
      </c>
      <c r="G34" s="98"/>
      <c r="J34" s="1" t="s">
        <v>1189</v>
      </c>
    </row>
    <row r="35" spans="1:10" x14ac:dyDescent="0.2">
      <c r="B35" s="98"/>
      <c r="C35" s="38"/>
      <c r="D35" s="173"/>
      <c r="E35" s="169"/>
      <c r="F35" s="237"/>
      <c r="G35" s="98"/>
      <c r="J35" s="1" t="s">
        <v>1190</v>
      </c>
    </row>
    <row r="36" spans="1:10" x14ac:dyDescent="0.2">
      <c r="B36" s="98"/>
      <c r="C36" s="38" t="s">
        <v>1176</v>
      </c>
      <c r="D36" s="173"/>
      <c r="F36" s="238" t="s">
        <v>1175</v>
      </c>
      <c r="G36" s="98"/>
    </row>
    <row r="37" spans="1:10" x14ac:dyDescent="0.2">
      <c r="B37" s="98"/>
      <c r="C37" s="98"/>
      <c r="D37" s="98"/>
      <c r="E37" s="98"/>
      <c r="F37" s="98"/>
      <c r="G37" s="98"/>
    </row>
    <row r="38" spans="1:10" s="38" customFormat="1" x14ac:dyDescent="0.2">
      <c r="C38" s="38" t="s">
        <v>1177</v>
      </c>
    </row>
    <row r="39" spans="1:10" s="38" customFormat="1" x14ac:dyDescent="0.2">
      <c r="D39" s="173">
        <f>42750/4.75</f>
        <v>9000</v>
      </c>
      <c r="F39" s="38" t="s">
        <v>1178</v>
      </c>
    </row>
    <row r="40" spans="1:10" s="38" customFormat="1" x14ac:dyDescent="0.2"/>
    <row r="41" spans="1:10" s="38" customFormat="1" x14ac:dyDescent="0.2">
      <c r="A41" s="38" t="s">
        <v>1179</v>
      </c>
    </row>
    <row r="42" spans="1:10" s="38" customFormat="1" x14ac:dyDescent="0.2">
      <c r="A42" s="38" t="s">
        <v>1180</v>
      </c>
    </row>
    <row r="43" spans="1:10" s="38" customFormat="1" x14ac:dyDescent="0.2">
      <c r="A43" s="38" t="s">
        <v>1181</v>
      </c>
    </row>
    <row r="44" spans="1:10" s="38" customFormat="1" ht="17" thickBot="1" x14ac:dyDescent="0.25"/>
    <row r="45" spans="1:10" s="38" customFormat="1" x14ac:dyDescent="0.2">
      <c r="A45" s="247" t="s">
        <v>1183</v>
      </c>
      <c r="B45" s="248"/>
      <c r="C45" s="248"/>
      <c r="D45" s="249">
        <f>9000*0.75</f>
        <v>6750</v>
      </c>
      <c r="E45" s="248"/>
      <c r="F45" s="250" t="s">
        <v>1182</v>
      </c>
      <c r="I45" s="253" t="s">
        <v>1191</v>
      </c>
    </row>
    <row r="46" spans="1:10" s="38" customFormat="1" ht="17" thickBot="1" x14ac:dyDescent="0.25">
      <c r="A46" s="109" t="s">
        <v>1184</v>
      </c>
      <c r="B46" s="110"/>
      <c r="C46" s="110"/>
      <c r="D46" s="251">
        <v>9000</v>
      </c>
      <c r="E46" s="110"/>
      <c r="F46" s="252" t="s">
        <v>1185</v>
      </c>
      <c r="I46" s="225" t="s">
        <v>1192</v>
      </c>
    </row>
    <row r="47" spans="1:10" ht="17" thickBot="1" x14ac:dyDescent="0.25">
      <c r="B47" s="98"/>
      <c r="C47" s="98"/>
      <c r="D47" s="98"/>
      <c r="E47" s="98"/>
      <c r="F47" s="98"/>
      <c r="G47" s="98"/>
    </row>
    <row r="48" spans="1:10" ht="17" thickBot="1" x14ac:dyDescent="0.25">
      <c r="A48" s="205" t="s">
        <v>1050</v>
      </c>
      <c r="B48" s="98"/>
      <c r="C48" s="98"/>
      <c r="D48" s="98"/>
      <c r="E48" s="98"/>
      <c r="F48" s="98"/>
      <c r="G48" s="98"/>
    </row>
    <row r="49" spans="1:8" x14ac:dyDescent="0.2">
      <c r="A49" s="1" t="s">
        <v>1195</v>
      </c>
      <c r="B49" s="98"/>
      <c r="C49" s="98"/>
      <c r="D49" s="98"/>
      <c r="E49" s="98"/>
      <c r="F49" s="98"/>
      <c r="G49" s="98"/>
    </row>
    <row r="50" spans="1:8" x14ac:dyDescent="0.2">
      <c r="A50" s="1" t="s">
        <v>1196</v>
      </c>
      <c r="B50" s="98"/>
      <c r="C50" s="98"/>
      <c r="D50" s="98"/>
      <c r="E50" s="98"/>
      <c r="F50" s="98"/>
      <c r="G50" s="98"/>
    </row>
    <row r="51" spans="1:8" x14ac:dyDescent="0.2">
      <c r="B51" s="98"/>
      <c r="C51" s="98"/>
      <c r="D51" s="98"/>
      <c r="E51" s="98"/>
      <c r="F51" s="98"/>
      <c r="G51" s="98"/>
    </row>
    <row r="52" spans="1:8" ht="18" x14ac:dyDescent="0.25">
      <c r="A52" s="239" t="s">
        <v>1032</v>
      </c>
      <c r="B52" s="240" t="s">
        <v>1167</v>
      </c>
      <c r="C52" s="241" t="s">
        <v>1168</v>
      </c>
      <c r="D52" s="241"/>
      <c r="E52" s="241" t="s">
        <v>1197</v>
      </c>
      <c r="F52" s="242"/>
      <c r="G52" s="242"/>
      <c r="H52" s="12"/>
    </row>
    <row r="53" spans="1:8" x14ac:dyDescent="0.2">
      <c r="A53" s="243" t="s">
        <v>1198</v>
      </c>
      <c r="B53" s="173">
        <v>10000</v>
      </c>
      <c r="C53" s="38" t="s">
        <v>1130</v>
      </c>
      <c r="D53" s="38"/>
      <c r="E53" s="98"/>
      <c r="F53" s="98"/>
      <c r="G53" s="98"/>
      <c r="H53" s="14"/>
    </row>
    <row r="54" spans="1:8" x14ac:dyDescent="0.2">
      <c r="A54" s="244" t="s">
        <v>1199</v>
      </c>
      <c r="B54" s="170">
        <v>10</v>
      </c>
      <c r="C54" s="245" t="s">
        <v>1038</v>
      </c>
      <c r="D54" s="245"/>
      <c r="E54" s="246"/>
      <c r="F54" s="246"/>
      <c r="G54" s="246"/>
      <c r="H54" s="16"/>
    </row>
    <row r="55" spans="1:8" x14ac:dyDescent="0.2">
      <c r="B55" s="98"/>
      <c r="C55" s="98"/>
      <c r="D55" s="98"/>
      <c r="E55" s="98"/>
      <c r="F55" s="98"/>
      <c r="G55" s="98"/>
    </row>
    <row r="56" spans="1:8" x14ac:dyDescent="0.2">
      <c r="B56" s="98"/>
      <c r="C56" s="98"/>
      <c r="D56" s="98"/>
      <c r="E56" s="98"/>
      <c r="F56" s="98"/>
      <c r="G56" s="98"/>
    </row>
    <row r="57" spans="1:8" x14ac:dyDescent="0.2">
      <c r="B57" s="98"/>
      <c r="C57" s="98"/>
      <c r="D57" s="98"/>
      <c r="E57" s="98"/>
      <c r="F57" s="98"/>
      <c r="G57" s="98"/>
    </row>
    <row r="58" spans="1:8" x14ac:dyDescent="0.2">
      <c r="B58" s="98"/>
      <c r="C58" s="98"/>
      <c r="D58" s="98"/>
      <c r="E58" s="98"/>
      <c r="F58" s="98"/>
      <c r="G58" s="98"/>
    </row>
    <row r="59" spans="1:8" x14ac:dyDescent="0.2">
      <c r="B59" s="98"/>
      <c r="C59" s="98"/>
      <c r="D59" s="98"/>
      <c r="E59" s="98"/>
      <c r="F59" s="98"/>
      <c r="G59" s="98"/>
    </row>
    <row r="60" spans="1:8" x14ac:dyDescent="0.2">
      <c r="A60" s="1" t="s">
        <v>1200</v>
      </c>
      <c r="B60" s="98"/>
      <c r="C60" s="98"/>
      <c r="D60" s="98"/>
      <c r="E60" s="98"/>
      <c r="F60" s="98"/>
      <c r="G60" s="98"/>
    </row>
    <row r="61" spans="1:8" ht="17" thickBot="1" x14ac:dyDescent="0.25">
      <c r="B61" s="98"/>
      <c r="C61" s="98"/>
      <c r="D61" s="98"/>
      <c r="E61" s="98"/>
      <c r="F61" s="98"/>
      <c r="G61" s="98"/>
    </row>
    <row r="62" spans="1:8" ht="17" thickBot="1" x14ac:dyDescent="0.25">
      <c r="A62" s="235" t="s">
        <v>1201</v>
      </c>
      <c r="B62" s="254"/>
      <c r="C62" s="255"/>
      <c r="D62" s="255"/>
      <c r="E62" s="98"/>
      <c r="F62" s="98"/>
      <c r="G62" s="98"/>
    </row>
    <row r="63" spans="1:8" x14ac:dyDescent="0.2">
      <c r="A63" s="1" t="s">
        <v>1202</v>
      </c>
      <c r="B63" s="98"/>
      <c r="C63" s="98"/>
      <c r="D63" s="98"/>
      <c r="E63" s="98"/>
      <c r="F63" s="98"/>
      <c r="G63" s="98"/>
    </row>
    <row r="64" spans="1:8" x14ac:dyDescent="0.2">
      <c r="A64" s="1" t="s">
        <v>1203</v>
      </c>
      <c r="B64" s="98"/>
      <c r="C64" s="98"/>
      <c r="D64" s="98"/>
      <c r="E64" s="98"/>
      <c r="F64" s="98"/>
      <c r="G64" s="98"/>
    </row>
    <row r="65" spans="1:8" x14ac:dyDescent="0.2">
      <c r="A65" s="1" t="s">
        <v>1205</v>
      </c>
      <c r="B65" s="98"/>
      <c r="C65" s="98"/>
      <c r="D65" s="98"/>
      <c r="E65" s="98"/>
      <c r="F65" s="98"/>
      <c r="G65" s="98"/>
    </row>
    <row r="66" spans="1:8" x14ac:dyDescent="0.2">
      <c r="B66" s="98"/>
      <c r="C66" s="98"/>
      <c r="D66" s="98"/>
      <c r="E66" s="98"/>
      <c r="F66" s="98"/>
      <c r="G66" s="98"/>
    </row>
    <row r="67" spans="1:8" x14ac:dyDescent="0.2">
      <c r="B67" s="98"/>
      <c r="C67" s="185">
        <v>44561</v>
      </c>
      <c r="D67" s="98"/>
      <c r="E67" s="98"/>
      <c r="F67" s="98"/>
      <c r="G67" s="98"/>
    </row>
    <row r="68" spans="1:8" x14ac:dyDescent="0.2">
      <c r="A68" s="1" t="s">
        <v>369</v>
      </c>
      <c r="B68" s="98"/>
      <c r="C68" s="174">
        <v>100000</v>
      </c>
      <c r="D68" s="98"/>
      <c r="E68" s="98"/>
      <c r="F68" s="38" t="s">
        <v>1206</v>
      </c>
      <c r="G68" s="98"/>
    </row>
    <row r="69" spans="1:8" x14ac:dyDescent="0.2">
      <c r="A69" s="1" t="s">
        <v>1204</v>
      </c>
      <c r="B69" s="98"/>
      <c r="C69" s="174">
        <f>-9000*3.75</f>
        <v>-33750</v>
      </c>
      <c r="D69" s="98"/>
      <c r="E69" s="173" t="s">
        <v>1208</v>
      </c>
      <c r="F69" s="98"/>
      <c r="G69" s="98"/>
    </row>
    <row r="70" spans="1:8" x14ac:dyDescent="0.2">
      <c r="A70" s="1" t="s">
        <v>975</v>
      </c>
      <c r="B70" s="98"/>
      <c r="C70" s="256">
        <f>C68+C69</f>
        <v>66250</v>
      </c>
      <c r="D70" s="98"/>
      <c r="E70" s="98"/>
      <c r="F70" s="98"/>
      <c r="G70" s="98"/>
    </row>
    <row r="71" spans="1:8" x14ac:dyDescent="0.2">
      <c r="B71" s="98"/>
      <c r="C71" s="98"/>
      <c r="D71" s="98"/>
      <c r="E71" s="98"/>
      <c r="F71" s="98"/>
      <c r="G71" s="98"/>
    </row>
    <row r="72" spans="1:8" x14ac:dyDescent="0.2">
      <c r="B72" s="98"/>
      <c r="C72" s="98"/>
      <c r="D72" s="38" t="s">
        <v>1207</v>
      </c>
      <c r="E72" s="98"/>
      <c r="F72" s="98"/>
      <c r="G72" s="98"/>
    </row>
    <row r="73" spans="1:8" x14ac:dyDescent="0.2">
      <c r="B73" s="98"/>
      <c r="C73" s="98"/>
      <c r="D73" s="98"/>
      <c r="E73" s="98"/>
      <c r="F73" s="98"/>
      <c r="G73" s="98"/>
    </row>
    <row r="74" spans="1:8" x14ac:dyDescent="0.2">
      <c r="A74" s="208" t="s">
        <v>1053</v>
      </c>
      <c r="B74" s="209"/>
      <c r="C74" s="209"/>
      <c r="D74" s="209"/>
      <c r="E74" s="209"/>
      <c r="F74" s="209"/>
      <c r="G74" s="209"/>
      <c r="H74" s="209"/>
    </row>
    <row r="75" spans="1:8" x14ac:dyDescent="0.2">
      <c r="A75" s="1" t="s">
        <v>1054</v>
      </c>
    </row>
    <row r="76" spans="1:8" x14ac:dyDescent="0.2">
      <c r="A76" s="1" t="s">
        <v>1055</v>
      </c>
    </row>
    <row r="77" spans="1:8" x14ac:dyDescent="0.2">
      <c r="A77" s="1" t="s">
        <v>1056</v>
      </c>
    </row>
    <row r="79" spans="1:8" x14ac:dyDescent="0.2">
      <c r="A79" s="1" t="s">
        <v>1057</v>
      </c>
    </row>
    <row r="81" spans="1:8" x14ac:dyDescent="0.2">
      <c r="C81" s="166">
        <v>43100</v>
      </c>
      <c r="D81" s="166">
        <v>43465</v>
      </c>
      <c r="E81" s="210">
        <v>43830</v>
      </c>
      <c r="F81" s="166">
        <v>44196</v>
      </c>
      <c r="G81" s="166">
        <v>44561</v>
      </c>
      <c r="H81" s="166">
        <v>44926</v>
      </c>
    </row>
    <row r="82" spans="1:8" x14ac:dyDescent="0.2">
      <c r="B82" s="1" t="s">
        <v>974</v>
      </c>
      <c r="C82" s="19"/>
      <c r="D82" s="19"/>
      <c r="E82" s="19"/>
      <c r="F82" s="19"/>
      <c r="G82" s="19"/>
      <c r="H82" s="19"/>
    </row>
    <row r="83" spans="1:8" x14ac:dyDescent="0.2">
      <c r="B83" s="1" t="s">
        <v>370</v>
      </c>
      <c r="C83" s="19"/>
      <c r="D83" s="19"/>
      <c r="E83" s="19"/>
      <c r="F83" s="19"/>
      <c r="G83" s="19"/>
      <c r="H83" s="19"/>
    </row>
    <row r="84" spans="1:8" x14ac:dyDescent="0.2">
      <c r="B84" s="1" t="s">
        <v>975</v>
      </c>
      <c r="C84" s="71"/>
      <c r="D84" s="71"/>
      <c r="E84" s="71"/>
      <c r="F84" s="71"/>
      <c r="G84" s="71"/>
      <c r="H84" s="71"/>
    </row>
    <row r="85" spans="1:8" x14ac:dyDescent="0.2">
      <c r="C85" s="19"/>
      <c r="D85" s="19"/>
      <c r="E85" s="19"/>
      <c r="F85" s="19"/>
      <c r="G85" s="19"/>
      <c r="H85" s="19"/>
    </row>
    <row r="86" spans="1:8" x14ac:dyDescent="0.2">
      <c r="B86" s="1" t="s">
        <v>976</v>
      </c>
      <c r="C86" s="19"/>
      <c r="D86" s="19"/>
      <c r="E86" s="19"/>
      <c r="F86" s="19"/>
      <c r="G86" s="19"/>
      <c r="H86" s="19"/>
    </row>
    <row r="88" spans="1:8" x14ac:dyDescent="0.2">
      <c r="A88" s="1" t="s">
        <v>1058</v>
      </c>
    </row>
    <row r="89" spans="1:8" x14ac:dyDescent="0.2">
      <c r="A89" s="1" t="s">
        <v>1059</v>
      </c>
    </row>
    <row r="91" spans="1:8" x14ac:dyDescent="0.2">
      <c r="C91" s="166">
        <v>43100</v>
      </c>
      <c r="D91" s="166">
        <v>43465</v>
      </c>
      <c r="E91" s="210">
        <v>43830</v>
      </c>
      <c r="F91" s="166">
        <v>44196</v>
      </c>
      <c r="G91" s="166">
        <v>44561</v>
      </c>
      <c r="H91" s="166">
        <v>44926</v>
      </c>
    </row>
    <row r="92" spans="1:8" x14ac:dyDescent="0.2">
      <c r="B92" s="1" t="s">
        <v>974</v>
      </c>
      <c r="C92" s="19">
        <f>100000+10000</f>
        <v>110000</v>
      </c>
      <c r="D92" s="19">
        <f>C92</f>
        <v>110000</v>
      </c>
      <c r="E92" s="131">
        <f>D92</f>
        <v>110000</v>
      </c>
      <c r="F92" s="19">
        <f>D92</f>
        <v>110000</v>
      </c>
      <c r="G92" s="19">
        <f>F92</f>
        <v>110000</v>
      </c>
      <c r="H92" s="19">
        <f>G92</f>
        <v>110000</v>
      </c>
    </row>
    <row r="93" spans="1:8" x14ac:dyDescent="0.2">
      <c r="B93" s="1" t="s">
        <v>370</v>
      </c>
      <c r="C93" s="19">
        <f>-C96</f>
        <v>-8500</v>
      </c>
      <c r="D93" s="19">
        <f>C93-D96</f>
        <v>-17000</v>
      </c>
      <c r="E93" s="131">
        <f>D93-E96</f>
        <v>-25500</v>
      </c>
      <c r="F93" s="19">
        <f>E93-F96</f>
        <v>-34000</v>
      </c>
      <c r="G93" s="19">
        <f>F93-G96</f>
        <v>-42500</v>
      </c>
      <c r="H93" s="19">
        <f>G93-H96</f>
        <v>-51000</v>
      </c>
    </row>
    <row r="94" spans="1:8" x14ac:dyDescent="0.2">
      <c r="B94" s="1" t="s">
        <v>975</v>
      </c>
      <c r="C94" s="71">
        <f t="shared" ref="C94:H94" si="0">C92+C93</f>
        <v>101500</v>
      </c>
      <c r="D94" s="71">
        <f t="shared" si="0"/>
        <v>93000</v>
      </c>
      <c r="E94" s="211">
        <f t="shared" si="0"/>
        <v>84500</v>
      </c>
      <c r="F94" s="71">
        <f t="shared" si="0"/>
        <v>76000</v>
      </c>
      <c r="G94" s="71">
        <f t="shared" si="0"/>
        <v>67500</v>
      </c>
      <c r="H94" s="71">
        <f t="shared" si="0"/>
        <v>59000</v>
      </c>
    </row>
    <row r="95" spans="1:8" x14ac:dyDescent="0.2">
      <c r="C95" s="19"/>
      <c r="D95" s="19"/>
      <c r="E95" s="131"/>
      <c r="F95" s="19"/>
      <c r="G95" s="19"/>
      <c r="H95" s="19"/>
    </row>
    <row r="96" spans="1:8" x14ac:dyDescent="0.2">
      <c r="B96" s="1" t="s">
        <v>976</v>
      </c>
      <c r="C96" s="19">
        <f>(C92-25000)/10</f>
        <v>8500</v>
      </c>
      <c r="D96" s="19">
        <f>C96</f>
        <v>8500</v>
      </c>
      <c r="E96" s="131">
        <f>D96</f>
        <v>8500</v>
      </c>
      <c r="F96" s="19">
        <f>D96</f>
        <v>8500</v>
      </c>
      <c r="G96" s="19">
        <f>F96</f>
        <v>8500</v>
      </c>
      <c r="H96" s="19">
        <f>G96</f>
        <v>8500</v>
      </c>
    </row>
    <row r="98" spans="1:8" x14ac:dyDescent="0.2">
      <c r="A98" s="208" t="s">
        <v>1060</v>
      </c>
      <c r="B98" s="209"/>
      <c r="C98" s="209"/>
      <c r="D98" s="209"/>
      <c r="E98" s="209"/>
      <c r="F98" s="209"/>
      <c r="G98" s="209"/>
      <c r="H98" s="209"/>
    </row>
    <row r="99" spans="1:8" x14ac:dyDescent="0.2">
      <c r="A99" s="1" t="s">
        <v>1061</v>
      </c>
    </row>
    <row r="100" spans="1:8" s="38" customFormat="1" x14ac:dyDescent="0.2">
      <c r="A100" s="38" t="s">
        <v>1062</v>
      </c>
    </row>
    <row r="101" spans="1:8" x14ac:dyDescent="0.2">
      <c r="A101" s="1" t="s">
        <v>1063</v>
      </c>
    </row>
    <row r="103" spans="1:8" x14ac:dyDescent="0.2">
      <c r="A103" s="1" t="s">
        <v>973</v>
      </c>
    </row>
    <row r="105" spans="1:8" x14ac:dyDescent="0.2">
      <c r="C105" s="166">
        <v>43465</v>
      </c>
      <c r="D105" s="166">
        <v>43830</v>
      </c>
      <c r="E105" s="166">
        <v>44196</v>
      </c>
    </row>
    <row r="106" spans="1:8" x14ac:dyDescent="0.2">
      <c r="B106" s="1" t="s">
        <v>990</v>
      </c>
      <c r="C106" s="19"/>
      <c r="D106" s="19"/>
      <c r="E106" s="19"/>
    </row>
    <row r="107" spans="1:8" x14ac:dyDescent="0.2">
      <c r="B107" s="1" t="s">
        <v>370</v>
      </c>
      <c r="C107" s="19"/>
      <c r="D107" s="19"/>
      <c r="E107" s="19"/>
    </row>
    <row r="108" spans="1:8" x14ac:dyDescent="0.2">
      <c r="B108" s="1" t="s">
        <v>975</v>
      </c>
      <c r="C108" s="71"/>
      <c r="D108" s="71"/>
      <c r="E108" s="71"/>
    </row>
    <row r="109" spans="1:8" x14ac:dyDescent="0.2">
      <c r="C109" s="19"/>
      <c r="D109" s="19"/>
      <c r="E109" s="19"/>
    </row>
    <row r="110" spans="1:8" x14ac:dyDescent="0.2">
      <c r="B110" s="1" t="s">
        <v>976</v>
      </c>
      <c r="C110" s="19"/>
      <c r="D110" s="19"/>
      <c r="E110" s="19"/>
    </row>
    <row r="112" spans="1:8" x14ac:dyDescent="0.2">
      <c r="A112" s="1" t="s">
        <v>715</v>
      </c>
    </row>
    <row r="114" spans="1:8" x14ac:dyDescent="0.2">
      <c r="C114" s="166">
        <v>43465</v>
      </c>
      <c r="D114" s="166">
        <v>43830</v>
      </c>
      <c r="E114" s="166">
        <v>44196</v>
      </c>
    </row>
    <row r="115" spans="1:8" x14ac:dyDescent="0.2">
      <c r="B115" s="1" t="s">
        <v>990</v>
      </c>
      <c r="C115" s="19">
        <v>1000000</v>
      </c>
      <c r="D115" s="19">
        <f>C115</f>
        <v>1000000</v>
      </c>
      <c r="E115" s="19">
        <f>D115</f>
        <v>1000000</v>
      </c>
    </row>
    <row r="116" spans="1:8" x14ac:dyDescent="0.2">
      <c r="B116" s="1" t="s">
        <v>370</v>
      </c>
      <c r="C116" s="19">
        <f>-C119</f>
        <v>-11250</v>
      </c>
      <c r="D116" s="19">
        <f>C116-D119</f>
        <v>-26250</v>
      </c>
      <c r="E116" s="19">
        <f>D116-E119</f>
        <v>-41250</v>
      </c>
    </row>
    <row r="117" spans="1:8" x14ac:dyDescent="0.2">
      <c r="B117" s="1" t="s">
        <v>975</v>
      </c>
      <c r="C117" s="71">
        <f>C115+C116</f>
        <v>988750</v>
      </c>
      <c r="D117" s="71">
        <f>D115+D116</f>
        <v>973750</v>
      </c>
      <c r="E117" s="71">
        <f>E115+E116</f>
        <v>958750</v>
      </c>
    </row>
    <row r="118" spans="1:8" x14ac:dyDescent="0.2">
      <c r="C118" s="19"/>
      <c r="D118" s="19"/>
      <c r="E118" s="19"/>
    </row>
    <row r="119" spans="1:8" x14ac:dyDescent="0.2">
      <c r="B119" s="1" t="s">
        <v>976</v>
      </c>
      <c r="C119" s="19">
        <f>(C115-250000)/50*(9/12)</f>
        <v>11250</v>
      </c>
      <c r="D119" s="19">
        <f>(D115-250000)/50</f>
        <v>15000</v>
      </c>
      <c r="E119" s="19">
        <f>(E115-250000)/50</f>
        <v>15000</v>
      </c>
    </row>
    <row r="122" spans="1:8" x14ac:dyDescent="0.2">
      <c r="A122" s="208" t="s">
        <v>1209</v>
      </c>
      <c r="B122" s="209"/>
      <c r="C122" s="209"/>
      <c r="D122" s="209"/>
      <c r="E122" s="209"/>
      <c r="F122" s="209"/>
      <c r="G122" s="209"/>
      <c r="H122" s="209"/>
    </row>
    <row r="123" spans="1:8" x14ac:dyDescent="0.2">
      <c r="A123" s="1" t="s">
        <v>1065</v>
      </c>
    </row>
    <row r="124" spans="1:8" x14ac:dyDescent="0.2">
      <c r="A124" s="1" t="s">
        <v>1066</v>
      </c>
    </row>
    <row r="125" spans="1:8" x14ac:dyDescent="0.2">
      <c r="A125" s="1" t="s">
        <v>1067</v>
      </c>
    </row>
    <row r="127" spans="1:8" x14ac:dyDescent="0.2">
      <c r="A127" s="1" t="s">
        <v>973</v>
      </c>
    </row>
    <row r="129" spans="1:9" x14ac:dyDescent="0.2">
      <c r="C129" s="152">
        <v>43465</v>
      </c>
      <c r="D129" s="152">
        <v>43830</v>
      </c>
      <c r="E129" s="152">
        <v>44196</v>
      </c>
      <c r="F129" s="152">
        <v>44561</v>
      </c>
      <c r="G129" s="200">
        <v>44926</v>
      </c>
    </row>
    <row r="130" spans="1:9" x14ac:dyDescent="0.2">
      <c r="B130" s="1" t="s">
        <v>974</v>
      </c>
      <c r="C130" s="19"/>
      <c r="D130" s="19"/>
      <c r="E130" s="19"/>
      <c r="F130" s="19"/>
      <c r="G130" s="201"/>
    </row>
    <row r="131" spans="1:9" x14ac:dyDescent="0.2">
      <c r="B131" s="1" t="s">
        <v>370</v>
      </c>
      <c r="C131" s="19"/>
      <c r="D131" s="19"/>
      <c r="E131" s="19"/>
      <c r="F131" s="19"/>
      <c r="G131" s="201"/>
    </row>
    <row r="132" spans="1:9" x14ac:dyDescent="0.2">
      <c r="B132" s="1" t="s">
        <v>975</v>
      </c>
      <c r="C132" s="71"/>
      <c r="D132" s="71"/>
      <c r="E132" s="71"/>
      <c r="F132" s="71"/>
      <c r="G132" s="202"/>
    </row>
    <row r="133" spans="1:9" x14ac:dyDescent="0.2">
      <c r="C133" s="19"/>
      <c r="D133" s="19"/>
      <c r="E133" s="19"/>
      <c r="F133" s="19"/>
      <c r="G133" s="201"/>
    </row>
    <row r="134" spans="1:9" x14ac:dyDescent="0.2">
      <c r="B134" s="1" t="s">
        <v>976</v>
      </c>
      <c r="C134" s="19"/>
      <c r="D134" s="19"/>
      <c r="E134" s="19"/>
      <c r="F134" s="19"/>
      <c r="G134" s="201"/>
    </row>
    <row r="135" spans="1:9" x14ac:dyDescent="0.2">
      <c r="B135" s="1" t="s">
        <v>1005</v>
      </c>
      <c r="C135" s="203"/>
      <c r="D135" s="203"/>
      <c r="E135" s="203"/>
      <c r="F135" s="203"/>
      <c r="G135" s="201"/>
    </row>
    <row r="137" spans="1:9" x14ac:dyDescent="0.2">
      <c r="A137" s="1" t="s">
        <v>715</v>
      </c>
    </row>
    <row r="138" spans="1:9" x14ac:dyDescent="0.2">
      <c r="A138" s="24" t="s">
        <v>1215</v>
      </c>
      <c r="B138" s="25"/>
      <c r="C138" s="25"/>
      <c r="D138" s="25"/>
      <c r="E138" s="25"/>
      <c r="F138" s="25"/>
      <c r="G138" s="26"/>
      <c r="I138" s="1" t="s">
        <v>190</v>
      </c>
    </row>
    <row r="139" spans="1:9" x14ac:dyDescent="0.2">
      <c r="A139" s="257" t="s">
        <v>369</v>
      </c>
      <c r="B139" s="4" t="s">
        <v>956</v>
      </c>
      <c r="C139" s="19">
        <v>250000</v>
      </c>
      <c r="D139" s="4"/>
      <c r="F139" s="1" t="s">
        <v>1214</v>
      </c>
      <c r="G139" s="258">
        <v>44834</v>
      </c>
      <c r="I139" s="1" t="s">
        <v>993</v>
      </c>
    </row>
    <row r="140" spans="1:9" x14ac:dyDescent="0.2">
      <c r="A140" s="395" t="s">
        <v>1210</v>
      </c>
      <c r="B140" s="393"/>
      <c r="C140" s="259">
        <v>43101</v>
      </c>
      <c r="D140" s="4" t="s">
        <v>1211</v>
      </c>
      <c r="F140" s="1" t="s">
        <v>1073</v>
      </c>
      <c r="G140" s="260">
        <v>110000</v>
      </c>
      <c r="I140" s="1" t="s">
        <v>1217</v>
      </c>
    </row>
    <row r="141" spans="1:9" x14ac:dyDescent="0.2">
      <c r="A141" s="257" t="s">
        <v>1212</v>
      </c>
      <c r="B141" s="4" t="s">
        <v>958</v>
      </c>
      <c r="C141" s="18">
        <v>30000</v>
      </c>
      <c r="D141" s="4"/>
      <c r="G141" s="14"/>
      <c r="I141" s="1" t="s">
        <v>1218</v>
      </c>
    </row>
    <row r="142" spans="1:9" x14ac:dyDescent="0.2">
      <c r="A142" s="15" t="s">
        <v>1213</v>
      </c>
      <c r="B142" s="17" t="s">
        <v>953</v>
      </c>
      <c r="C142" s="17">
        <v>5</v>
      </c>
      <c r="D142" s="6"/>
      <c r="E142" s="6"/>
      <c r="F142" s="6"/>
      <c r="G142" s="16"/>
    </row>
    <row r="143" spans="1:9" x14ac:dyDescent="0.2">
      <c r="B143" s="4"/>
      <c r="C143" s="4"/>
    </row>
    <row r="144" spans="1:9" x14ac:dyDescent="0.2">
      <c r="G144" s="263" t="s">
        <v>1098</v>
      </c>
    </row>
    <row r="145" spans="1:11" x14ac:dyDescent="0.2">
      <c r="G145" s="264" t="s">
        <v>1216</v>
      </c>
    </row>
    <row r="146" spans="1:11" x14ac:dyDescent="0.2">
      <c r="C146" s="152">
        <v>43465</v>
      </c>
      <c r="D146" s="152">
        <v>43830</v>
      </c>
      <c r="E146" s="152">
        <v>44196</v>
      </c>
      <c r="F146" s="152">
        <v>44561</v>
      </c>
      <c r="G146" s="265">
        <v>44834</v>
      </c>
      <c r="H146" s="200">
        <v>44926</v>
      </c>
    </row>
    <row r="147" spans="1:11" x14ac:dyDescent="0.2">
      <c r="B147" s="1" t="s">
        <v>974</v>
      </c>
      <c r="C147" s="19">
        <v>250000</v>
      </c>
      <c r="D147" s="19">
        <v>250000</v>
      </c>
      <c r="E147" s="19">
        <v>250000</v>
      </c>
      <c r="F147" s="19">
        <v>250000</v>
      </c>
      <c r="G147" s="261">
        <v>250000</v>
      </c>
      <c r="H147" s="201">
        <v>0</v>
      </c>
    </row>
    <row r="148" spans="1:11" x14ac:dyDescent="0.2">
      <c r="B148" s="1" t="s">
        <v>370</v>
      </c>
      <c r="C148" s="19">
        <f>-C151</f>
        <v>-44000</v>
      </c>
      <c r="D148" s="19">
        <f>C148-D151</f>
        <v>-88000</v>
      </c>
      <c r="E148" s="19">
        <f>D148-E151</f>
        <v>-132000</v>
      </c>
      <c r="F148" s="19">
        <f>E148-F151</f>
        <v>-176000</v>
      </c>
      <c r="G148" s="261">
        <f>F148-G151</f>
        <v>-209000</v>
      </c>
      <c r="H148" s="201">
        <v>0</v>
      </c>
    </row>
    <row r="149" spans="1:11" x14ac:dyDescent="0.2">
      <c r="B149" s="1" t="s">
        <v>975</v>
      </c>
      <c r="C149" s="71">
        <f>C147+C148</f>
        <v>206000</v>
      </c>
      <c r="D149" s="71">
        <f>D147+D148</f>
        <v>162000</v>
      </c>
      <c r="E149" s="71">
        <f>E147+E148</f>
        <v>118000</v>
      </c>
      <c r="F149" s="71">
        <f>F147+F148</f>
        <v>74000</v>
      </c>
      <c r="G149" s="262">
        <f>G147+G148</f>
        <v>41000</v>
      </c>
      <c r="H149" s="202">
        <v>0</v>
      </c>
    </row>
    <row r="150" spans="1:11" x14ac:dyDescent="0.2">
      <c r="C150" s="19"/>
      <c r="D150" s="19"/>
      <c r="E150" s="19"/>
      <c r="F150" s="19"/>
      <c r="G150" s="261"/>
      <c r="H150" s="201"/>
    </row>
    <row r="151" spans="1:11" ht="17" thickBot="1" x14ac:dyDescent="0.25">
      <c r="B151" s="1" t="s">
        <v>976</v>
      </c>
      <c r="C151" s="19">
        <f>(250000-30000)/5</f>
        <v>44000</v>
      </c>
      <c r="D151" s="19">
        <f>C151</f>
        <v>44000</v>
      </c>
      <c r="E151" s="19">
        <f>D151</f>
        <v>44000</v>
      </c>
      <c r="F151" s="19">
        <f>E151</f>
        <v>44000</v>
      </c>
      <c r="G151" s="261">
        <f>44000*9/12</f>
        <v>33000</v>
      </c>
      <c r="H151" s="201">
        <f>G151</f>
        <v>33000</v>
      </c>
    </row>
    <row r="152" spans="1:11" ht="17" thickBot="1" x14ac:dyDescent="0.25">
      <c r="B152" s="1" t="s">
        <v>1005</v>
      </c>
      <c r="C152" s="203"/>
      <c r="D152" s="203"/>
      <c r="E152" s="203"/>
      <c r="F152" s="203"/>
      <c r="G152" s="266"/>
      <c r="H152" s="267">
        <f>110000-41000</f>
        <v>69000</v>
      </c>
      <c r="J152" s="1" t="s">
        <v>1219</v>
      </c>
    </row>
    <row r="153" spans="1:11" x14ac:dyDescent="0.2">
      <c r="J153" s="1" t="s">
        <v>1220</v>
      </c>
    </row>
    <row r="154" spans="1:11" x14ac:dyDescent="0.2">
      <c r="J154" s="1" t="s">
        <v>1221</v>
      </c>
    </row>
    <row r="155" spans="1:11" x14ac:dyDescent="0.2">
      <c r="K155" s="1" t="s">
        <v>1222</v>
      </c>
    </row>
    <row r="157" spans="1:11" x14ac:dyDescent="0.2">
      <c r="A157" s="208" t="s">
        <v>1068</v>
      </c>
      <c r="B157" s="209"/>
      <c r="C157" s="209"/>
      <c r="D157" s="209"/>
      <c r="E157" s="209"/>
      <c r="F157" s="209"/>
      <c r="G157" s="209"/>
      <c r="H157" s="209"/>
    </row>
    <row r="158" spans="1:11" x14ac:dyDescent="0.2">
      <c r="A158" s="1" t="s">
        <v>1069</v>
      </c>
    </row>
    <row r="159" spans="1:11" x14ac:dyDescent="0.2">
      <c r="A159" s="1" t="s">
        <v>1070</v>
      </c>
    </row>
    <row r="160" spans="1:11" x14ac:dyDescent="0.2">
      <c r="A160" s="1" t="s">
        <v>1071</v>
      </c>
    </row>
    <row r="161" spans="1:6" x14ac:dyDescent="0.2">
      <c r="A161" s="1" t="s">
        <v>1072</v>
      </c>
    </row>
    <row r="163" spans="1:6" x14ac:dyDescent="0.2">
      <c r="A163" s="1" t="s">
        <v>1020</v>
      </c>
    </row>
    <row r="165" spans="1:6" x14ac:dyDescent="0.2">
      <c r="A165" s="3" t="s">
        <v>715</v>
      </c>
    </row>
    <row r="167" spans="1:6" x14ac:dyDescent="0.2">
      <c r="B167" s="1" t="s">
        <v>1073</v>
      </c>
      <c r="D167" s="72">
        <v>9000</v>
      </c>
    </row>
    <row r="168" spans="1:6" x14ac:dyDescent="0.2">
      <c r="B168" s="1" t="s">
        <v>1015</v>
      </c>
      <c r="D168" s="72">
        <f>12000-(12000-3000)/6*(3+2/12)</f>
        <v>7250</v>
      </c>
      <c r="E168" s="1" t="s">
        <v>1074</v>
      </c>
    </row>
    <row r="169" spans="1:6" x14ac:dyDescent="0.2">
      <c r="B169" s="1" t="s">
        <v>1005</v>
      </c>
      <c r="D169" s="72">
        <f>D167-D168</f>
        <v>1750</v>
      </c>
    </row>
    <row r="171" spans="1:6" x14ac:dyDescent="0.2">
      <c r="A171" s="1" t="s">
        <v>1075</v>
      </c>
    </row>
    <row r="172" spans="1:6" x14ac:dyDescent="0.2">
      <c r="A172" s="1" t="s">
        <v>1076</v>
      </c>
      <c r="C172" s="151">
        <v>44651</v>
      </c>
    </row>
    <row r="173" spans="1:6" x14ac:dyDescent="0.2">
      <c r="A173" s="1" t="s">
        <v>1077</v>
      </c>
      <c r="C173" s="151">
        <v>45809</v>
      </c>
    </row>
    <row r="174" spans="1:6" x14ac:dyDescent="0.2">
      <c r="A174" s="1" t="s">
        <v>1078</v>
      </c>
      <c r="C174" s="88" t="s">
        <v>1079</v>
      </c>
    </row>
    <row r="175" spans="1:6" x14ac:dyDescent="0.2">
      <c r="A175" s="1" t="s">
        <v>1080</v>
      </c>
      <c r="C175" s="72">
        <f>9000/6*(3+2/12)</f>
        <v>4750</v>
      </c>
      <c r="F175" s="1" t="s">
        <v>1081</v>
      </c>
    </row>
    <row r="176" spans="1:6" x14ac:dyDescent="0.2">
      <c r="A176" s="1" t="s">
        <v>1082</v>
      </c>
      <c r="C176" s="72">
        <f>12000-C175</f>
        <v>7250</v>
      </c>
      <c r="F176" s="1" t="s">
        <v>1083</v>
      </c>
    </row>
    <row r="178" spans="1:8" x14ac:dyDescent="0.2">
      <c r="A178" s="268" t="s">
        <v>1223</v>
      </c>
      <c r="B178" s="268"/>
      <c r="C178" s="268"/>
      <c r="D178" s="268"/>
      <c r="E178" s="268"/>
      <c r="F178" s="268"/>
      <c r="G178" s="268"/>
      <c r="H178" s="268"/>
    </row>
    <row r="195" spans="1:8" x14ac:dyDescent="0.2">
      <c r="A195" s="198" t="s">
        <v>1224</v>
      </c>
      <c r="B195" s="198"/>
      <c r="C195" s="198"/>
      <c r="D195" s="198"/>
      <c r="E195" s="198"/>
      <c r="F195" s="198"/>
      <c r="G195" s="198"/>
      <c r="H195" s="198"/>
    </row>
    <row r="197" spans="1:8" x14ac:dyDescent="0.2">
      <c r="A197" s="1" t="s">
        <v>1225</v>
      </c>
    </row>
    <row r="198" spans="1:8" x14ac:dyDescent="0.2">
      <c r="A198" s="1" t="s">
        <v>1226</v>
      </c>
    </row>
    <row r="199" spans="1:8" x14ac:dyDescent="0.2">
      <c r="A199" s="1" t="s">
        <v>1227</v>
      </c>
    </row>
    <row r="200" spans="1:8" x14ac:dyDescent="0.2">
      <c r="A200" s="1" t="s">
        <v>1228</v>
      </c>
    </row>
    <row r="201" spans="1:8" x14ac:dyDescent="0.2">
      <c r="A201" s="1" t="s">
        <v>1229</v>
      </c>
    </row>
    <row r="202" spans="1:8" x14ac:dyDescent="0.2">
      <c r="A202" s="1" t="s">
        <v>1230</v>
      </c>
    </row>
    <row r="204" spans="1:8" x14ac:dyDescent="0.2">
      <c r="A204" s="1" t="s">
        <v>222</v>
      </c>
    </row>
    <row r="205" spans="1:8" x14ac:dyDescent="0.2">
      <c r="A205" s="1" t="s">
        <v>1231</v>
      </c>
    </row>
    <row r="206" spans="1:8" x14ac:dyDescent="0.2">
      <c r="A206" s="1" t="s">
        <v>1232</v>
      </c>
    </row>
    <row r="207" spans="1:8" ht="17" thickBot="1" x14ac:dyDescent="0.25"/>
    <row r="208" spans="1:8" ht="17" thickBot="1" x14ac:dyDescent="0.25">
      <c r="A208" s="270" t="s">
        <v>1257</v>
      </c>
      <c r="B208" s="4"/>
      <c r="C208" s="4"/>
      <c r="D208" s="4"/>
      <c r="E208" s="269" t="s">
        <v>1233</v>
      </c>
      <c r="F208" s="4" t="s">
        <v>1240</v>
      </c>
      <c r="G208" s="4"/>
      <c r="H208" s="4"/>
    </row>
    <row r="209" spans="1:8" x14ac:dyDescent="0.2">
      <c r="B209" s="4"/>
      <c r="C209" s="4"/>
      <c r="D209" s="4"/>
      <c r="E209" s="269" t="s">
        <v>1234</v>
      </c>
      <c r="F209" s="4" t="s">
        <v>1241</v>
      </c>
      <c r="G209" s="4"/>
      <c r="H209" s="4"/>
    </row>
    <row r="210" spans="1:8" x14ac:dyDescent="0.2">
      <c r="B210" s="166">
        <v>44196</v>
      </c>
      <c r="C210" s="166">
        <v>44561</v>
      </c>
      <c r="D210" s="166">
        <v>44926</v>
      </c>
      <c r="E210" s="166">
        <v>45291</v>
      </c>
      <c r="F210" s="166">
        <v>45657</v>
      </c>
      <c r="G210" s="166">
        <v>46022</v>
      </c>
      <c r="H210" s="166">
        <v>46387</v>
      </c>
    </row>
    <row r="211" spans="1:8" x14ac:dyDescent="0.2">
      <c r="A211" s="1" t="s">
        <v>369</v>
      </c>
      <c r="B211" s="19">
        <v>1000000</v>
      </c>
      <c r="C211" s="19">
        <v>1000000</v>
      </c>
      <c r="D211" s="19">
        <v>1000000</v>
      </c>
      <c r="E211" s="19">
        <v>1000000</v>
      </c>
      <c r="F211" s="19">
        <v>1000000</v>
      </c>
      <c r="G211" s="19">
        <v>1000000</v>
      </c>
      <c r="H211" s="19">
        <v>1000000</v>
      </c>
    </row>
    <row r="212" spans="1:8" x14ac:dyDescent="0.2">
      <c r="A212" s="1" t="s">
        <v>368</v>
      </c>
      <c r="B212" s="19">
        <f>-B215</f>
        <v>-30000</v>
      </c>
      <c r="C212" s="19">
        <f t="shared" ref="C212:H212" si="1">B212-C215</f>
        <v>-60000</v>
      </c>
      <c r="D212" s="19">
        <f t="shared" si="1"/>
        <v>-90000</v>
      </c>
      <c r="E212" s="19">
        <f t="shared" si="1"/>
        <v>-120000</v>
      </c>
      <c r="F212" s="19">
        <f t="shared" si="1"/>
        <v>-183000</v>
      </c>
      <c r="G212" s="19">
        <f t="shared" si="1"/>
        <v>-246000</v>
      </c>
      <c r="H212" s="19">
        <f t="shared" si="1"/>
        <v>-309000</v>
      </c>
    </row>
    <row r="213" spans="1:8" x14ac:dyDescent="0.2">
      <c r="A213" s="1" t="s">
        <v>975</v>
      </c>
      <c r="B213" s="71">
        <f t="shared" ref="B213:H213" si="2">B211+B212</f>
        <v>970000</v>
      </c>
      <c r="C213" s="71">
        <f t="shared" si="2"/>
        <v>940000</v>
      </c>
      <c r="D213" s="71">
        <f t="shared" si="2"/>
        <v>910000</v>
      </c>
      <c r="E213" s="71">
        <f t="shared" si="2"/>
        <v>880000</v>
      </c>
      <c r="F213" s="71">
        <f t="shared" si="2"/>
        <v>817000</v>
      </c>
      <c r="G213" s="71">
        <f t="shared" si="2"/>
        <v>754000</v>
      </c>
      <c r="H213" s="71">
        <f t="shared" si="2"/>
        <v>691000</v>
      </c>
    </row>
    <row r="214" spans="1:8" x14ac:dyDescent="0.2">
      <c r="B214" s="19"/>
      <c r="C214" s="19"/>
      <c r="D214" s="19"/>
      <c r="E214" s="19"/>
      <c r="F214" s="19"/>
      <c r="G214" s="19"/>
      <c r="H214" s="19"/>
    </row>
    <row r="215" spans="1:8" x14ac:dyDescent="0.2">
      <c r="A215" s="1" t="s">
        <v>976</v>
      </c>
      <c r="B215" s="19">
        <f>(1000000-(1/4)*1000000)/25</f>
        <v>30000</v>
      </c>
      <c r="C215" s="19">
        <f>B215</f>
        <v>30000</v>
      </c>
      <c r="D215" s="19">
        <f>C215</f>
        <v>30000</v>
      </c>
      <c r="E215" s="19">
        <f>D215</f>
        <v>30000</v>
      </c>
      <c r="F215" s="19">
        <f>F226</f>
        <v>63000</v>
      </c>
      <c r="G215" s="19">
        <f>F215</f>
        <v>63000</v>
      </c>
      <c r="H215" s="19">
        <f>G215</f>
        <v>63000</v>
      </c>
    </row>
    <row r="218" spans="1:8" x14ac:dyDescent="0.2">
      <c r="A218" s="1" t="s">
        <v>1235</v>
      </c>
      <c r="F218" s="1" t="s">
        <v>1242</v>
      </c>
    </row>
    <row r="219" spans="1:8" x14ac:dyDescent="0.2">
      <c r="A219" s="1" t="s">
        <v>1236</v>
      </c>
      <c r="F219" s="1" t="s">
        <v>1243</v>
      </c>
    </row>
    <row r="220" spans="1:8" x14ac:dyDescent="0.2">
      <c r="A220" s="1" t="s">
        <v>1237</v>
      </c>
      <c r="F220" s="1" t="s">
        <v>1244</v>
      </c>
    </row>
    <row r="221" spans="1:8" x14ac:dyDescent="0.2">
      <c r="A221" s="1" t="s">
        <v>1238</v>
      </c>
      <c r="F221" s="1" t="s">
        <v>1245</v>
      </c>
    </row>
    <row r="223" spans="1:8" x14ac:dyDescent="0.2">
      <c r="F223" s="1" t="s">
        <v>1249</v>
      </c>
      <c r="H223" s="1" t="s">
        <v>1246</v>
      </c>
    </row>
    <row r="224" spans="1:8" x14ac:dyDescent="0.2">
      <c r="F224" s="1" t="s">
        <v>1250</v>
      </c>
      <c r="H224" s="1" t="s">
        <v>1247</v>
      </c>
    </row>
    <row r="225" spans="1:10" x14ac:dyDescent="0.2">
      <c r="A225" s="1" t="s">
        <v>1239</v>
      </c>
      <c r="F225" s="1" t="s">
        <v>1251</v>
      </c>
      <c r="J225" s="1" t="s">
        <v>1248</v>
      </c>
    </row>
    <row r="226" spans="1:10" x14ac:dyDescent="0.2">
      <c r="F226" s="396">
        <f>(880000-250000)/10</f>
        <v>63000</v>
      </c>
    </row>
    <row r="227" spans="1:10" x14ac:dyDescent="0.2">
      <c r="F227" s="396"/>
    </row>
    <row r="229" spans="1:10" x14ac:dyDescent="0.2">
      <c r="F229" s="1" t="s">
        <v>976</v>
      </c>
      <c r="H229" s="1" t="s">
        <v>1252</v>
      </c>
    </row>
    <row r="230" spans="1:10" x14ac:dyDescent="0.2">
      <c r="F230" s="1" t="s">
        <v>1254</v>
      </c>
      <c r="H230" s="1" t="s">
        <v>1253</v>
      </c>
    </row>
    <row r="231" spans="1:10" x14ac:dyDescent="0.2">
      <c r="F231" s="1" t="s">
        <v>1255</v>
      </c>
    </row>
    <row r="232" spans="1:10" x14ac:dyDescent="0.2">
      <c r="F232" s="1" t="s">
        <v>1256</v>
      </c>
    </row>
    <row r="233" spans="1:10" ht="17" thickBot="1" x14ac:dyDescent="0.25"/>
    <row r="234" spans="1:10" ht="17" thickBot="1" x14ac:dyDescent="0.25">
      <c r="A234" s="270" t="s">
        <v>1258</v>
      </c>
      <c r="D234" s="1" t="s">
        <v>1259</v>
      </c>
    </row>
    <row r="235" spans="1:10" x14ac:dyDescent="0.2">
      <c r="C235" s="166">
        <v>46387</v>
      </c>
      <c r="D235" s="166">
        <v>46568</v>
      </c>
    </row>
    <row r="236" spans="1:10" x14ac:dyDescent="0.2">
      <c r="B236" s="1" t="s">
        <v>369</v>
      </c>
      <c r="C236" s="19">
        <v>1000000</v>
      </c>
      <c r="D236" s="19">
        <v>1000000</v>
      </c>
    </row>
    <row r="237" spans="1:10" x14ac:dyDescent="0.2">
      <c r="B237" s="1" t="s">
        <v>370</v>
      </c>
      <c r="C237" s="19">
        <v>-309000</v>
      </c>
      <c r="D237" s="19">
        <f>C237-D240</f>
        <v>-340500</v>
      </c>
      <c r="G237" s="1" t="s">
        <v>1263</v>
      </c>
    </row>
    <row r="238" spans="1:10" x14ac:dyDescent="0.2">
      <c r="B238" s="1" t="s">
        <v>975</v>
      </c>
      <c r="C238" s="71">
        <v>691000</v>
      </c>
      <c r="D238" s="71">
        <f>D236+D237</f>
        <v>659500</v>
      </c>
      <c r="G238" s="1" t="s">
        <v>1264</v>
      </c>
      <c r="I238" s="4" t="s">
        <v>1265</v>
      </c>
    </row>
    <row r="239" spans="1:10" x14ac:dyDescent="0.2">
      <c r="C239" s="19"/>
      <c r="D239" s="19"/>
      <c r="G239" s="1" t="s">
        <v>1266</v>
      </c>
      <c r="I239" s="18">
        <v>659500</v>
      </c>
    </row>
    <row r="240" spans="1:10" x14ac:dyDescent="0.2">
      <c r="B240" s="1" t="s">
        <v>1260</v>
      </c>
      <c r="C240" s="19">
        <v>63000</v>
      </c>
      <c r="D240" s="19">
        <f>C240*6/12</f>
        <v>31500</v>
      </c>
      <c r="G240" s="1" t="s">
        <v>1267</v>
      </c>
      <c r="I240" s="58">
        <v>28000</v>
      </c>
    </row>
    <row r="242" spans="4:9" x14ac:dyDescent="0.2">
      <c r="D242" s="1" t="s">
        <v>1261</v>
      </c>
    </row>
    <row r="243" spans="4:9" ht="17" thickBot="1" x14ac:dyDescent="0.25">
      <c r="D243" s="1" t="s">
        <v>1262</v>
      </c>
      <c r="G243" s="1" t="s">
        <v>1268</v>
      </c>
      <c r="I243" s="1" t="s">
        <v>1269</v>
      </c>
    </row>
    <row r="244" spans="4:9" ht="17" thickBot="1" x14ac:dyDescent="0.25">
      <c r="G244" s="1" t="s">
        <v>1271</v>
      </c>
      <c r="H244" s="271">
        <f>I239+I240</f>
        <v>687500</v>
      </c>
      <c r="I244" s="1" t="s">
        <v>1270</v>
      </c>
    </row>
  </sheetData>
  <mergeCells count="3">
    <mergeCell ref="J28:J29"/>
    <mergeCell ref="A140:B140"/>
    <mergeCell ref="F226:F2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7A9-ED42-3C4A-965C-BEB827FE4C1D}">
  <dimension ref="A1:I203"/>
  <sheetViews>
    <sheetView rightToLeft="1" topLeftCell="A218" zoomScale="200" zoomScaleNormal="380" workbookViewId="0">
      <selection activeCell="E152" sqref="E152"/>
    </sheetView>
  </sheetViews>
  <sheetFormatPr baseColWidth="10" defaultRowHeight="16" x14ac:dyDescent="0.2"/>
  <cols>
    <col min="1" max="8" width="10.83203125" style="1"/>
    <col min="9" max="9" width="11.1640625" style="1" customWidth="1"/>
    <col min="10" max="16384" width="10.83203125" style="1"/>
  </cols>
  <sheetData>
    <row r="1" spans="1:8" x14ac:dyDescent="0.2">
      <c r="A1" s="94" t="s">
        <v>1404</v>
      </c>
      <c r="B1" s="94"/>
      <c r="C1" s="94"/>
      <c r="D1" s="94"/>
      <c r="E1" s="94"/>
      <c r="F1" s="94"/>
      <c r="G1" s="94"/>
      <c r="H1" s="196">
        <v>45648</v>
      </c>
    </row>
    <row r="2" spans="1:8" ht="17" thickBot="1" x14ac:dyDescent="0.25"/>
    <row r="3" spans="1:8" ht="17" thickBot="1" x14ac:dyDescent="0.25">
      <c r="A3" s="235" t="s">
        <v>1405</v>
      </c>
      <c r="B3" s="57"/>
      <c r="C3" s="57"/>
      <c r="D3" s="57"/>
      <c r="E3" s="57"/>
      <c r="F3" s="57"/>
      <c r="G3" s="57"/>
      <c r="H3" s="141"/>
    </row>
    <row r="4" spans="1:8" x14ac:dyDescent="0.2">
      <c r="A4" s="1" t="s">
        <v>1406</v>
      </c>
    </row>
    <row r="5" spans="1:8" x14ac:dyDescent="0.2">
      <c r="A5" s="1" t="s">
        <v>1407</v>
      </c>
    </row>
    <row r="6" spans="1:8" x14ac:dyDescent="0.2">
      <c r="A6" s="1" t="s">
        <v>1408</v>
      </c>
    </row>
    <row r="7" spans="1:8" x14ac:dyDescent="0.2">
      <c r="A7" s="1" t="s">
        <v>1409</v>
      </c>
    </row>
    <row r="8" spans="1:8" x14ac:dyDescent="0.2">
      <c r="A8" s="1" t="s">
        <v>1410</v>
      </c>
    </row>
    <row r="9" spans="1:8" x14ac:dyDescent="0.2">
      <c r="A9" s="1" t="s">
        <v>1411</v>
      </c>
    </row>
    <row r="11" spans="1:8" x14ac:dyDescent="0.2">
      <c r="A11" s="1" t="s">
        <v>1412</v>
      </c>
    </row>
    <row r="12" spans="1:8" x14ac:dyDescent="0.2">
      <c r="A12" s="1" t="s">
        <v>1413</v>
      </c>
    </row>
    <row r="21" spans="1:8" ht="17" thickBot="1" x14ac:dyDescent="0.25"/>
    <row r="22" spans="1:8" ht="17" thickBot="1" x14ac:dyDescent="0.25">
      <c r="A22" s="235" t="s">
        <v>1414</v>
      </c>
      <c r="B22" s="57"/>
      <c r="C22" s="57"/>
      <c r="D22" s="57"/>
      <c r="E22" s="57"/>
      <c r="F22" s="57"/>
      <c r="G22" s="57"/>
      <c r="H22" s="141"/>
    </row>
    <row r="24" spans="1:8" x14ac:dyDescent="0.2">
      <c r="A24" s="1" t="s">
        <v>624</v>
      </c>
    </row>
    <row r="25" spans="1:8" x14ac:dyDescent="0.2">
      <c r="A25" s="1" t="s">
        <v>1415</v>
      </c>
    </row>
    <row r="27" spans="1:8" ht="17" thickBot="1" x14ac:dyDescent="0.25">
      <c r="C27" s="1" t="s">
        <v>33</v>
      </c>
      <c r="F27" s="1" t="s">
        <v>275</v>
      </c>
    </row>
    <row r="28" spans="1:8" x14ac:dyDescent="0.2">
      <c r="C28" s="45" t="s">
        <v>276</v>
      </c>
      <c r="D28" s="47"/>
      <c r="F28" s="45" t="s">
        <v>279</v>
      </c>
      <c r="G28" s="47"/>
    </row>
    <row r="29" spans="1:8" x14ac:dyDescent="0.2">
      <c r="C29" s="48" t="s">
        <v>80</v>
      </c>
      <c r="D29" s="49"/>
      <c r="F29" s="48" t="s">
        <v>100</v>
      </c>
      <c r="G29" s="49"/>
    </row>
    <row r="30" spans="1:8" ht="17" thickBot="1" x14ac:dyDescent="0.25">
      <c r="C30" s="48" t="s">
        <v>76</v>
      </c>
      <c r="D30" s="49"/>
      <c r="F30" s="50" t="s">
        <v>220</v>
      </c>
      <c r="G30" s="79"/>
    </row>
    <row r="31" spans="1:8" ht="17" thickBot="1" x14ac:dyDescent="0.25">
      <c r="C31" s="50" t="s">
        <v>1416</v>
      </c>
      <c r="D31" s="79"/>
    </row>
    <row r="32" spans="1:8" ht="17" thickBot="1" x14ac:dyDescent="0.25"/>
    <row r="33" spans="1:9" x14ac:dyDescent="0.2">
      <c r="C33" s="45" t="s">
        <v>524</v>
      </c>
      <c r="D33" s="47"/>
      <c r="F33" s="45" t="s">
        <v>1418</v>
      </c>
      <c r="G33" s="47"/>
    </row>
    <row r="34" spans="1:9" ht="17" thickBot="1" x14ac:dyDescent="0.25">
      <c r="C34" s="48" t="s">
        <v>1314</v>
      </c>
      <c r="D34" s="49"/>
      <c r="F34" s="50" t="s">
        <v>101</v>
      </c>
      <c r="G34" s="79"/>
    </row>
    <row r="35" spans="1:9" x14ac:dyDescent="0.2">
      <c r="C35" s="48" t="s">
        <v>112</v>
      </c>
      <c r="D35" s="49"/>
    </row>
    <row r="36" spans="1:9" ht="17" thickBot="1" x14ac:dyDescent="0.25">
      <c r="C36" s="50" t="s">
        <v>1417</v>
      </c>
      <c r="D36" s="79"/>
    </row>
    <row r="37" spans="1:9" ht="17" thickBot="1" x14ac:dyDescent="0.25"/>
    <row r="38" spans="1:9" x14ac:dyDescent="0.2">
      <c r="F38" s="312" t="s">
        <v>36</v>
      </c>
      <c r="G38" s="313"/>
      <c r="I38" s="1" t="s">
        <v>1421</v>
      </c>
    </row>
    <row r="39" spans="1:9" x14ac:dyDescent="0.2">
      <c r="F39" s="314" t="s">
        <v>1419</v>
      </c>
      <c r="G39" s="315"/>
      <c r="I39" s="1" t="s">
        <v>1422</v>
      </c>
    </row>
    <row r="40" spans="1:9" ht="17" thickBot="1" x14ac:dyDescent="0.25">
      <c r="F40" s="316" t="s">
        <v>1420</v>
      </c>
      <c r="G40" s="317"/>
      <c r="I40" s="1" t="s">
        <v>1423</v>
      </c>
    </row>
    <row r="41" spans="1:9" ht="17" thickBot="1" x14ac:dyDescent="0.25"/>
    <row r="42" spans="1:9" ht="17" thickBot="1" x14ac:dyDescent="0.25">
      <c r="C42" s="56" t="s">
        <v>278</v>
      </c>
      <c r="D42" s="141"/>
      <c r="F42" s="56" t="s">
        <v>631</v>
      </c>
      <c r="G42" s="141"/>
    </row>
    <row r="44" spans="1:9" x14ac:dyDescent="0.2">
      <c r="A44" s="1" t="s">
        <v>1424</v>
      </c>
    </row>
    <row r="45" spans="1:9" x14ac:dyDescent="0.2">
      <c r="A45" s="1" t="s">
        <v>1425</v>
      </c>
    </row>
    <row r="46" spans="1:9" x14ac:dyDescent="0.2">
      <c r="A46" s="1" t="s">
        <v>1426</v>
      </c>
    </row>
    <row r="47" spans="1:9" x14ac:dyDescent="0.2">
      <c r="A47" s="1" t="s">
        <v>1427</v>
      </c>
    </row>
    <row r="48" spans="1:9" x14ac:dyDescent="0.2">
      <c r="A48" s="1" t="s">
        <v>1428</v>
      </c>
    </row>
    <row r="49" spans="1:8" x14ac:dyDescent="0.2">
      <c r="A49" s="1" t="s">
        <v>1429</v>
      </c>
    </row>
    <row r="50" spans="1:8" x14ac:dyDescent="0.2">
      <c r="A50" s="1" t="s">
        <v>1430</v>
      </c>
    </row>
    <row r="51" spans="1:8" x14ac:dyDescent="0.2">
      <c r="A51" s="1" t="s">
        <v>1431</v>
      </c>
    </row>
    <row r="52" spans="1:8" x14ac:dyDescent="0.2">
      <c r="A52" s="1" t="s">
        <v>1432</v>
      </c>
    </row>
    <row r="53" spans="1:8" ht="17" thickBot="1" x14ac:dyDescent="0.25"/>
    <row r="54" spans="1:8" ht="17" thickBot="1" x14ac:dyDescent="0.25">
      <c r="A54" s="235" t="s">
        <v>1433</v>
      </c>
      <c r="B54" s="57"/>
      <c r="C54" s="57"/>
      <c r="D54" s="57"/>
      <c r="E54" s="57"/>
      <c r="F54" s="57"/>
      <c r="G54" s="57"/>
      <c r="H54" s="141"/>
    </row>
    <row r="56" spans="1:8" x14ac:dyDescent="0.2">
      <c r="A56" s="3" t="s">
        <v>1434</v>
      </c>
    </row>
    <row r="57" spans="1:8" x14ac:dyDescent="0.2">
      <c r="A57" s="1" t="s">
        <v>1435</v>
      </c>
    </row>
    <row r="58" spans="1:8" x14ac:dyDescent="0.2">
      <c r="A58" s="1" t="s">
        <v>1436</v>
      </c>
    </row>
    <row r="59" spans="1:8" x14ac:dyDescent="0.2">
      <c r="A59" s="1" t="s">
        <v>1437</v>
      </c>
    </row>
    <row r="60" spans="1:8" x14ac:dyDescent="0.2">
      <c r="A60" s="1" t="s">
        <v>1438</v>
      </c>
    </row>
    <row r="61" spans="1:8" x14ac:dyDescent="0.2">
      <c r="A61" s="1" t="s">
        <v>1443</v>
      </c>
    </row>
    <row r="62" spans="1:8" x14ac:dyDescent="0.2">
      <c r="A62" s="1" t="s">
        <v>1439</v>
      </c>
    </row>
    <row r="63" spans="1:8" x14ac:dyDescent="0.2">
      <c r="A63" s="1" t="s">
        <v>1440</v>
      </c>
    </row>
    <row r="64" spans="1:8" x14ac:dyDescent="0.2">
      <c r="A64" s="1" t="s">
        <v>1441</v>
      </c>
    </row>
    <row r="65" spans="1:1" x14ac:dyDescent="0.2">
      <c r="A65" s="1" t="s">
        <v>1442</v>
      </c>
    </row>
    <row r="66" spans="1:1" x14ac:dyDescent="0.2">
      <c r="A66" s="1" t="s">
        <v>1444</v>
      </c>
    </row>
    <row r="67" spans="1:1" x14ac:dyDescent="0.2">
      <c r="A67" s="1" t="s">
        <v>1445</v>
      </c>
    </row>
    <row r="68" spans="1:1" x14ac:dyDescent="0.2">
      <c r="A68" s="3" t="s">
        <v>1446</v>
      </c>
    </row>
    <row r="70" spans="1:1" x14ac:dyDescent="0.2">
      <c r="A70" s="3" t="s">
        <v>1447</v>
      </c>
    </row>
    <row r="71" spans="1:1" x14ac:dyDescent="0.2">
      <c r="A71" s="1" t="s">
        <v>1448</v>
      </c>
    </row>
    <row r="72" spans="1:1" x14ac:dyDescent="0.2">
      <c r="A72" s="1" t="s">
        <v>1449</v>
      </c>
    </row>
    <row r="74" spans="1:1" x14ac:dyDescent="0.2">
      <c r="A74" s="3" t="s">
        <v>1490</v>
      </c>
    </row>
    <row r="75" spans="1:1" x14ac:dyDescent="0.2">
      <c r="A75" s="1" t="s">
        <v>1491</v>
      </c>
    </row>
    <row r="76" spans="1:1" x14ac:dyDescent="0.2">
      <c r="A76" s="1" t="s">
        <v>1492</v>
      </c>
    </row>
    <row r="77" spans="1:1" x14ac:dyDescent="0.2">
      <c r="A77" s="1" t="s">
        <v>1493</v>
      </c>
    </row>
    <row r="79" spans="1:1" x14ac:dyDescent="0.2">
      <c r="A79" s="1" t="s">
        <v>1494</v>
      </c>
    </row>
    <row r="80" spans="1:1" x14ac:dyDescent="0.2">
      <c r="A80" s="1" t="s">
        <v>1495</v>
      </c>
    </row>
    <row r="88" spans="1:8" x14ac:dyDescent="0.2">
      <c r="A88" s="198" t="s">
        <v>1450</v>
      </c>
      <c r="B88" s="198"/>
      <c r="C88" s="198"/>
      <c r="D88" s="198"/>
      <c r="E88" s="198"/>
      <c r="F88" s="198"/>
      <c r="G88" s="198"/>
      <c r="H88" s="198"/>
    </row>
    <row r="89" spans="1:8" x14ac:dyDescent="0.2">
      <c r="A89" s="1" t="s">
        <v>1462</v>
      </c>
    </row>
    <row r="90" spans="1:8" x14ac:dyDescent="0.2">
      <c r="A90" s="1" t="s">
        <v>1451</v>
      </c>
    </row>
    <row r="91" spans="1:8" x14ac:dyDescent="0.2">
      <c r="A91" s="1" t="s">
        <v>1463</v>
      </c>
    </row>
    <row r="93" spans="1:8" x14ac:dyDescent="0.2">
      <c r="A93" s="3" t="s">
        <v>1452</v>
      </c>
    </row>
    <row r="95" spans="1:8" ht="34" x14ac:dyDescent="0.2">
      <c r="A95" s="6" t="s">
        <v>744</v>
      </c>
      <c r="B95" s="6"/>
      <c r="C95" s="6"/>
      <c r="D95" s="324" t="s">
        <v>1461</v>
      </c>
      <c r="E95" s="324" t="s">
        <v>1464</v>
      </c>
      <c r="F95" s="6" t="s">
        <v>1278</v>
      </c>
      <c r="G95" s="6" t="s">
        <v>1454</v>
      </c>
    </row>
    <row r="96" spans="1:8" x14ac:dyDescent="0.2">
      <c r="A96" s="1" t="s">
        <v>1453</v>
      </c>
      <c r="D96" s="30">
        <f>40000*3</f>
        <v>120000</v>
      </c>
      <c r="F96" s="30">
        <f>G96-D96</f>
        <v>165000</v>
      </c>
      <c r="G96" s="30">
        <f>285000</f>
        <v>285000</v>
      </c>
    </row>
    <row r="97" spans="1:9" x14ac:dyDescent="0.2">
      <c r="A97" s="1" t="s">
        <v>1460</v>
      </c>
      <c r="E97" s="30">
        <f>10000*1</f>
        <v>10000</v>
      </c>
      <c r="F97" s="30">
        <f>G97-E97</f>
        <v>78000</v>
      </c>
      <c r="G97" s="30">
        <v>88000</v>
      </c>
    </row>
    <row r="98" spans="1:9" ht="17" thickBot="1" x14ac:dyDescent="0.25"/>
    <row r="99" spans="1:9" x14ac:dyDescent="0.2">
      <c r="H99" s="318" t="s">
        <v>1457</v>
      </c>
      <c r="I99" s="319"/>
    </row>
    <row r="100" spans="1:9" x14ac:dyDescent="0.2">
      <c r="H100" s="320" t="s">
        <v>1458</v>
      </c>
      <c r="I100" s="321"/>
    </row>
    <row r="101" spans="1:9" x14ac:dyDescent="0.2">
      <c r="H101" s="320" t="s">
        <v>1455</v>
      </c>
      <c r="I101" s="321"/>
    </row>
    <row r="102" spans="1:9" x14ac:dyDescent="0.2">
      <c r="H102" s="320" t="s">
        <v>1459</v>
      </c>
      <c r="I102" s="321"/>
    </row>
    <row r="103" spans="1:9" ht="17" thickBot="1" x14ac:dyDescent="0.25">
      <c r="H103" s="322" t="s">
        <v>1456</v>
      </c>
      <c r="I103" s="323"/>
    </row>
    <row r="104" spans="1:9" ht="17" thickBot="1" x14ac:dyDescent="0.25"/>
    <row r="105" spans="1:9" ht="17" thickBot="1" x14ac:dyDescent="0.25">
      <c r="A105" s="235" t="s">
        <v>1465</v>
      </c>
      <c r="B105" s="57"/>
      <c r="C105" s="57"/>
      <c r="D105" s="57"/>
      <c r="E105" s="57"/>
      <c r="F105" s="57"/>
      <c r="G105" s="57"/>
      <c r="H105" s="141"/>
    </row>
    <row r="106" spans="1:9" x14ac:dyDescent="0.2">
      <c r="A106" s="1" t="s">
        <v>1466</v>
      </c>
    </row>
    <row r="107" spans="1:9" x14ac:dyDescent="0.2">
      <c r="A107" s="1" t="s">
        <v>1467</v>
      </c>
    </row>
    <row r="108" spans="1:9" x14ac:dyDescent="0.2">
      <c r="A108" s="1" t="s">
        <v>1468</v>
      </c>
    </row>
    <row r="109" spans="1:9" x14ac:dyDescent="0.2">
      <c r="A109" s="1" t="s">
        <v>1469</v>
      </c>
    </row>
    <row r="111" spans="1:9" x14ac:dyDescent="0.2">
      <c r="A111" s="198" t="s">
        <v>1470</v>
      </c>
      <c r="B111" s="198"/>
      <c r="C111" s="198"/>
      <c r="D111" s="198"/>
      <c r="E111" s="198"/>
      <c r="F111" s="198"/>
      <c r="G111" s="198"/>
      <c r="H111" s="198"/>
    </row>
    <row r="112" spans="1:9" x14ac:dyDescent="0.2">
      <c r="A112" s="1" t="s">
        <v>1471</v>
      </c>
    </row>
    <row r="113" spans="1:8" x14ac:dyDescent="0.2">
      <c r="A113" s="1" t="s">
        <v>1472</v>
      </c>
    </row>
    <row r="114" spans="1:8" x14ac:dyDescent="0.2">
      <c r="A114" s="1" t="s">
        <v>1473</v>
      </c>
    </row>
    <row r="115" spans="1:8" x14ac:dyDescent="0.2">
      <c r="A115" s="1" t="s">
        <v>1474</v>
      </c>
    </row>
    <row r="116" spans="1:8" x14ac:dyDescent="0.2">
      <c r="A116" s="1" t="s">
        <v>1475</v>
      </c>
    </row>
    <row r="117" spans="1:8" x14ac:dyDescent="0.2">
      <c r="A117" s="1" t="s">
        <v>1476</v>
      </c>
    </row>
    <row r="118" spans="1:8" x14ac:dyDescent="0.2">
      <c r="A118" s="1" t="s">
        <v>1477</v>
      </c>
    </row>
    <row r="119" spans="1:8" x14ac:dyDescent="0.2">
      <c r="A119" s="1" t="s">
        <v>1478</v>
      </c>
    </row>
    <row r="121" spans="1:8" x14ac:dyDescent="0.2">
      <c r="A121" s="1" t="s">
        <v>1479</v>
      </c>
    </row>
    <row r="123" spans="1:8" ht="34" x14ac:dyDescent="0.2">
      <c r="A123" s="1" t="s">
        <v>744</v>
      </c>
      <c r="C123" s="325" t="s">
        <v>1481</v>
      </c>
      <c r="D123" s="17" t="s">
        <v>1278</v>
      </c>
      <c r="E123" s="325" t="s">
        <v>1464</v>
      </c>
      <c r="F123" s="17"/>
      <c r="G123" s="17"/>
      <c r="H123" s="325" t="s">
        <v>1482</v>
      </c>
    </row>
    <row r="124" spans="1:8" ht="17" thickBot="1" x14ac:dyDescent="0.25">
      <c r="A124" s="1" t="s">
        <v>1480</v>
      </c>
      <c r="C124" s="19">
        <f>40000*5</f>
        <v>200000</v>
      </c>
      <c r="D124" s="19">
        <f>H124-C124</f>
        <v>278000</v>
      </c>
      <c r="E124" s="19"/>
      <c r="F124" s="19"/>
      <c r="G124" s="19"/>
      <c r="H124" s="19">
        <f>500000-22000</f>
        <v>478000</v>
      </c>
    </row>
    <row r="125" spans="1:8" x14ac:dyDescent="0.2">
      <c r="A125" s="1" t="s">
        <v>1483</v>
      </c>
      <c r="C125" s="19">
        <f>-C124</f>
        <v>-200000</v>
      </c>
      <c r="D125" s="19"/>
      <c r="E125" s="326">
        <f>-C125</f>
        <v>200000</v>
      </c>
      <c r="F125" s="19"/>
      <c r="G125" s="19"/>
      <c r="H125" s="19">
        <v>0</v>
      </c>
    </row>
    <row r="126" spans="1:8" ht="17" thickBot="1" x14ac:dyDescent="0.25">
      <c r="A126" s="1" t="s">
        <v>1484</v>
      </c>
      <c r="C126" s="19"/>
      <c r="D126" s="19">
        <f>H126-E126</f>
        <v>188000</v>
      </c>
      <c r="E126" s="327">
        <f>12000*1</f>
        <v>12000</v>
      </c>
      <c r="F126" s="19"/>
      <c r="G126" s="19"/>
      <c r="H126" s="19">
        <f>200000</f>
        <v>200000</v>
      </c>
    </row>
    <row r="127" spans="1:8" x14ac:dyDescent="0.2">
      <c r="A127" s="1" t="s">
        <v>1485</v>
      </c>
      <c r="C127" s="4"/>
      <c r="D127" s="19">
        <f>H127-E127</f>
        <v>-21200</v>
      </c>
      <c r="E127" s="19">
        <f>10%*(200000+12000)</f>
        <v>21200</v>
      </c>
      <c r="F127" s="4"/>
      <c r="G127" s="4"/>
      <c r="H127" s="4">
        <v>0</v>
      </c>
    </row>
    <row r="130" spans="1:8" x14ac:dyDescent="0.2">
      <c r="A130" s="1" t="s">
        <v>1486</v>
      </c>
    </row>
    <row r="131" spans="1:8" x14ac:dyDescent="0.2">
      <c r="A131" s="1" t="s">
        <v>1487</v>
      </c>
    </row>
    <row r="132" spans="1:8" x14ac:dyDescent="0.2">
      <c r="A132" s="1" t="s">
        <v>1488</v>
      </c>
    </row>
    <row r="133" spans="1:8" x14ac:dyDescent="0.2">
      <c r="A133" s="1" t="s">
        <v>1489</v>
      </c>
    </row>
    <row r="135" spans="1:8" x14ac:dyDescent="0.2">
      <c r="A135" s="199" t="s">
        <v>1496</v>
      </c>
      <c r="B135" s="199"/>
      <c r="C135" s="199"/>
      <c r="D135" s="199"/>
      <c r="E135" s="199"/>
      <c r="F135" s="199"/>
      <c r="G135" s="199"/>
      <c r="H135" s="199"/>
    </row>
    <row r="136" spans="1:8" x14ac:dyDescent="0.2">
      <c r="A136" s="1" t="s">
        <v>1497</v>
      </c>
    </row>
    <row r="137" spans="1:8" x14ac:dyDescent="0.2">
      <c r="A137" s="151">
        <v>44927</v>
      </c>
      <c r="B137" s="1" t="s">
        <v>1498</v>
      </c>
    </row>
    <row r="138" spans="1:8" x14ac:dyDescent="0.2">
      <c r="A138" s="151">
        <v>44989</v>
      </c>
      <c r="B138" s="1" t="s">
        <v>1499</v>
      </c>
    </row>
    <row r="139" spans="1:8" x14ac:dyDescent="0.2">
      <c r="A139" s="151">
        <v>45417</v>
      </c>
      <c r="B139" s="1" t="s">
        <v>1500</v>
      </c>
    </row>
    <row r="140" spans="1:8" x14ac:dyDescent="0.2">
      <c r="A140" s="151">
        <v>45480</v>
      </c>
      <c r="B140" s="1" t="s">
        <v>1501</v>
      </c>
    </row>
    <row r="141" spans="1:8" x14ac:dyDescent="0.2">
      <c r="A141" s="151">
        <v>45657</v>
      </c>
      <c r="B141" s="1" t="s">
        <v>1502</v>
      </c>
    </row>
    <row r="142" spans="1:8" x14ac:dyDescent="0.2">
      <c r="A142" s="151">
        <v>45657</v>
      </c>
      <c r="B142" s="1" t="s">
        <v>1504</v>
      </c>
    </row>
    <row r="143" spans="1:8" x14ac:dyDescent="0.2">
      <c r="B143" s="1" t="s">
        <v>1503</v>
      </c>
    </row>
    <row r="145" spans="1:8" x14ac:dyDescent="0.2">
      <c r="A145" s="1" t="s">
        <v>1505</v>
      </c>
    </row>
    <row r="147" spans="1:8" ht="34" x14ac:dyDescent="0.2">
      <c r="A147" s="6" t="s">
        <v>743</v>
      </c>
      <c r="B147" s="6" t="s">
        <v>1506</v>
      </c>
      <c r="C147" s="6"/>
      <c r="D147" s="324" t="s">
        <v>1509</v>
      </c>
      <c r="E147" s="6" t="s">
        <v>1278</v>
      </c>
      <c r="F147" s="324" t="s">
        <v>1464</v>
      </c>
      <c r="G147" s="324" t="s">
        <v>1513</v>
      </c>
      <c r="H147" s="6" t="s">
        <v>1507</v>
      </c>
    </row>
    <row r="148" spans="1:8" x14ac:dyDescent="0.2">
      <c r="A148" s="151">
        <v>44927</v>
      </c>
      <c r="B148" s="1" t="s">
        <v>1508</v>
      </c>
      <c r="D148" s="30">
        <f>30000*4</f>
        <v>120000</v>
      </c>
      <c r="E148" s="30">
        <f>H148-D148</f>
        <v>65000</v>
      </c>
      <c r="F148" s="30"/>
      <c r="G148" s="30"/>
      <c r="H148" s="30">
        <f>190000-5000</f>
        <v>185000</v>
      </c>
    </row>
    <row r="149" spans="1:8" x14ac:dyDescent="0.2">
      <c r="A149" s="151">
        <v>44989</v>
      </c>
      <c r="B149" s="1" t="s">
        <v>1483</v>
      </c>
      <c r="D149" s="30">
        <f>-D148</f>
        <v>-120000</v>
      </c>
      <c r="E149" s="30"/>
      <c r="F149" s="30">
        <f>-D149</f>
        <v>120000</v>
      </c>
      <c r="G149" s="30"/>
      <c r="H149" s="30">
        <v>0</v>
      </c>
    </row>
    <row r="150" spans="1:8" x14ac:dyDescent="0.2">
      <c r="A150" s="151">
        <v>45417</v>
      </c>
      <c r="B150" s="1" t="s">
        <v>1510</v>
      </c>
      <c r="D150" s="30"/>
      <c r="E150" s="30">
        <f>H150-F150</f>
        <v>-12000</v>
      </c>
      <c r="F150" s="30">
        <f>10%*F149</f>
        <v>12000</v>
      </c>
      <c r="G150" s="30"/>
      <c r="H150" s="30">
        <v>0</v>
      </c>
    </row>
    <row r="151" spans="1:8" x14ac:dyDescent="0.2">
      <c r="A151" s="151">
        <v>45480</v>
      </c>
      <c r="B151" s="1" t="s">
        <v>1511</v>
      </c>
      <c r="D151" s="30"/>
      <c r="E151" s="30">
        <f>H151-F151</f>
        <v>120000</v>
      </c>
      <c r="F151" s="30">
        <f>20000*1</f>
        <v>20000</v>
      </c>
      <c r="G151" s="30"/>
      <c r="H151" s="30">
        <v>140000</v>
      </c>
    </row>
    <row r="152" spans="1:8" x14ac:dyDescent="0.2">
      <c r="A152" s="151">
        <v>45657</v>
      </c>
      <c r="B152" s="1" t="s">
        <v>1512</v>
      </c>
      <c r="D152" s="30"/>
      <c r="E152" s="30"/>
      <c r="F152" s="30"/>
      <c r="G152" s="30">
        <v>700000</v>
      </c>
      <c r="H152" s="30">
        <f>G152</f>
        <v>700000</v>
      </c>
    </row>
    <row r="153" spans="1:8" x14ac:dyDescent="0.2">
      <c r="A153" s="151">
        <v>45657</v>
      </c>
      <c r="B153" s="1" t="s">
        <v>1514</v>
      </c>
      <c r="D153" s="30"/>
      <c r="E153" s="30"/>
      <c r="F153" s="30"/>
      <c r="G153" s="30">
        <f>-240000</f>
        <v>-240000</v>
      </c>
      <c r="H153" s="30">
        <f>G153</f>
        <v>-240000</v>
      </c>
    </row>
    <row r="154" spans="1:8" x14ac:dyDescent="0.2">
      <c r="A154" s="151">
        <v>45657</v>
      </c>
      <c r="B154" s="1" t="s">
        <v>1516</v>
      </c>
      <c r="D154" s="61">
        <f>SUM(D148:D153)</f>
        <v>0</v>
      </c>
      <c r="E154" s="61">
        <f>SUM(E148:E153)</f>
        <v>173000</v>
      </c>
      <c r="F154" s="61">
        <f>SUM(F148:F153)</f>
        <v>152000</v>
      </c>
      <c r="G154" s="61">
        <f>SUM(G148:G153)</f>
        <v>460000</v>
      </c>
      <c r="H154" s="61">
        <f>SUM(H148:H153)</f>
        <v>785000</v>
      </c>
    </row>
    <row r="156" spans="1:8" x14ac:dyDescent="0.2">
      <c r="A156" s="1" t="s">
        <v>1517</v>
      </c>
    </row>
    <row r="157" spans="1:8" x14ac:dyDescent="0.2">
      <c r="A157" s="1" t="s">
        <v>1515</v>
      </c>
    </row>
    <row r="159" spans="1:8" x14ac:dyDescent="0.2">
      <c r="A159" s="199" t="s">
        <v>1518</v>
      </c>
      <c r="B159" s="199"/>
      <c r="C159" s="199"/>
      <c r="D159" s="199"/>
      <c r="E159" s="199"/>
      <c r="F159" s="199"/>
      <c r="G159" s="199"/>
      <c r="H159" s="199"/>
    </row>
    <row r="160" spans="1:8" x14ac:dyDescent="0.2">
      <c r="A160" s="1" t="s">
        <v>1519</v>
      </c>
    </row>
    <row r="161" spans="1:2" x14ac:dyDescent="0.2">
      <c r="A161" s="1" t="s">
        <v>1520</v>
      </c>
    </row>
    <row r="163" spans="1:2" x14ac:dyDescent="0.2">
      <c r="A163" s="1" t="s">
        <v>1521</v>
      </c>
    </row>
    <row r="164" spans="1:2" x14ac:dyDescent="0.2">
      <c r="A164" s="151">
        <v>37987</v>
      </c>
      <c r="B164" s="1" t="s">
        <v>1522</v>
      </c>
    </row>
    <row r="165" spans="1:2" x14ac:dyDescent="0.2">
      <c r="A165" s="151">
        <v>38005</v>
      </c>
      <c r="B165" s="1" t="s">
        <v>1523</v>
      </c>
    </row>
    <row r="166" spans="1:2" x14ac:dyDescent="0.2">
      <c r="A166" s="151">
        <v>38037</v>
      </c>
      <c r="B166" s="1" t="s">
        <v>1524</v>
      </c>
    </row>
    <row r="167" spans="1:2" x14ac:dyDescent="0.2">
      <c r="A167" s="151">
        <v>38077</v>
      </c>
      <c r="B167" s="1" t="s">
        <v>1525</v>
      </c>
    </row>
    <row r="168" spans="1:2" x14ac:dyDescent="0.2">
      <c r="A168" s="151">
        <v>38168</v>
      </c>
      <c r="B168" s="1" t="s">
        <v>1526</v>
      </c>
    </row>
    <row r="169" spans="1:2" x14ac:dyDescent="0.2">
      <c r="A169" s="151">
        <v>38352</v>
      </c>
      <c r="B169" s="1" t="s">
        <v>1527</v>
      </c>
    </row>
    <row r="170" spans="1:2" x14ac:dyDescent="0.2">
      <c r="B170" s="1" t="s">
        <v>1528</v>
      </c>
    </row>
    <row r="172" spans="1:2" x14ac:dyDescent="0.2">
      <c r="A172" s="1" t="s">
        <v>1529</v>
      </c>
    </row>
    <row r="174" spans="1:2" x14ac:dyDescent="0.2">
      <c r="A174" s="1" t="s">
        <v>1530</v>
      </c>
    </row>
    <row r="192" spans="1:1" x14ac:dyDescent="0.2">
      <c r="A192" s="1" t="s">
        <v>1531</v>
      </c>
    </row>
    <row r="193" spans="1:2" x14ac:dyDescent="0.2">
      <c r="A193" s="1" t="s">
        <v>1532</v>
      </c>
    </row>
    <row r="194" spans="1:2" x14ac:dyDescent="0.2">
      <c r="B194" s="1" t="s">
        <v>1533</v>
      </c>
    </row>
    <row r="195" spans="1:2" x14ac:dyDescent="0.2">
      <c r="B195" s="1" t="s">
        <v>1534</v>
      </c>
    </row>
    <row r="196" spans="1:2" x14ac:dyDescent="0.2">
      <c r="A196" s="1" t="s">
        <v>1535</v>
      </c>
    </row>
    <row r="197" spans="1:2" x14ac:dyDescent="0.2">
      <c r="B197" s="1" t="s">
        <v>1536</v>
      </c>
    </row>
    <row r="198" spans="1:2" x14ac:dyDescent="0.2">
      <c r="A198" s="1" t="s">
        <v>1537</v>
      </c>
    </row>
    <row r="199" spans="1:2" x14ac:dyDescent="0.2">
      <c r="B199" s="1" t="s">
        <v>1538</v>
      </c>
    </row>
    <row r="200" spans="1:2" x14ac:dyDescent="0.2">
      <c r="B200" s="1" t="s">
        <v>1539</v>
      </c>
    </row>
    <row r="201" spans="1:2" x14ac:dyDescent="0.2">
      <c r="B201" s="1" t="s">
        <v>1540</v>
      </c>
    </row>
    <row r="202" spans="1:2" x14ac:dyDescent="0.2">
      <c r="B202" s="1" t="s">
        <v>1541</v>
      </c>
    </row>
    <row r="203" spans="1:2" x14ac:dyDescent="0.2">
      <c r="B203" s="1" t="s">
        <v>1542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6E8C-50AD-6D4F-802F-D144E988FE4F}">
  <dimension ref="A1:K138"/>
  <sheetViews>
    <sheetView rightToLeft="1" zoomScale="192" zoomScaleNormal="320" workbookViewId="0">
      <selection activeCell="D40" sqref="D40"/>
    </sheetView>
  </sheetViews>
  <sheetFormatPr baseColWidth="10" defaultRowHeight="16" x14ac:dyDescent="0.2"/>
  <cols>
    <col min="1" max="5" width="10.83203125" style="1"/>
    <col min="6" max="6" width="11.33203125" style="1" customWidth="1"/>
    <col min="7" max="16384" width="10.83203125" style="1"/>
  </cols>
  <sheetData>
    <row r="1" spans="1:8" x14ac:dyDescent="0.2">
      <c r="A1" s="94" t="s">
        <v>1543</v>
      </c>
      <c r="B1" s="94"/>
      <c r="C1" s="94"/>
      <c r="D1" s="94"/>
      <c r="E1" s="94"/>
      <c r="F1" s="94"/>
      <c r="G1" s="94"/>
      <c r="H1" s="196">
        <v>45662</v>
      </c>
    </row>
    <row r="3" spans="1:8" x14ac:dyDescent="0.2">
      <c r="A3" s="328" t="s">
        <v>1544</v>
      </c>
      <c r="B3" s="328"/>
      <c r="C3" s="328"/>
      <c r="D3" s="328"/>
      <c r="E3" s="328"/>
      <c r="F3" s="328"/>
      <c r="G3" s="328"/>
      <c r="H3" s="328"/>
    </row>
    <row r="4" spans="1:8" x14ac:dyDescent="0.2">
      <c r="A4" s="1" t="s">
        <v>1545</v>
      </c>
    </row>
    <row r="5" spans="1:8" x14ac:dyDescent="0.2">
      <c r="A5" s="1" t="s">
        <v>1546</v>
      </c>
    </row>
    <row r="6" spans="1:8" x14ac:dyDescent="0.2">
      <c r="A6" s="1" t="s">
        <v>1547</v>
      </c>
    </row>
    <row r="8" spans="1:8" x14ac:dyDescent="0.2">
      <c r="A8" s="328" t="s">
        <v>1548</v>
      </c>
      <c r="B8" s="328"/>
      <c r="C8" s="328"/>
      <c r="D8" s="328"/>
      <c r="E8" s="328"/>
      <c r="F8" s="328"/>
      <c r="G8" s="328"/>
      <c r="H8" s="328"/>
    </row>
    <row r="9" spans="1:8" ht="17" thickBot="1" x14ac:dyDescent="0.25">
      <c r="A9" s="1" t="s">
        <v>1549</v>
      </c>
    </row>
    <row r="10" spans="1:8" x14ac:dyDescent="0.2">
      <c r="A10" s="84" t="s">
        <v>1550</v>
      </c>
      <c r="B10" s="85"/>
      <c r="C10" s="86"/>
      <c r="E10" s="84" t="s">
        <v>1554</v>
      </c>
      <c r="F10" s="85"/>
      <c r="G10" s="85"/>
      <c r="H10" s="86"/>
    </row>
    <row r="11" spans="1:8" x14ac:dyDescent="0.2">
      <c r="A11" s="48"/>
      <c r="B11" s="1" t="s">
        <v>1551</v>
      </c>
      <c r="C11" s="49"/>
      <c r="E11" s="48"/>
      <c r="F11" s="1" t="s">
        <v>1555</v>
      </c>
      <c r="H11" s="49"/>
    </row>
    <row r="12" spans="1:8" x14ac:dyDescent="0.2">
      <c r="A12" s="48"/>
      <c r="B12" s="1" t="s">
        <v>1552</v>
      </c>
      <c r="C12" s="49"/>
      <c r="E12" s="48"/>
      <c r="F12" s="1" t="s">
        <v>1556</v>
      </c>
      <c r="H12" s="49"/>
    </row>
    <row r="13" spans="1:8" ht="17" thickBot="1" x14ac:dyDescent="0.25">
      <c r="A13" s="50"/>
      <c r="B13" s="51" t="s">
        <v>1553</v>
      </c>
      <c r="C13" s="79"/>
      <c r="E13" s="48"/>
      <c r="F13" s="1" t="s">
        <v>1483</v>
      </c>
      <c r="H13" s="49"/>
    </row>
    <row r="14" spans="1:8" x14ac:dyDescent="0.2">
      <c r="E14" s="48"/>
      <c r="F14" s="1" t="s">
        <v>1557</v>
      </c>
      <c r="H14" s="49"/>
    </row>
    <row r="15" spans="1:8" ht="17" thickBot="1" x14ac:dyDescent="0.25">
      <c r="A15" s="1" t="s">
        <v>1559</v>
      </c>
      <c r="E15" s="50"/>
      <c r="F15" s="51" t="s">
        <v>1558</v>
      </c>
      <c r="G15" s="51"/>
      <c r="H15" s="79"/>
    </row>
    <row r="16" spans="1:8" x14ac:dyDescent="0.2">
      <c r="A16" s="1" t="s">
        <v>1560</v>
      </c>
    </row>
    <row r="17" spans="1:8" x14ac:dyDescent="0.2">
      <c r="A17" s="1" t="s">
        <v>1561</v>
      </c>
      <c r="E17" s="1" t="s">
        <v>1562</v>
      </c>
    </row>
    <row r="18" spans="1:8" x14ac:dyDescent="0.2">
      <c r="E18" s="1" t="s">
        <v>1563</v>
      </c>
    </row>
    <row r="20" spans="1:8" x14ac:dyDescent="0.2">
      <c r="A20" s="328" t="s">
        <v>1564</v>
      </c>
      <c r="B20" s="328"/>
      <c r="C20" s="328"/>
      <c r="D20" s="328"/>
      <c r="E20" s="328"/>
      <c r="F20" s="328"/>
      <c r="G20" s="328"/>
      <c r="H20" s="328"/>
    </row>
    <row r="21" spans="1:8" x14ac:dyDescent="0.2">
      <c r="A21" s="1" t="s">
        <v>1565</v>
      </c>
    </row>
    <row r="22" spans="1:8" x14ac:dyDescent="0.2">
      <c r="A22" s="1" t="s">
        <v>1566</v>
      </c>
    </row>
    <row r="23" spans="1:8" x14ac:dyDescent="0.2">
      <c r="A23" s="1" t="s">
        <v>1567</v>
      </c>
    </row>
    <row r="25" spans="1:8" x14ac:dyDescent="0.2">
      <c r="A25" s="328" t="s">
        <v>1568</v>
      </c>
      <c r="B25" s="328"/>
      <c r="C25" s="328"/>
      <c r="D25" s="328"/>
      <c r="E25" s="328"/>
      <c r="F25" s="328"/>
      <c r="G25" s="328"/>
      <c r="H25" s="328"/>
    </row>
    <row r="26" spans="1:8" x14ac:dyDescent="0.2">
      <c r="A26" s="1" t="s">
        <v>1569</v>
      </c>
    </row>
    <row r="27" spans="1:8" x14ac:dyDescent="0.2">
      <c r="A27" s="1" t="s">
        <v>1570</v>
      </c>
    </row>
    <row r="29" spans="1:8" x14ac:dyDescent="0.2">
      <c r="F29" s="4" t="s">
        <v>263</v>
      </c>
    </row>
    <row r="30" spans="1:8" x14ac:dyDescent="0.2">
      <c r="F30" s="166">
        <v>45291</v>
      </c>
    </row>
    <row r="31" spans="1:8" x14ac:dyDescent="0.2">
      <c r="C31" s="1" t="s">
        <v>1571</v>
      </c>
      <c r="F31" s="18">
        <v>200000</v>
      </c>
    </row>
    <row r="32" spans="1:8" x14ac:dyDescent="0.2">
      <c r="C32" s="1" t="s">
        <v>1278</v>
      </c>
      <c r="F32" s="18">
        <v>100000</v>
      </c>
    </row>
    <row r="33" spans="1:6" x14ac:dyDescent="0.2">
      <c r="C33" s="1" t="s">
        <v>1572</v>
      </c>
      <c r="F33" s="18">
        <v>500000</v>
      </c>
    </row>
    <row r="34" spans="1:6" x14ac:dyDescent="0.2">
      <c r="C34" s="1" t="s">
        <v>315</v>
      </c>
      <c r="F34" s="329" t="s">
        <v>513</v>
      </c>
    </row>
    <row r="36" spans="1:6" x14ac:dyDescent="0.2">
      <c r="A36" s="1" t="s">
        <v>1579</v>
      </c>
    </row>
    <row r="37" spans="1:6" x14ac:dyDescent="0.2">
      <c r="A37" s="1" t="s">
        <v>743</v>
      </c>
      <c r="B37" s="1" t="s">
        <v>834</v>
      </c>
    </row>
    <row r="38" spans="1:6" x14ac:dyDescent="0.2">
      <c r="A38" s="151">
        <v>45323</v>
      </c>
      <c r="B38" s="1" t="s">
        <v>1573</v>
      </c>
    </row>
    <row r="39" spans="1:6" x14ac:dyDescent="0.2">
      <c r="A39" s="151">
        <v>45383</v>
      </c>
      <c r="B39" s="1" t="s">
        <v>1574</v>
      </c>
    </row>
    <row r="40" spans="1:6" x14ac:dyDescent="0.2">
      <c r="B40" s="1" t="s">
        <v>1575</v>
      </c>
    </row>
    <row r="41" spans="1:6" x14ac:dyDescent="0.2">
      <c r="A41" s="151">
        <v>45444</v>
      </c>
      <c r="B41" s="1" t="s">
        <v>1576</v>
      </c>
    </row>
    <row r="42" spans="1:6" x14ac:dyDescent="0.2">
      <c r="A42" s="151">
        <v>45474</v>
      </c>
      <c r="B42" s="1" t="s">
        <v>1577</v>
      </c>
    </row>
    <row r="43" spans="1:6" x14ac:dyDescent="0.2">
      <c r="B43" s="1" t="s">
        <v>1578</v>
      </c>
    </row>
    <row r="44" spans="1:6" x14ac:dyDescent="0.2">
      <c r="A44" s="1">
        <v>2024</v>
      </c>
      <c r="B44" s="1" t="s">
        <v>1580</v>
      </c>
    </row>
    <row r="45" spans="1:6" x14ac:dyDescent="0.2">
      <c r="A45" s="1">
        <v>2024</v>
      </c>
      <c r="B45" s="1" t="s">
        <v>1581</v>
      </c>
    </row>
    <row r="46" spans="1:6" x14ac:dyDescent="0.2">
      <c r="B46" s="1" t="s">
        <v>1582</v>
      </c>
    </row>
    <row r="48" spans="1:6" x14ac:dyDescent="0.2">
      <c r="A48" s="1" t="s">
        <v>1583</v>
      </c>
    </row>
    <row r="50" spans="1:10" x14ac:dyDescent="0.2">
      <c r="A50" s="2" t="s">
        <v>715</v>
      </c>
      <c r="B50" s="2"/>
      <c r="C50" s="2"/>
      <c r="D50" s="2"/>
      <c r="E50" s="2"/>
      <c r="F50" s="2"/>
      <c r="G50" s="2"/>
      <c r="H50" s="2"/>
    </row>
    <row r="52" spans="1:10" x14ac:dyDescent="0.2">
      <c r="A52" s="5" t="s">
        <v>1584</v>
      </c>
      <c r="B52" s="5"/>
      <c r="C52" s="5"/>
      <c r="D52" s="5"/>
      <c r="E52" s="5"/>
      <c r="I52" s="1" t="s">
        <v>1590</v>
      </c>
    </row>
    <row r="54" spans="1:10" x14ac:dyDescent="0.2">
      <c r="A54" s="6" t="s">
        <v>743</v>
      </c>
      <c r="B54" s="6" t="s">
        <v>744</v>
      </c>
      <c r="C54" s="6" t="s">
        <v>1585</v>
      </c>
      <c r="D54" s="6" t="s">
        <v>1278</v>
      </c>
      <c r="E54" s="6" t="s">
        <v>1317</v>
      </c>
      <c r="F54" s="6" t="s">
        <v>1587</v>
      </c>
      <c r="G54" s="6"/>
      <c r="H54" s="6" t="s">
        <v>315</v>
      </c>
      <c r="J54" s="1" t="s">
        <v>1589</v>
      </c>
    </row>
    <row r="55" spans="1:10" x14ac:dyDescent="0.2">
      <c r="A55" s="151">
        <v>45291</v>
      </c>
      <c r="B55" s="1" t="s">
        <v>1586</v>
      </c>
      <c r="C55" s="30">
        <v>200000</v>
      </c>
      <c r="D55" s="30">
        <v>100000</v>
      </c>
      <c r="E55" s="30">
        <v>500000</v>
      </c>
      <c r="F55" s="30"/>
      <c r="G55" s="30"/>
      <c r="H55" s="30">
        <f>200000+100000+500000</f>
        <v>800000</v>
      </c>
    </row>
    <row r="56" spans="1:10" x14ac:dyDescent="0.2">
      <c r="A56" s="151">
        <v>45323</v>
      </c>
      <c r="B56" s="1" t="s">
        <v>1508</v>
      </c>
      <c r="C56" s="30"/>
      <c r="D56" s="30">
        <f>450000-300000</f>
        <v>150000</v>
      </c>
      <c r="E56" s="30"/>
      <c r="F56" s="30">
        <f>100000*3</f>
        <v>300000</v>
      </c>
      <c r="G56" s="30"/>
      <c r="H56" s="30">
        <v>450000</v>
      </c>
    </row>
    <row r="57" spans="1:10" x14ac:dyDescent="0.2">
      <c r="A57" s="151">
        <v>45383</v>
      </c>
      <c r="B57" s="1" t="s">
        <v>1508</v>
      </c>
      <c r="C57" s="30">
        <f>80000*1</f>
        <v>80000</v>
      </c>
      <c r="D57" s="30">
        <f>105000-80000</f>
        <v>25000</v>
      </c>
      <c r="E57" s="30"/>
      <c r="F57" s="30"/>
      <c r="G57" s="30"/>
      <c r="H57" s="30">
        <f>120000-15000</f>
        <v>105000</v>
      </c>
      <c r="J57" s="1" t="s">
        <v>1588</v>
      </c>
    </row>
    <row r="58" spans="1:10" x14ac:dyDescent="0.2">
      <c r="A58" s="151">
        <v>45444</v>
      </c>
      <c r="B58" s="1" t="s">
        <v>1510</v>
      </c>
      <c r="C58" s="30">
        <f>(200000+80000)*5%</f>
        <v>14000</v>
      </c>
      <c r="D58" s="30">
        <f>-(15000+14000)</f>
        <v>-29000</v>
      </c>
      <c r="E58" s="30"/>
      <c r="F58" s="30">
        <f>300000*5%</f>
        <v>15000</v>
      </c>
      <c r="G58" s="30"/>
      <c r="H58" s="30">
        <v>0</v>
      </c>
    </row>
    <row r="59" spans="1:10" x14ac:dyDescent="0.2">
      <c r="A59" s="151">
        <v>45474</v>
      </c>
      <c r="B59" s="1" t="s">
        <v>1483</v>
      </c>
      <c r="C59" s="30">
        <f>315000</f>
        <v>315000</v>
      </c>
      <c r="D59" s="30"/>
      <c r="E59" s="30"/>
      <c r="F59" s="30">
        <f>-(300000+15000)</f>
        <v>-315000</v>
      </c>
      <c r="G59" s="30"/>
      <c r="H59" s="30">
        <v>0</v>
      </c>
    </row>
    <row r="60" spans="1:10" x14ac:dyDescent="0.2">
      <c r="A60" s="1">
        <v>2024</v>
      </c>
      <c r="B60" s="1" t="s">
        <v>258</v>
      </c>
      <c r="C60" s="30"/>
      <c r="D60" s="30"/>
      <c r="E60" s="30">
        <v>300000</v>
      </c>
      <c r="F60" s="30"/>
      <c r="G60" s="30"/>
      <c r="H60" s="30">
        <f>E60</f>
        <v>300000</v>
      </c>
    </row>
    <row r="61" spans="1:10" x14ac:dyDescent="0.2">
      <c r="A61" s="1">
        <v>2024</v>
      </c>
      <c r="B61" s="1" t="s">
        <v>1514</v>
      </c>
      <c r="C61" s="30"/>
      <c r="D61" s="30"/>
      <c r="E61" s="30">
        <v>-75000</v>
      </c>
      <c r="F61" s="30"/>
      <c r="G61" s="30"/>
      <c r="H61" s="30">
        <f>E61</f>
        <v>-75000</v>
      </c>
    </row>
    <row r="62" spans="1:10" x14ac:dyDescent="0.2">
      <c r="A62" s="151">
        <v>45657</v>
      </c>
      <c r="B62" s="1" t="s">
        <v>1591</v>
      </c>
      <c r="C62" s="61">
        <f t="shared" ref="C62:H62" si="0">SUM(C55:C61)</f>
        <v>609000</v>
      </c>
      <c r="D62" s="61">
        <f t="shared" si="0"/>
        <v>246000</v>
      </c>
      <c r="E62" s="61">
        <f t="shared" si="0"/>
        <v>725000</v>
      </c>
      <c r="F62" s="61">
        <f t="shared" si="0"/>
        <v>0</v>
      </c>
      <c r="G62" s="61">
        <f t="shared" si="0"/>
        <v>0</v>
      </c>
      <c r="H62" s="61">
        <f t="shared" si="0"/>
        <v>1580000</v>
      </c>
    </row>
    <row r="63" spans="1:10" x14ac:dyDescent="0.2">
      <c r="C63" s="30"/>
      <c r="D63" s="30"/>
      <c r="E63" s="30"/>
      <c r="F63" s="30"/>
      <c r="G63" s="30"/>
      <c r="H63" s="30"/>
    </row>
    <row r="64" spans="1:10" x14ac:dyDescent="0.2">
      <c r="A64" s="328" t="s">
        <v>1592</v>
      </c>
      <c r="B64" s="328"/>
      <c r="C64" s="328"/>
      <c r="D64" s="328"/>
      <c r="E64" s="328"/>
      <c r="F64" s="328"/>
      <c r="G64" s="328"/>
      <c r="H64" s="328"/>
    </row>
    <row r="65" spans="1:7" x14ac:dyDescent="0.2">
      <c r="A65" s="1" t="s">
        <v>1595</v>
      </c>
    </row>
    <row r="66" spans="1:7" x14ac:dyDescent="0.2">
      <c r="A66" s="1" t="s">
        <v>1593</v>
      </c>
    </row>
    <row r="68" spans="1:7" x14ac:dyDescent="0.2">
      <c r="A68" s="1" t="s">
        <v>1594</v>
      </c>
    </row>
    <row r="70" spans="1:7" x14ac:dyDescent="0.2">
      <c r="A70" s="3" t="s">
        <v>715</v>
      </c>
    </row>
    <row r="72" spans="1:7" x14ac:dyDescent="0.2">
      <c r="A72" s="1" t="s">
        <v>1596</v>
      </c>
    </row>
    <row r="73" spans="1:7" x14ac:dyDescent="0.2">
      <c r="B73" s="1" t="s">
        <v>490</v>
      </c>
      <c r="C73" s="1" t="s">
        <v>1597</v>
      </c>
    </row>
    <row r="74" spans="1:7" x14ac:dyDescent="0.2">
      <c r="B74" s="1" t="s">
        <v>1278</v>
      </c>
      <c r="C74" s="1" t="s">
        <v>1598</v>
      </c>
    </row>
    <row r="75" spans="1:7" x14ac:dyDescent="0.2">
      <c r="B75" s="1" t="s">
        <v>1317</v>
      </c>
      <c r="C75" s="1" t="s">
        <v>1599</v>
      </c>
    </row>
    <row r="77" spans="1:7" x14ac:dyDescent="0.2">
      <c r="A77" s="190" t="s">
        <v>1610</v>
      </c>
    </row>
    <row r="78" spans="1:7" x14ac:dyDescent="0.2">
      <c r="A78" s="3" t="s">
        <v>1600</v>
      </c>
      <c r="B78" s="3"/>
      <c r="C78" s="3"/>
      <c r="D78" s="3"/>
      <c r="E78" s="3"/>
      <c r="F78" s="3"/>
      <c r="G78" s="3"/>
    </row>
    <row r="79" spans="1:7" x14ac:dyDescent="0.2">
      <c r="A79" s="3" t="s">
        <v>1601</v>
      </c>
      <c r="B79" s="3"/>
      <c r="C79" s="3"/>
      <c r="D79" s="3"/>
      <c r="E79" s="3"/>
      <c r="F79" s="3"/>
      <c r="G79" s="3"/>
    </row>
    <row r="81" spans="1:9" x14ac:dyDescent="0.2">
      <c r="A81" s="1" t="s">
        <v>1602</v>
      </c>
    </row>
    <row r="82" spans="1:9" x14ac:dyDescent="0.2">
      <c r="A82" s="1" t="s">
        <v>1603</v>
      </c>
    </row>
    <row r="83" spans="1:9" x14ac:dyDescent="0.2">
      <c r="A83" s="1" t="s">
        <v>1604</v>
      </c>
    </row>
    <row r="84" spans="1:9" x14ac:dyDescent="0.2">
      <c r="A84" s="1" t="s">
        <v>1605</v>
      </c>
    </row>
    <row r="86" spans="1:9" x14ac:dyDescent="0.2">
      <c r="C86" s="1" t="s">
        <v>834</v>
      </c>
      <c r="D86" s="1" t="s">
        <v>490</v>
      </c>
      <c r="E86" s="1" t="s">
        <v>1278</v>
      </c>
      <c r="F86" s="1" t="s">
        <v>1607</v>
      </c>
    </row>
    <row r="87" spans="1:9" x14ac:dyDescent="0.2">
      <c r="C87" s="1" t="s">
        <v>1606</v>
      </c>
      <c r="D87" s="72">
        <v>5000000</v>
      </c>
      <c r="E87" s="72">
        <f>1000000000-5000000</f>
        <v>995000000</v>
      </c>
      <c r="F87" s="72">
        <v>1000000000</v>
      </c>
    </row>
    <row r="89" spans="1:9" x14ac:dyDescent="0.2">
      <c r="A89" s="1" t="s">
        <v>1608</v>
      </c>
    </row>
    <row r="90" spans="1:9" x14ac:dyDescent="0.2">
      <c r="A90" s="1" t="s">
        <v>1609</v>
      </c>
    </row>
    <row r="92" spans="1:9" x14ac:dyDescent="0.2">
      <c r="A92" s="190" t="s">
        <v>1611</v>
      </c>
    </row>
    <row r="93" spans="1:9" x14ac:dyDescent="0.2">
      <c r="A93" s="3" t="s">
        <v>1612</v>
      </c>
      <c r="B93" s="3"/>
      <c r="C93" s="3"/>
      <c r="D93" s="3"/>
      <c r="E93" s="3"/>
      <c r="F93" s="3"/>
      <c r="G93" s="3"/>
    </row>
    <row r="94" spans="1:9" x14ac:dyDescent="0.2">
      <c r="A94" s="1" t="s">
        <v>1613</v>
      </c>
    </row>
    <row r="96" spans="1:9" x14ac:dyDescent="0.2">
      <c r="B96" s="1" t="s">
        <v>1614</v>
      </c>
      <c r="E96" s="1" t="s">
        <v>1617</v>
      </c>
      <c r="I96" s="1" t="s">
        <v>1618</v>
      </c>
    </row>
    <row r="97" spans="1:11" x14ac:dyDescent="0.2">
      <c r="B97" s="1" t="s">
        <v>33</v>
      </c>
      <c r="C97" s="1" t="s">
        <v>1615</v>
      </c>
      <c r="E97" s="1" t="s">
        <v>33</v>
      </c>
      <c r="F97" s="393" t="s">
        <v>36</v>
      </c>
      <c r="G97" s="393"/>
      <c r="I97" s="1" t="s">
        <v>33</v>
      </c>
      <c r="J97" s="393" t="s">
        <v>36</v>
      </c>
      <c r="K97" s="393"/>
    </row>
    <row r="98" spans="1:11" x14ac:dyDescent="0.2">
      <c r="B98" s="1">
        <v>0</v>
      </c>
      <c r="C98" s="1">
        <v>0</v>
      </c>
      <c r="E98" s="330" t="s">
        <v>1616</v>
      </c>
      <c r="F98" s="1" t="s">
        <v>490</v>
      </c>
      <c r="G98" s="72">
        <f>D87</f>
        <v>5000000</v>
      </c>
      <c r="I98" s="331" t="s">
        <v>1619</v>
      </c>
      <c r="J98" s="1" t="s">
        <v>490</v>
      </c>
      <c r="K98" s="72">
        <f>G98</f>
        <v>5000000</v>
      </c>
    </row>
    <row r="99" spans="1:11" x14ac:dyDescent="0.2">
      <c r="F99" s="1" t="s">
        <v>1278</v>
      </c>
      <c r="G99" s="72">
        <f>E87</f>
        <v>995000000</v>
      </c>
      <c r="J99" s="1" t="s">
        <v>1278</v>
      </c>
      <c r="K99" s="72">
        <f>G99</f>
        <v>995000000</v>
      </c>
    </row>
    <row r="101" spans="1:11" x14ac:dyDescent="0.2">
      <c r="I101" s="1" t="s">
        <v>1620</v>
      </c>
    </row>
    <row r="102" spans="1:11" x14ac:dyDescent="0.2">
      <c r="I102" s="1" t="s">
        <v>1621</v>
      </c>
    </row>
    <row r="105" spans="1:11" x14ac:dyDescent="0.2">
      <c r="A105" s="328" t="s">
        <v>1625</v>
      </c>
      <c r="B105" s="328"/>
      <c r="C105" s="328"/>
      <c r="D105" s="328"/>
      <c r="E105" s="328"/>
      <c r="F105" s="328"/>
      <c r="G105" s="328"/>
      <c r="H105" s="328"/>
    </row>
    <row r="107" spans="1:11" x14ac:dyDescent="0.2">
      <c r="A107" s="1" t="s">
        <v>1624</v>
      </c>
    </row>
    <row r="109" spans="1:11" x14ac:dyDescent="0.2">
      <c r="C109" s="1" t="s">
        <v>33</v>
      </c>
      <c r="F109" s="1" t="s">
        <v>275</v>
      </c>
    </row>
    <row r="110" spans="1:11" x14ac:dyDescent="0.2">
      <c r="C110" s="1" t="s">
        <v>80</v>
      </c>
      <c r="E110" s="1">
        <v>100</v>
      </c>
      <c r="F110" s="1" t="s">
        <v>100</v>
      </c>
      <c r="H110" s="1">
        <v>300</v>
      </c>
    </row>
    <row r="111" spans="1:11" x14ac:dyDescent="0.2">
      <c r="C111" s="1" t="s">
        <v>76</v>
      </c>
      <c r="E111" s="1">
        <v>200</v>
      </c>
      <c r="F111" s="1" t="s">
        <v>101</v>
      </c>
      <c r="H111" s="1">
        <v>50</v>
      </c>
    </row>
    <row r="112" spans="1:11" x14ac:dyDescent="0.2">
      <c r="C112" s="1" t="s">
        <v>1622</v>
      </c>
      <c r="E112" s="1">
        <v>50</v>
      </c>
    </row>
    <row r="113" spans="1:8" x14ac:dyDescent="0.2">
      <c r="C113" s="1" t="s">
        <v>1623</v>
      </c>
      <c r="E113" s="1">
        <v>50</v>
      </c>
      <c r="F113" s="1" t="s">
        <v>36</v>
      </c>
    </row>
    <row r="114" spans="1:8" x14ac:dyDescent="0.2">
      <c r="C114" s="1" t="s">
        <v>278</v>
      </c>
      <c r="E114" s="1">
        <f>SUM(E110:E113)</f>
        <v>400</v>
      </c>
      <c r="F114" s="1" t="s">
        <v>490</v>
      </c>
      <c r="H114" s="88">
        <v>5</v>
      </c>
    </row>
    <row r="115" spans="1:8" x14ac:dyDescent="0.2">
      <c r="F115" s="1" t="s">
        <v>1278</v>
      </c>
      <c r="H115" s="88">
        <v>15</v>
      </c>
    </row>
    <row r="116" spans="1:8" x14ac:dyDescent="0.2">
      <c r="F116" s="1" t="s">
        <v>1317</v>
      </c>
      <c r="H116" s="88" t="s">
        <v>513</v>
      </c>
    </row>
    <row r="118" spans="1:8" x14ac:dyDescent="0.2">
      <c r="A118" s="1" t="s">
        <v>1626</v>
      </c>
    </row>
    <row r="119" spans="1:8" x14ac:dyDescent="0.2">
      <c r="A119" s="1" t="s">
        <v>1627</v>
      </c>
    </row>
    <row r="120" spans="1:8" x14ac:dyDescent="0.2">
      <c r="A120" s="1" t="s">
        <v>1628</v>
      </c>
    </row>
    <row r="121" spans="1:8" x14ac:dyDescent="0.2">
      <c r="A121" s="1" t="s">
        <v>1629</v>
      </c>
    </row>
    <row r="122" spans="1:8" x14ac:dyDescent="0.2">
      <c r="A122" s="1" t="s">
        <v>1630</v>
      </c>
    </row>
    <row r="123" spans="1:8" x14ac:dyDescent="0.2">
      <c r="A123" s="1" t="s">
        <v>1631</v>
      </c>
    </row>
    <row r="125" spans="1:8" x14ac:dyDescent="0.2">
      <c r="A125" s="1" t="s">
        <v>1632</v>
      </c>
    </row>
    <row r="127" spans="1:8" x14ac:dyDescent="0.2">
      <c r="A127" s="1" t="s">
        <v>1633</v>
      </c>
    </row>
    <row r="128" spans="1:8" x14ac:dyDescent="0.2">
      <c r="A128" s="1" t="s">
        <v>1634</v>
      </c>
    </row>
    <row r="129" spans="1:8" x14ac:dyDescent="0.2">
      <c r="A129" s="1" t="s">
        <v>1635</v>
      </c>
    </row>
    <row r="130" spans="1:8" x14ac:dyDescent="0.2">
      <c r="B130" s="1" t="s">
        <v>1636</v>
      </c>
      <c r="E130" s="1" t="s">
        <v>1644</v>
      </c>
    </row>
    <row r="131" spans="1:8" x14ac:dyDescent="0.2">
      <c r="B131" s="1" t="s">
        <v>1637</v>
      </c>
    </row>
    <row r="133" spans="1:8" x14ac:dyDescent="0.2">
      <c r="A133" s="2" t="s">
        <v>1638</v>
      </c>
      <c r="B133" s="2"/>
      <c r="C133" s="2"/>
      <c r="D133" s="2"/>
      <c r="E133" s="2"/>
      <c r="F133" s="2"/>
      <c r="G133" s="2"/>
      <c r="H133" s="2"/>
    </row>
    <row r="134" spans="1:8" x14ac:dyDescent="0.2">
      <c r="A134" s="1" t="s">
        <v>1639</v>
      </c>
    </row>
    <row r="135" spans="1:8" x14ac:dyDescent="0.2">
      <c r="A135" s="1" t="s">
        <v>1640</v>
      </c>
    </row>
    <row r="136" spans="1:8" x14ac:dyDescent="0.2">
      <c r="A136" s="1" t="s">
        <v>1641</v>
      </c>
    </row>
    <row r="137" spans="1:8" x14ac:dyDescent="0.2">
      <c r="A137" s="1" t="s">
        <v>1642</v>
      </c>
    </row>
    <row r="138" spans="1:8" x14ac:dyDescent="0.2">
      <c r="A138" s="1" t="s">
        <v>1643</v>
      </c>
    </row>
  </sheetData>
  <mergeCells count="2">
    <mergeCell ref="F97:G97"/>
    <mergeCell ref="J97:K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005-B9E2-3F47-9BF1-27822E0144AD}">
  <dimension ref="A1:AB114"/>
  <sheetViews>
    <sheetView showGridLines="0" rightToLeft="1" topLeftCell="A83" zoomScale="160" zoomScaleNormal="290" workbookViewId="0">
      <selection activeCell="E100" sqref="E100"/>
    </sheetView>
  </sheetViews>
  <sheetFormatPr baseColWidth="10" defaultRowHeight="16" x14ac:dyDescent="0.2"/>
  <cols>
    <col min="1" max="16384" width="10.83203125" style="1"/>
  </cols>
  <sheetData>
    <row r="1" spans="1:8" x14ac:dyDescent="0.2">
      <c r="A1" s="94" t="s">
        <v>1645</v>
      </c>
      <c r="B1" s="94"/>
      <c r="C1" s="94"/>
      <c r="D1" s="94"/>
      <c r="E1" s="94"/>
      <c r="F1" s="94"/>
      <c r="G1" s="94"/>
      <c r="H1" s="94"/>
    </row>
    <row r="2" spans="1:8" x14ac:dyDescent="0.2">
      <c r="H2" s="334" t="s">
        <v>1664</v>
      </c>
    </row>
    <row r="68" spans="1:28" ht="17" thickBot="1" x14ac:dyDescent="0.25"/>
    <row r="69" spans="1:28" ht="17" thickBot="1" x14ac:dyDescent="0.25">
      <c r="A69" s="235" t="s">
        <v>1704</v>
      </c>
      <c r="B69" s="332"/>
      <c r="C69" s="332"/>
      <c r="D69" s="332"/>
      <c r="E69" s="332"/>
      <c r="F69" s="332"/>
      <c r="G69" s="332"/>
      <c r="H69" s="333"/>
    </row>
    <row r="71" spans="1:28" x14ac:dyDescent="0.2">
      <c r="A71" s="1" t="s">
        <v>1659</v>
      </c>
    </row>
    <row r="72" spans="1:28" x14ac:dyDescent="0.2">
      <c r="A72" s="1" t="s">
        <v>1660</v>
      </c>
    </row>
    <row r="74" spans="1:28" x14ac:dyDescent="0.2">
      <c r="A74" s="1" t="s">
        <v>197</v>
      </c>
      <c r="D74" s="1" t="s">
        <v>446</v>
      </c>
      <c r="F74" s="389" t="s">
        <v>1666</v>
      </c>
      <c r="G74" s="389"/>
      <c r="H74" s="389"/>
      <c r="I74" s="389"/>
      <c r="J74" s="389"/>
      <c r="K74" s="389"/>
      <c r="O74" s="3" t="s">
        <v>1665</v>
      </c>
      <c r="P74" s="3"/>
    </row>
    <row r="75" spans="1:28" x14ac:dyDescent="0.2">
      <c r="A75" s="1" t="s">
        <v>453</v>
      </c>
      <c r="D75" s="349">
        <v>5</v>
      </c>
      <c r="O75" s="1" t="s">
        <v>1678</v>
      </c>
    </row>
    <row r="76" spans="1:28" x14ac:dyDescent="0.2">
      <c r="A76" s="1" t="s">
        <v>1663</v>
      </c>
      <c r="D76" s="1">
        <v>5</v>
      </c>
      <c r="F76" s="236" t="s">
        <v>33</v>
      </c>
      <c r="G76" s="236"/>
      <c r="H76" s="236"/>
      <c r="I76" s="335" t="s">
        <v>275</v>
      </c>
      <c r="J76" s="335"/>
      <c r="K76" s="345"/>
      <c r="Q76" s="17" t="s">
        <v>1679</v>
      </c>
    </row>
    <row r="77" spans="1:28" x14ac:dyDescent="0.2">
      <c r="A77" s="1" t="s">
        <v>1658</v>
      </c>
      <c r="D77" s="212">
        <v>30</v>
      </c>
      <c r="O77" s="1" t="s">
        <v>1676</v>
      </c>
      <c r="Q77" s="4">
        <f>700-60</f>
        <v>640</v>
      </c>
      <c r="R77" s="1" t="s">
        <v>1680</v>
      </c>
    </row>
    <row r="78" spans="1:28" x14ac:dyDescent="0.2">
      <c r="A78" s="1" t="s">
        <v>409</v>
      </c>
      <c r="D78" s="1">
        <v>30</v>
      </c>
      <c r="F78" s="336" t="s">
        <v>276</v>
      </c>
      <c r="G78" s="336"/>
      <c r="H78" s="336"/>
      <c r="I78" s="341" t="s">
        <v>525</v>
      </c>
      <c r="J78" s="341"/>
      <c r="K78" s="341"/>
      <c r="O78" s="1" t="s">
        <v>216</v>
      </c>
      <c r="Q78" s="19">
        <v>-55</v>
      </c>
      <c r="R78" s="1" t="s">
        <v>1681</v>
      </c>
      <c r="W78" s="1" t="s">
        <v>1682</v>
      </c>
      <c r="AB78" s="30">
        <v>30</v>
      </c>
    </row>
    <row r="79" spans="1:28" x14ac:dyDescent="0.2">
      <c r="A79" s="1" t="s">
        <v>80</v>
      </c>
      <c r="D79" s="212">
        <v>40</v>
      </c>
      <c r="F79" s="1" t="s">
        <v>80</v>
      </c>
      <c r="H79" s="1">
        <v>40</v>
      </c>
      <c r="I79" s="1" t="s">
        <v>220</v>
      </c>
      <c r="K79" s="1">
        <f>50</f>
        <v>50</v>
      </c>
      <c r="O79" s="1" t="s">
        <v>248</v>
      </c>
      <c r="Q79" s="329">
        <f>640-55</f>
        <v>585</v>
      </c>
      <c r="R79" s="1" t="s">
        <v>1685</v>
      </c>
      <c r="W79" s="1" t="s">
        <v>1684</v>
      </c>
      <c r="AB79" s="350">
        <f>250+0-20-5</f>
        <v>225</v>
      </c>
    </row>
    <row r="80" spans="1:28" x14ac:dyDescent="0.2">
      <c r="A80" s="1" t="s">
        <v>220</v>
      </c>
      <c r="D80" s="342">
        <v>50</v>
      </c>
      <c r="F80" s="1" t="s">
        <v>1667</v>
      </c>
      <c r="H80" s="1">
        <f>300-30</f>
        <v>270</v>
      </c>
      <c r="I80" s="1" t="s">
        <v>100</v>
      </c>
      <c r="K80" s="1">
        <v>100</v>
      </c>
      <c r="O80" s="1" t="s">
        <v>249</v>
      </c>
      <c r="Q80" s="19">
        <f>-(92+14+22*50%+10*60%)</f>
        <v>-123</v>
      </c>
      <c r="R80" s="1" t="s">
        <v>1686</v>
      </c>
      <c r="W80" s="1" t="s">
        <v>1683</v>
      </c>
      <c r="AB80" s="30">
        <v>-200</v>
      </c>
    </row>
    <row r="81" spans="1:28" x14ac:dyDescent="0.2">
      <c r="A81" s="1" t="s">
        <v>1656</v>
      </c>
      <c r="D81" s="1">
        <v>53</v>
      </c>
      <c r="F81" s="1" t="s">
        <v>1416</v>
      </c>
      <c r="H81" s="1">
        <v>500</v>
      </c>
      <c r="I81" s="1" t="s">
        <v>287</v>
      </c>
      <c r="K81" s="339">
        <f>50+100</f>
        <v>150</v>
      </c>
      <c r="O81" s="1" t="s">
        <v>250</v>
      </c>
      <c r="Q81" s="19">
        <f>-(53+22*50%+23+10*40%+30)</f>
        <v>-121</v>
      </c>
      <c r="R81" s="1" t="s">
        <v>1687</v>
      </c>
      <c r="W81" s="1" t="s">
        <v>432</v>
      </c>
      <c r="AB81" s="61">
        <f>30+225-200</f>
        <v>55</v>
      </c>
    </row>
    <row r="82" spans="1:28" x14ac:dyDescent="0.2">
      <c r="A82" s="1" t="s">
        <v>309</v>
      </c>
      <c r="D82" s="1">
        <v>60</v>
      </c>
      <c r="F82" s="1" t="s">
        <v>1668</v>
      </c>
      <c r="H82" s="1">
        <v>200</v>
      </c>
      <c r="O82" s="1" t="s">
        <v>251</v>
      </c>
      <c r="Q82" s="4">
        <f>5</f>
        <v>5</v>
      </c>
      <c r="R82" s="1" t="s">
        <v>1688</v>
      </c>
    </row>
    <row r="83" spans="1:28" x14ac:dyDescent="0.2">
      <c r="A83" s="1" t="s">
        <v>1278</v>
      </c>
      <c r="D83" s="346">
        <v>70</v>
      </c>
      <c r="F83" s="1" t="s">
        <v>283</v>
      </c>
      <c r="H83" s="339">
        <f>40+270+500+200</f>
        <v>1010</v>
      </c>
      <c r="O83" s="1" t="s">
        <v>252</v>
      </c>
      <c r="Q83" s="4">
        <v>0</v>
      </c>
      <c r="R83" s="1" t="s">
        <v>1689</v>
      </c>
    </row>
    <row r="84" spans="1:28" x14ac:dyDescent="0.2">
      <c r="A84" s="1" t="s">
        <v>1657</v>
      </c>
      <c r="D84" s="1">
        <v>80</v>
      </c>
      <c r="M84" s="1" t="s">
        <v>1675</v>
      </c>
      <c r="O84" s="1" t="s">
        <v>253</v>
      </c>
      <c r="Q84" s="329">
        <f>585-123-121+5-0</f>
        <v>346</v>
      </c>
      <c r="R84" s="1" t="s">
        <v>1690</v>
      </c>
    </row>
    <row r="85" spans="1:28" x14ac:dyDescent="0.2">
      <c r="A85" s="1" t="s">
        <v>1655</v>
      </c>
      <c r="D85" s="94">
        <v>92</v>
      </c>
      <c r="F85" s="337" t="s">
        <v>277</v>
      </c>
      <c r="G85" s="337"/>
      <c r="H85" s="337"/>
      <c r="I85" s="344" t="s">
        <v>526</v>
      </c>
      <c r="J85" s="343"/>
      <c r="K85" s="343"/>
      <c r="M85" s="1">
        <f>150+180</f>
        <v>330</v>
      </c>
      <c r="O85" s="1" t="s">
        <v>254</v>
      </c>
      <c r="Q85" s="19">
        <f>-(14)</f>
        <v>-14</v>
      </c>
      <c r="R85" s="1" t="s">
        <v>1691</v>
      </c>
    </row>
    <row r="86" spans="1:28" x14ac:dyDescent="0.2">
      <c r="A86" s="1" t="s">
        <v>100</v>
      </c>
      <c r="D86" s="342">
        <v>100</v>
      </c>
      <c r="F86" s="1" t="s">
        <v>1669</v>
      </c>
      <c r="H86" s="1">
        <f>800-100</f>
        <v>700</v>
      </c>
      <c r="I86" s="1" t="s">
        <v>101</v>
      </c>
      <c r="K86" s="1">
        <v>180</v>
      </c>
      <c r="O86" s="1" t="s">
        <v>255</v>
      </c>
      <c r="Q86" s="4">
        <f>15</f>
        <v>15</v>
      </c>
      <c r="R86" s="1" t="s">
        <v>1692</v>
      </c>
    </row>
    <row r="87" spans="1:28" x14ac:dyDescent="0.2">
      <c r="A87" s="1" t="s">
        <v>1649</v>
      </c>
      <c r="D87" s="338">
        <v>100</v>
      </c>
      <c r="F87" s="1" t="s">
        <v>1417</v>
      </c>
      <c r="H87" s="1">
        <v>230</v>
      </c>
      <c r="I87" s="1" t="s">
        <v>1672</v>
      </c>
      <c r="K87" s="339">
        <f>180</f>
        <v>180</v>
      </c>
      <c r="O87" s="1" t="s">
        <v>1677</v>
      </c>
      <c r="Q87" s="329">
        <f>346-14+15</f>
        <v>347</v>
      </c>
      <c r="R87" s="1" t="s">
        <v>1693</v>
      </c>
    </row>
    <row r="88" spans="1:28" x14ac:dyDescent="0.2">
      <c r="A88" s="1" t="s">
        <v>1322</v>
      </c>
      <c r="D88" s="94">
        <v>14</v>
      </c>
      <c r="F88" s="1" t="s">
        <v>112</v>
      </c>
      <c r="H88" s="1">
        <f>950</f>
        <v>950</v>
      </c>
      <c r="O88" s="1" t="s">
        <v>257</v>
      </c>
      <c r="Q88" s="19">
        <v>-80</v>
      </c>
    </row>
    <row r="89" spans="1:28" x14ac:dyDescent="0.2">
      <c r="A89" s="1" t="s">
        <v>109</v>
      </c>
      <c r="D89" s="1">
        <v>14</v>
      </c>
      <c r="F89" s="1" t="s">
        <v>1670</v>
      </c>
      <c r="H89" s="339">
        <f>700+230+950</f>
        <v>1880</v>
      </c>
      <c r="O89" s="1" t="s">
        <v>258</v>
      </c>
      <c r="Q89" s="71">
        <f>347-80</f>
        <v>267</v>
      </c>
      <c r="R89" s="1" t="s">
        <v>1694</v>
      </c>
    </row>
    <row r="90" spans="1:28" x14ac:dyDescent="0.2">
      <c r="A90" s="1" t="s">
        <v>1653</v>
      </c>
      <c r="D90" s="94">
        <v>22</v>
      </c>
      <c r="I90" s="347" t="s">
        <v>36</v>
      </c>
      <c r="J90" s="346"/>
      <c r="K90" s="346"/>
    </row>
    <row r="91" spans="1:28" x14ac:dyDescent="0.2">
      <c r="A91" s="1" t="s">
        <v>203</v>
      </c>
      <c r="D91" s="1">
        <v>15</v>
      </c>
      <c r="I91" s="1" t="s">
        <v>490</v>
      </c>
      <c r="K91" s="1">
        <v>215</v>
      </c>
      <c r="N91" s="3" t="s">
        <v>1695</v>
      </c>
    </row>
    <row r="92" spans="1:28" x14ac:dyDescent="0.2">
      <c r="A92" s="1" t="s">
        <v>438</v>
      </c>
      <c r="D92" s="349">
        <v>20</v>
      </c>
      <c r="I92" s="1" t="s">
        <v>1278</v>
      </c>
      <c r="K92" s="1">
        <v>70</v>
      </c>
      <c r="N92" s="1" t="s">
        <v>1698</v>
      </c>
      <c r="P92" s="4" t="s">
        <v>25</v>
      </c>
      <c r="Q92" s="351">
        <f>2275-267-0</f>
        <v>2008</v>
      </c>
    </row>
    <row r="93" spans="1:28" x14ac:dyDescent="0.2">
      <c r="A93" s="1" t="s">
        <v>1323</v>
      </c>
      <c r="D93" s="1">
        <v>23</v>
      </c>
      <c r="I93" s="1" t="s">
        <v>1317</v>
      </c>
      <c r="K93" s="348">
        <f>2560-215-70</f>
        <v>2275</v>
      </c>
      <c r="N93" s="1" t="s">
        <v>1699</v>
      </c>
      <c r="P93" s="4" t="s">
        <v>25</v>
      </c>
      <c r="Q93" s="19">
        <f>Q89</f>
        <v>267</v>
      </c>
    </row>
    <row r="94" spans="1:28" x14ac:dyDescent="0.2">
      <c r="A94" s="1" t="s">
        <v>101</v>
      </c>
      <c r="D94" s="343">
        <v>180</v>
      </c>
      <c r="I94" s="1" t="s">
        <v>1507</v>
      </c>
      <c r="K94" s="339">
        <f>2890-330</f>
        <v>2560</v>
      </c>
      <c r="N94" s="1" t="s">
        <v>1700</v>
      </c>
      <c r="P94" s="4" t="s">
        <v>27</v>
      </c>
      <c r="Q94" s="4">
        <v>0</v>
      </c>
      <c r="R94" s="1" t="s">
        <v>1697</v>
      </c>
    </row>
    <row r="95" spans="1:28" x14ac:dyDescent="0.2">
      <c r="A95" s="1" t="s">
        <v>490</v>
      </c>
      <c r="D95" s="346">
        <v>215</v>
      </c>
      <c r="N95" s="1" t="s">
        <v>1701</v>
      </c>
      <c r="P95" s="4" t="s">
        <v>28</v>
      </c>
      <c r="Q95" s="71">
        <f>K93</f>
        <v>2275</v>
      </c>
      <c r="R95" s="1" t="s">
        <v>1696</v>
      </c>
    </row>
    <row r="96" spans="1:28" x14ac:dyDescent="0.2">
      <c r="A96" s="1" t="s">
        <v>1646</v>
      </c>
      <c r="D96" s="212">
        <v>200</v>
      </c>
      <c r="F96" s="3" t="s">
        <v>1671</v>
      </c>
      <c r="G96" s="3"/>
      <c r="H96" s="340">
        <f>1010+1880</f>
        <v>2890</v>
      </c>
      <c r="I96" s="3" t="s">
        <v>631</v>
      </c>
      <c r="K96" s="340">
        <f>2890</f>
        <v>2890</v>
      </c>
    </row>
    <row r="97" spans="1:9" x14ac:dyDescent="0.2">
      <c r="A97" s="1" t="s">
        <v>1647</v>
      </c>
      <c r="D97" s="1">
        <v>200</v>
      </c>
    </row>
    <row r="98" spans="1:9" x14ac:dyDescent="0.2">
      <c r="A98" s="1" t="s">
        <v>218</v>
      </c>
      <c r="D98" s="338">
        <v>230</v>
      </c>
      <c r="I98" s="1" t="s">
        <v>1673</v>
      </c>
    </row>
    <row r="99" spans="1:9" x14ac:dyDescent="0.2">
      <c r="A99" s="1" t="s">
        <v>1651</v>
      </c>
      <c r="D99" s="349">
        <v>250</v>
      </c>
      <c r="H99" s="1" t="s">
        <v>1674</v>
      </c>
    </row>
    <row r="100" spans="1:9" x14ac:dyDescent="0.2">
      <c r="A100" s="1" t="s">
        <v>674</v>
      </c>
      <c r="D100" s="212">
        <v>300</v>
      </c>
    </row>
    <row r="101" spans="1:9" x14ac:dyDescent="0.2">
      <c r="A101" s="1" t="s">
        <v>1416</v>
      </c>
      <c r="D101" s="212">
        <v>500</v>
      </c>
    </row>
    <row r="102" spans="1:9" x14ac:dyDescent="0.2">
      <c r="A102" s="1" t="s">
        <v>212</v>
      </c>
      <c r="D102" s="1">
        <v>700</v>
      </c>
    </row>
    <row r="103" spans="1:9" x14ac:dyDescent="0.2">
      <c r="A103" s="1" t="s">
        <v>1648</v>
      </c>
      <c r="D103" s="338">
        <v>800</v>
      </c>
    </row>
    <row r="104" spans="1:9" x14ac:dyDescent="0.2">
      <c r="A104" s="1" t="s">
        <v>1652</v>
      </c>
      <c r="D104" s="94">
        <v>10</v>
      </c>
    </row>
    <row r="105" spans="1:9" x14ac:dyDescent="0.2">
      <c r="A105" s="1" t="s">
        <v>1654</v>
      </c>
      <c r="D105" s="1">
        <v>30</v>
      </c>
    </row>
    <row r="106" spans="1:9" x14ac:dyDescent="0.2">
      <c r="A106" s="1" t="s">
        <v>112</v>
      </c>
      <c r="D106" s="338">
        <v>950</v>
      </c>
    </row>
    <row r="107" spans="1:9" x14ac:dyDescent="0.2">
      <c r="A107" s="1" t="s">
        <v>1650</v>
      </c>
      <c r="D107" s="88" t="s">
        <v>513</v>
      </c>
    </row>
    <row r="109" spans="1:9" x14ac:dyDescent="0.2">
      <c r="A109" s="1" t="s">
        <v>560</v>
      </c>
    </row>
    <row r="110" spans="1:9" x14ac:dyDescent="0.2">
      <c r="A110" s="1" t="s">
        <v>1661</v>
      </c>
    </row>
    <row r="111" spans="1:9" x14ac:dyDescent="0.2">
      <c r="A111" s="1" t="s">
        <v>1662</v>
      </c>
    </row>
    <row r="113" spans="1:1" x14ac:dyDescent="0.2">
      <c r="A113" s="3" t="s">
        <v>1702</v>
      </c>
    </row>
    <row r="114" spans="1:1" x14ac:dyDescent="0.2">
      <c r="A114" s="3" t="s">
        <v>1703</v>
      </c>
    </row>
  </sheetData>
  <sortState xmlns:xlrd2="http://schemas.microsoft.com/office/spreadsheetml/2017/richdata2" ref="A75:D107">
    <sortCondition ref="D75:D107"/>
  </sortState>
  <mergeCells count="1">
    <mergeCell ref="F74:K74"/>
  </mergeCells>
  <hyperlinks>
    <hyperlink ref="H2" r:id="rId1" xr:uid="{45E99EAA-A40E-FA48-A5B7-C09AAA4665E4}"/>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AEE3-0DF8-4B44-A8A4-B3DE0EE0E0AD}">
  <dimension ref="A1:AB253"/>
  <sheetViews>
    <sheetView showGridLines="0" rightToLeft="1" topLeftCell="A110" zoomScale="143" zoomScaleNormal="290" workbookViewId="0">
      <selection activeCell="D130" sqref="D130"/>
    </sheetView>
  </sheetViews>
  <sheetFormatPr baseColWidth="10" defaultRowHeight="16" x14ac:dyDescent="0.2"/>
  <cols>
    <col min="1" max="16384" width="10.83203125" style="1"/>
  </cols>
  <sheetData>
    <row r="1" spans="1:8" x14ac:dyDescent="0.2">
      <c r="A1" s="94" t="s">
        <v>1705</v>
      </c>
      <c r="B1" s="94"/>
      <c r="C1" s="94"/>
      <c r="D1" s="94"/>
      <c r="E1" s="94"/>
      <c r="F1" s="94"/>
      <c r="G1" s="94"/>
      <c r="H1" s="94"/>
    </row>
    <row r="2" spans="1:8" x14ac:dyDescent="0.2">
      <c r="H2" s="334" t="s">
        <v>1664</v>
      </c>
    </row>
    <row r="78" spans="1:8" ht="17" thickBot="1" x14ac:dyDescent="0.25"/>
    <row r="79" spans="1:8" ht="17" thickBot="1" x14ac:dyDescent="0.25">
      <c r="A79" s="235" t="s">
        <v>1706</v>
      </c>
      <c r="B79" s="332"/>
      <c r="C79" s="332"/>
      <c r="D79" s="332"/>
      <c r="E79" s="332"/>
      <c r="F79" s="332"/>
      <c r="G79" s="332"/>
      <c r="H79" s="333"/>
    </row>
    <row r="81" spans="1:28" x14ac:dyDescent="0.2">
      <c r="A81" s="1" t="s">
        <v>1659</v>
      </c>
    </row>
    <row r="82" spans="1:28" x14ac:dyDescent="0.2">
      <c r="A82" s="1" t="s">
        <v>1660</v>
      </c>
    </row>
    <row r="84" spans="1:28" x14ac:dyDescent="0.2">
      <c r="A84" s="1" t="s">
        <v>197</v>
      </c>
      <c r="D84" s="1" t="s">
        <v>446</v>
      </c>
      <c r="F84" s="389" t="s">
        <v>1666</v>
      </c>
      <c r="G84" s="389"/>
      <c r="H84" s="389"/>
      <c r="I84" s="389"/>
      <c r="J84" s="389"/>
      <c r="K84" s="389"/>
      <c r="O84" s="3" t="s">
        <v>1665</v>
      </c>
      <c r="P84" s="3"/>
    </row>
    <row r="85" spans="1:28" x14ac:dyDescent="0.2">
      <c r="A85" s="1" t="s">
        <v>453</v>
      </c>
      <c r="D85" s="349">
        <v>5</v>
      </c>
      <c r="O85" s="1" t="s">
        <v>1678</v>
      </c>
    </row>
    <row r="86" spans="1:28" x14ac:dyDescent="0.2">
      <c r="A86" s="1" t="s">
        <v>1663</v>
      </c>
      <c r="D86" s="1">
        <v>5</v>
      </c>
      <c r="F86" s="236" t="s">
        <v>33</v>
      </c>
      <c r="G86" s="236"/>
      <c r="H86" s="236"/>
      <c r="I86" s="335" t="s">
        <v>275</v>
      </c>
      <c r="J86" s="335"/>
      <c r="K86" s="345"/>
      <c r="Q86" s="17" t="s">
        <v>1679</v>
      </c>
    </row>
    <row r="87" spans="1:28" x14ac:dyDescent="0.2">
      <c r="A87" s="1" t="s">
        <v>1658</v>
      </c>
      <c r="D87" s="212">
        <v>30</v>
      </c>
      <c r="O87" s="1" t="s">
        <v>1676</v>
      </c>
      <c r="Q87" s="4">
        <f>700-60</f>
        <v>640</v>
      </c>
      <c r="R87" s="1" t="s">
        <v>1680</v>
      </c>
    </row>
    <row r="88" spans="1:28" x14ac:dyDescent="0.2">
      <c r="A88" s="1" t="s">
        <v>409</v>
      </c>
      <c r="D88" s="1">
        <v>30</v>
      </c>
      <c r="F88" s="336" t="s">
        <v>276</v>
      </c>
      <c r="G88" s="336"/>
      <c r="H88" s="336"/>
      <c r="I88" s="341" t="s">
        <v>525</v>
      </c>
      <c r="J88" s="341"/>
      <c r="K88" s="341"/>
      <c r="O88" s="1" t="s">
        <v>216</v>
      </c>
      <c r="Q88" s="19">
        <v>-55</v>
      </c>
      <c r="R88" s="1" t="s">
        <v>1681</v>
      </c>
      <c r="W88" s="1" t="s">
        <v>1682</v>
      </c>
      <c r="AB88" s="30">
        <v>30</v>
      </c>
    </row>
    <row r="89" spans="1:28" x14ac:dyDescent="0.2">
      <c r="A89" s="1" t="s">
        <v>80</v>
      </c>
      <c r="D89" s="212">
        <v>40</v>
      </c>
      <c r="F89" s="1" t="s">
        <v>80</v>
      </c>
      <c r="H89" s="1">
        <v>40</v>
      </c>
      <c r="I89" s="1" t="s">
        <v>220</v>
      </c>
      <c r="K89" s="1">
        <f>50</f>
        <v>50</v>
      </c>
      <c r="O89" s="1" t="s">
        <v>248</v>
      </c>
      <c r="Q89" s="329">
        <f>640-55</f>
        <v>585</v>
      </c>
      <c r="R89" s="1" t="s">
        <v>1685</v>
      </c>
      <c r="W89" s="1" t="s">
        <v>1684</v>
      </c>
      <c r="AB89" s="350">
        <f>250+0-20-5</f>
        <v>225</v>
      </c>
    </row>
    <row r="90" spans="1:28" x14ac:dyDescent="0.2">
      <c r="A90" s="1" t="s">
        <v>220</v>
      </c>
      <c r="D90" s="342">
        <v>50</v>
      </c>
      <c r="F90" s="1" t="s">
        <v>1667</v>
      </c>
      <c r="H90" s="1">
        <f>300-30</f>
        <v>270</v>
      </c>
      <c r="I90" s="1" t="s">
        <v>100</v>
      </c>
      <c r="K90" s="1">
        <v>100</v>
      </c>
      <c r="O90" s="1" t="s">
        <v>249</v>
      </c>
      <c r="Q90" s="19">
        <f>-(92+14+22*50%+10*60%)</f>
        <v>-123</v>
      </c>
      <c r="R90" s="1" t="s">
        <v>1686</v>
      </c>
      <c r="W90" s="1" t="s">
        <v>1683</v>
      </c>
      <c r="AB90" s="30">
        <v>-200</v>
      </c>
    </row>
    <row r="91" spans="1:28" x14ac:dyDescent="0.2">
      <c r="A91" s="1" t="s">
        <v>1656</v>
      </c>
      <c r="D91" s="1">
        <v>53</v>
      </c>
      <c r="F91" s="1" t="s">
        <v>1416</v>
      </c>
      <c r="H91" s="1">
        <v>500</v>
      </c>
      <c r="I91" s="1" t="s">
        <v>287</v>
      </c>
      <c r="K91" s="339">
        <f>50+100</f>
        <v>150</v>
      </c>
      <c r="O91" s="1" t="s">
        <v>250</v>
      </c>
      <c r="Q91" s="19">
        <f>-(53+22*50%+23+10*40%+30)</f>
        <v>-121</v>
      </c>
      <c r="R91" s="1" t="s">
        <v>1687</v>
      </c>
      <c r="W91" s="1" t="s">
        <v>432</v>
      </c>
      <c r="AB91" s="61">
        <f>30+225-200</f>
        <v>55</v>
      </c>
    </row>
    <row r="92" spans="1:28" x14ac:dyDescent="0.2">
      <c r="A92" s="1" t="s">
        <v>309</v>
      </c>
      <c r="D92" s="1">
        <v>60</v>
      </c>
      <c r="F92" s="1" t="s">
        <v>1668</v>
      </c>
      <c r="H92" s="1">
        <v>200</v>
      </c>
      <c r="O92" s="1" t="s">
        <v>251</v>
      </c>
      <c r="Q92" s="4">
        <f>5</f>
        <v>5</v>
      </c>
      <c r="R92" s="1" t="s">
        <v>1688</v>
      </c>
    </row>
    <row r="93" spans="1:28" x14ac:dyDescent="0.2">
      <c r="A93" s="1" t="s">
        <v>1278</v>
      </c>
      <c r="D93" s="346">
        <v>70</v>
      </c>
      <c r="F93" s="1" t="s">
        <v>283</v>
      </c>
      <c r="H93" s="339">
        <f>40+270+500+200</f>
        <v>1010</v>
      </c>
      <c r="O93" s="1" t="s">
        <v>252</v>
      </c>
      <c r="Q93" s="4">
        <v>0</v>
      </c>
      <c r="R93" s="1" t="s">
        <v>1689</v>
      </c>
    </row>
    <row r="94" spans="1:28" x14ac:dyDescent="0.2">
      <c r="A94" s="1" t="s">
        <v>1657</v>
      </c>
      <c r="D94" s="1">
        <v>80</v>
      </c>
      <c r="M94" s="1" t="s">
        <v>1675</v>
      </c>
      <c r="O94" s="1" t="s">
        <v>253</v>
      </c>
      <c r="Q94" s="329">
        <f>585-123-121+5-0</f>
        <v>346</v>
      </c>
      <c r="R94" s="1" t="s">
        <v>1690</v>
      </c>
    </row>
    <row r="95" spans="1:28" x14ac:dyDescent="0.2">
      <c r="A95" s="1" t="s">
        <v>1655</v>
      </c>
      <c r="D95" s="94">
        <v>92</v>
      </c>
      <c r="F95" s="337" t="s">
        <v>277</v>
      </c>
      <c r="G95" s="337"/>
      <c r="H95" s="337"/>
      <c r="I95" s="344" t="s">
        <v>526</v>
      </c>
      <c r="J95" s="343"/>
      <c r="K95" s="343"/>
      <c r="M95" s="1">
        <f>150+180</f>
        <v>330</v>
      </c>
      <c r="O95" s="1" t="s">
        <v>254</v>
      </c>
      <c r="Q95" s="19">
        <f>-(14)</f>
        <v>-14</v>
      </c>
      <c r="R95" s="1" t="s">
        <v>1691</v>
      </c>
    </row>
    <row r="96" spans="1:28" x14ac:dyDescent="0.2">
      <c r="A96" s="1" t="s">
        <v>100</v>
      </c>
      <c r="D96" s="342">
        <v>100</v>
      </c>
      <c r="F96" s="1" t="s">
        <v>1669</v>
      </c>
      <c r="H96" s="1">
        <f>800-100</f>
        <v>700</v>
      </c>
      <c r="I96" s="1" t="s">
        <v>101</v>
      </c>
      <c r="K96" s="1">
        <v>180</v>
      </c>
      <c r="O96" s="1" t="s">
        <v>255</v>
      </c>
      <c r="Q96" s="4">
        <f>15</f>
        <v>15</v>
      </c>
      <c r="R96" s="1" t="s">
        <v>1692</v>
      </c>
    </row>
    <row r="97" spans="1:18" x14ac:dyDescent="0.2">
      <c r="A97" s="1" t="s">
        <v>1649</v>
      </c>
      <c r="D97" s="338">
        <v>100</v>
      </c>
      <c r="F97" s="1" t="s">
        <v>1417</v>
      </c>
      <c r="H97" s="1">
        <v>230</v>
      </c>
      <c r="I97" s="1" t="s">
        <v>1672</v>
      </c>
      <c r="K97" s="339">
        <f>180</f>
        <v>180</v>
      </c>
      <c r="O97" s="1" t="s">
        <v>1677</v>
      </c>
      <c r="Q97" s="329">
        <f>346-14+15</f>
        <v>347</v>
      </c>
      <c r="R97" s="1" t="s">
        <v>1693</v>
      </c>
    </row>
    <row r="98" spans="1:18" x14ac:dyDescent="0.2">
      <c r="A98" s="1" t="s">
        <v>1322</v>
      </c>
      <c r="D98" s="94">
        <v>14</v>
      </c>
      <c r="F98" s="1" t="s">
        <v>112</v>
      </c>
      <c r="H98" s="1">
        <f>950</f>
        <v>950</v>
      </c>
      <c r="O98" s="1" t="s">
        <v>257</v>
      </c>
      <c r="Q98" s="19">
        <v>-80</v>
      </c>
    </row>
    <row r="99" spans="1:18" x14ac:dyDescent="0.2">
      <c r="A99" s="1" t="s">
        <v>109</v>
      </c>
      <c r="D99" s="1">
        <v>14</v>
      </c>
      <c r="F99" s="1" t="s">
        <v>1670</v>
      </c>
      <c r="H99" s="339">
        <f>700+230+950</f>
        <v>1880</v>
      </c>
      <c r="O99" s="1" t="s">
        <v>258</v>
      </c>
      <c r="Q99" s="71">
        <f>347-80</f>
        <v>267</v>
      </c>
      <c r="R99" s="1" t="s">
        <v>1694</v>
      </c>
    </row>
    <row r="100" spans="1:18" x14ac:dyDescent="0.2">
      <c r="A100" s="1" t="s">
        <v>1653</v>
      </c>
      <c r="D100" s="94">
        <v>22</v>
      </c>
      <c r="I100" s="347" t="s">
        <v>36</v>
      </c>
      <c r="J100" s="346"/>
      <c r="K100" s="346"/>
    </row>
    <row r="101" spans="1:18" x14ac:dyDescent="0.2">
      <c r="A101" s="1" t="s">
        <v>203</v>
      </c>
      <c r="D101" s="1">
        <v>15</v>
      </c>
      <c r="I101" s="1" t="s">
        <v>490</v>
      </c>
      <c r="K101" s="1">
        <v>215</v>
      </c>
      <c r="N101" s="3" t="s">
        <v>1695</v>
      </c>
    </row>
    <row r="102" spans="1:18" x14ac:dyDescent="0.2">
      <c r="A102" s="1" t="s">
        <v>438</v>
      </c>
      <c r="D102" s="349">
        <v>20</v>
      </c>
      <c r="I102" s="1" t="s">
        <v>1278</v>
      </c>
      <c r="K102" s="1">
        <v>70</v>
      </c>
      <c r="N102" s="1" t="s">
        <v>1698</v>
      </c>
      <c r="P102" s="4" t="s">
        <v>25</v>
      </c>
      <c r="Q102" s="351">
        <f>2275-267-0</f>
        <v>2008</v>
      </c>
    </row>
    <row r="103" spans="1:18" x14ac:dyDescent="0.2">
      <c r="A103" s="1" t="s">
        <v>1323</v>
      </c>
      <c r="D103" s="1">
        <v>23</v>
      </c>
      <c r="I103" s="1" t="s">
        <v>1317</v>
      </c>
      <c r="K103" s="348">
        <f>2560-215-70</f>
        <v>2275</v>
      </c>
      <c r="N103" s="1" t="s">
        <v>1699</v>
      </c>
      <c r="P103" s="4" t="s">
        <v>25</v>
      </c>
      <c r="Q103" s="19">
        <f>Q99</f>
        <v>267</v>
      </c>
    </row>
    <row r="104" spans="1:18" x14ac:dyDescent="0.2">
      <c r="A104" s="1" t="s">
        <v>101</v>
      </c>
      <c r="D104" s="343">
        <v>180</v>
      </c>
      <c r="I104" s="1" t="s">
        <v>1507</v>
      </c>
      <c r="K104" s="339">
        <f>2890-330</f>
        <v>2560</v>
      </c>
      <c r="N104" s="1" t="s">
        <v>1700</v>
      </c>
      <c r="P104" s="4" t="s">
        <v>27</v>
      </c>
      <c r="Q104" s="4">
        <v>0</v>
      </c>
      <c r="R104" s="1" t="s">
        <v>1697</v>
      </c>
    </row>
    <row r="105" spans="1:18" x14ac:dyDescent="0.2">
      <c r="A105" s="1" t="s">
        <v>490</v>
      </c>
      <c r="D105" s="346">
        <v>215</v>
      </c>
      <c r="N105" s="1" t="s">
        <v>1701</v>
      </c>
      <c r="P105" s="4" t="s">
        <v>28</v>
      </c>
      <c r="Q105" s="71">
        <f>K103</f>
        <v>2275</v>
      </c>
      <c r="R105" s="1" t="s">
        <v>1696</v>
      </c>
    </row>
    <row r="106" spans="1:18" x14ac:dyDescent="0.2">
      <c r="A106" s="1" t="s">
        <v>1646</v>
      </c>
      <c r="D106" s="212">
        <v>200</v>
      </c>
      <c r="F106" s="3" t="s">
        <v>1671</v>
      </c>
      <c r="G106" s="3"/>
      <c r="H106" s="340">
        <f>1010+1880</f>
        <v>2890</v>
      </c>
      <c r="I106" s="3" t="s">
        <v>631</v>
      </c>
      <c r="K106" s="340">
        <f>2890</f>
        <v>2890</v>
      </c>
    </row>
    <row r="107" spans="1:18" x14ac:dyDescent="0.2">
      <c r="A107" s="1" t="s">
        <v>1647</v>
      </c>
      <c r="D107" s="1">
        <v>200</v>
      </c>
    </row>
    <row r="108" spans="1:18" x14ac:dyDescent="0.2">
      <c r="A108" s="1" t="s">
        <v>218</v>
      </c>
      <c r="D108" s="338">
        <v>230</v>
      </c>
      <c r="I108" s="1" t="s">
        <v>1673</v>
      </c>
    </row>
    <row r="109" spans="1:18" x14ac:dyDescent="0.2">
      <c r="A109" s="1" t="s">
        <v>1651</v>
      </c>
      <c r="D109" s="349">
        <v>250</v>
      </c>
      <c r="H109" s="1" t="s">
        <v>1674</v>
      </c>
    </row>
    <row r="110" spans="1:18" x14ac:dyDescent="0.2">
      <c r="A110" s="1" t="s">
        <v>674</v>
      </c>
      <c r="D110" s="212">
        <v>300</v>
      </c>
    </row>
    <row r="111" spans="1:18" x14ac:dyDescent="0.2">
      <c r="A111" s="1" t="s">
        <v>1416</v>
      </c>
      <c r="D111" s="212">
        <v>500</v>
      </c>
    </row>
    <row r="112" spans="1:18" x14ac:dyDescent="0.2">
      <c r="A112" s="1" t="s">
        <v>212</v>
      </c>
      <c r="D112" s="1">
        <v>700</v>
      </c>
    </row>
    <row r="113" spans="1:12" x14ac:dyDescent="0.2">
      <c r="A113" s="1" t="s">
        <v>1648</v>
      </c>
      <c r="D113" s="338">
        <v>800</v>
      </c>
    </row>
    <row r="114" spans="1:12" x14ac:dyDescent="0.2">
      <c r="A114" s="1" t="s">
        <v>1652</v>
      </c>
      <c r="D114" s="94">
        <v>10</v>
      </c>
    </row>
    <row r="115" spans="1:12" x14ac:dyDescent="0.2">
      <c r="A115" s="1" t="s">
        <v>1654</v>
      </c>
      <c r="D115" s="1">
        <v>30</v>
      </c>
    </row>
    <row r="116" spans="1:12" x14ac:dyDescent="0.2">
      <c r="A116" s="1" t="s">
        <v>112</v>
      </c>
      <c r="D116" s="338">
        <v>950</v>
      </c>
    </row>
    <row r="117" spans="1:12" x14ac:dyDescent="0.2">
      <c r="A117" s="1" t="s">
        <v>1650</v>
      </c>
      <c r="D117" s="88" t="s">
        <v>513</v>
      </c>
    </row>
    <row r="119" spans="1:12" x14ac:dyDescent="0.2">
      <c r="A119" s="1" t="s">
        <v>560</v>
      </c>
    </row>
    <row r="120" spans="1:12" x14ac:dyDescent="0.2">
      <c r="A120" s="1" t="s">
        <v>1661</v>
      </c>
      <c r="I120" s="1" t="s">
        <v>1707</v>
      </c>
      <c r="L120" s="352">
        <v>0.05</v>
      </c>
    </row>
    <row r="121" spans="1:12" x14ac:dyDescent="0.2">
      <c r="A121" s="1" t="s">
        <v>1662</v>
      </c>
      <c r="I121" s="1" t="s">
        <v>1707</v>
      </c>
      <c r="L121" s="352">
        <v>0.2</v>
      </c>
    </row>
    <row r="123" spans="1:12" x14ac:dyDescent="0.2">
      <c r="A123" s="3" t="s">
        <v>1708</v>
      </c>
    </row>
    <row r="124" spans="1:12" x14ac:dyDescent="0.2">
      <c r="A124" s="3"/>
    </row>
    <row r="125" spans="1:12" x14ac:dyDescent="0.2">
      <c r="A125" s="1" t="s">
        <v>1709</v>
      </c>
      <c r="L125" s="352">
        <v>0.03</v>
      </c>
    </row>
    <row r="126" spans="1:12" x14ac:dyDescent="0.2">
      <c r="A126" s="1" t="s">
        <v>1710</v>
      </c>
      <c r="L126" s="352">
        <v>0.03</v>
      </c>
    </row>
    <row r="127" spans="1:12" x14ac:dyDescent="0.2">
      <c r="A127" s="1" t="s">
        <v>1711</v>
      </c>
      <c r="L127" s="352">
        <v>0.03</v>
      </c>
    </row>
    <row r="128" spans="1:12" x14ac:dyDescent="0.2">
      <c r="A128" s="1" t="s">
        <v>1789</v>
      </c>
      <c r="L128" s="352">
        <v>0.03</v>
      </c>
    </row>
    <row r="129" spans="1:13" x14ac:dyDescent="0.2">
      <c r="A129" s="1" t="s">
        <v>1814</v>
      </c>
      <c r="L129" s="352">
        <v>0.03</v>
      </c>
    </row>
    <row r="130" spans="1:13" ht="17" thickBot="1" x14ac:dyDescent="0.25"/>
    <row r="131" spans="1:13" ht="19" thickBot="1" x14ac:dyDescent="0.25">
      <c r="A131" s="353" t="s">
        <v>1712</v>
      </c>
      <c r="B131" s="57"/>
      <c r="C131" s="57"/>
      <c r="D131" s="57"/>
      <c r="E131" s="57"/>
      <c r="F131" s="57"/>
      <c r="G131" s="57"/>
      <c r="H131" s="57"/>
      <c r="I131" s="57"/>
      <c r="J131" s="57"/>
      <c r="K131" s="57"/>
      <c r="L131" s="141"/>
    </row>
    <row r="132" spans="1:13" x14ac:dyDescent="0.2">
      <c r="A132" s="1" t="s">
        <v>1713</v>
      </c>
    </row>
    <row r="133" spans="1:13" x14ac:dyDescent="0.2">
      <c r="A133" s="1" t="s">
        <v>1714</v>
      </c>
    </row>
    <row r="134" spans="1:13" x14ac:dyDescent="0.2">
      <c r="A134" s="1" t="s">
        <v>1715</v>
      </c>
    </row>
    <row r="135" spans="1:13" x14ac:dyDescent="0.2">
      <c r="A135" s="1" t="s">
        <v>1716</v>
      </c>
    </row>
    <row r="136" spans="1:13" x14ac:dyDescent="0.2">
      <c r="A136" s="1" t="s">
        <v>1717</v>
      </c>
    </row>
    <row r="137" spans="1:13" x14ac:dyDescent="0.2">
      <c r="A137" s="1" t="s">
        <v>1718</v>
      </c>
    </row>
    <row r="138" spans="1:13" x14ac:dyDescent="0.2">
      <c r="A138" s="1" t="s">
        <v>1719</v>
      </c>
    </row>
    <row r="140" spans="1:13" x14ac:dyDescent="0.2">
      <c r="A140" s="354" t="s">
        <v>1709</v>
      </c>
    </row>
    <row r="142" spans="1:13" x14ac:dyDescent="0.2">
      <c r="A142" s="1" t="s">
        <v>1720</v>
      </c>
    </row>
    <row r="143" spans="1:13" x14ac:dyDescent="0.2">
      <c r="A143" s="1" t="s">
        <v>1721</v>
      </c>
      <c r="E143" s="1" t="s">
        <v>1725</v>
      </c>
    </row>
    <row r="144" spans="1:13" x14ac:dyDescent="0.2">
      <c r="A144" s="1" t="s">
        <v>1722</v>
      </c>
      <c r="D144" s="42" t="s">
        <v>1740</v>
      </c>
      <c r="E144" s="6" t="s">
        <v>1738</v>
      </c>
      <c r="F144" s="6"/>
      <c r="G144" s="6"/>
      <c r="H144" s="6"/>
      <c r="I144" s="6"/>
      <c r="K144" s="42" t="s">
        <v>1741</v>
      </c>
      <c r="L144" s="6" t="s">
        <v>1739</v>
      </c>
      <c r="M144" s="6"/>
    </row>
    <row r="145" spans="5:13" x14ac:dyDescent="0.2">
      <c r="E145" s="1" t="s">
        <v>1726</v>
      </c>
      <c r="H145" s="1" t="s">
        <v>1724</v>
      </c>
      <c r="L145" s="1" t="s">
        <v>1730</v>
      </c>
    </row>
    <row r="146" spans="5:13" x14ac:dyDescent="0.2">
      <c r="E146" s="1" t="s">
        <v>1727</v>
      </c>
      <c r="H146" s="1" t="s">
        <v>1728</v>
      </c>
      <c r="L146" s="1" t="s">
        <v>408</v>
      </c>
      <c r="M146" s="4" t="s">
        <v>25</v>
      </c>
    </row>
    <row r="147" spans="5:13" x14ac:dyDescent="0.2">
      <c r="H147" s="355" t="s">
        <v>1729</v>
      </c>
      <c r="I147" s="355"/>
      <c r="J147" s="355"/>
      <c r="L147" s="1" t="s">
        <v>410</v>
      </c>
      <c r="M147" s="4" t="s">
        <v>25</v>
      </c>
    </row>
    <row r="148" spans="5:13" x14ac:dyDescent="0.2">
      <c r="L148" s="94" t="s">
        <v>413</v>
      </c>
      <c r="M148" s="32" t="s">
        <v>27</v>
      </c>
    </row>
    <row r="150" spans="5:13" x14ac:dyDescent="0.2">
      <c r="J150" s="1" t="s">
        <v>1737</v>
      </c>
      <c r="L150" s="1" t="s">
        <v>1731</v>
      </c>
    </row>
    <row r="151" spans="5:13" x14ac:dyDescent="0.2">
      <c r="J151" s="1" t="s">
        <v>1735</v>
      </c>
      <c r="L151" s="1" t="s">
        <v>1732</v>
      </c>
    </row>
    <row r="153" spans="5:13" x14ac:dyDescent="0.2">
      <c r="J153" s="1" t="s">
        <v>1737</v>
      </c>
      <c r="L153" s="1" t="s">
        <v>1733</v>
      </c>
    </row>
    <row r="154" spans="5:13" x14ac:dyDescent="0.2">
      <c r="J154" s="1" t="s">
        <v>1736</v>
      </c>
      <c r="L154" s="1" t="s">
        <v>1734</v>
      </c>
    </row>
    <row r="157" spans="5:13" x14ac:dyDescent="0.2">
      <c r="K157" s="42" t="s">
        <v>1742</v>
      </c>
      <c r="L157" s="354" t="s">
        <v>1743</v>
      </c>
    </row>
    <row r="158" spans="5:13" x14ac:dyDescent="0.2">
      <c r="L158" s="1" t="s">
        <v>1744</v>
      </c>
    </row>
    <row r="159" spans="5:13" x14ac:dyDescent="0.2">
      <c r="L159" s="1" t="s">
        <v>1745</v>
      </c>
    </row>
    <row r="160" spans="5:13" x14ac:dyDescent="0.2">
      <c r="L160" s="1" t="s">
        <v>1746</v>
      </c>
    </row>
    <row r="162" spans="1:13" x14ac:dyDescent="0.2">
      <c r="L162" s="1" t="s">
        <v>1730</v>
      </c>
    </row>
    <row r="163" spans="1:13" x14ac:dyDescent="0.2">
      <c r="L163" s="94" t="s">
        <v>408</v>
      </c>
      <c r="M163" s="32" t="s">
        <v>25</v>
      </c>
    </row>
    <row r="164" spans="1:13" x14ac:dyDescent="0.2">
      <c r="L164" s="1" t="s">
        <v>410</v>
      </c>
      <c r="M164" s="4" t="s">
        <v>25</v>
      </c>
    </row>
    <row r="165" spans="1:13" x14ac:dyDescent="0.2">
      <c r="L165" s="1" t="s">
        <v>413</v>
      </c>
      <c r="M165" s="4" t="s">
        <v>27</v>
      </c>
    </row>
    <row r="167" spans="1:13" x14ac:dyDescent="0.2">
      <c r="J167" s="1" t="s">
        <v>1737</v>
      </c>
      <c r="L167" s="1" t="s">
        <v>1747</v>
      </c>
    </row>
    <row r="168" spans="1:13" x14ac:dyDescent="0.2">
      <c r="J168" s="1" t="s">
        <v>1736</v>
      </c>
      <c r="L168" s="1" t="s">
        <v>1734</v>
      </c>
    </row>
    <row r="170" spans="1:13" x14ac:dyDescent="0.2">
      <c r="J170" s="1" t="s">
        <v>1737</v>
      </c>
      <c r="L170" s="1" t="s">
        <v>1748</v>
      </c>
    </row>
    <row r="171" spans="1:13" x14ac:dyDescent="0.2">
      <c r="J171" s="1" t="s">
        <v>1735</v>
      </c>
      <c r="L171" s="1" t="s">
        <v>1732</v>
      </c>
    </row>
    <row r="173" spans="1:13" x14ac:dyDescent="0.2">
      <c r="A173" s="354" t="s">
        <v>1710</v>
      </c>
    </row>
    <row r="175" spans="1:13" x14ac:dyDescent="0.2">
      <c r="A175" s="1" t="s">
        <v>1749</v>
      </c>
    </row>
    <row r="176" spans="1:13" x14ac:dyDescent="0.2">
      <c r="A176" s="1" t="s">
        <v>1750</v>
      </c>
    </row>
    <row r="177" spans="1:12" x14ac:dyDescent="0.2">
      <c r="A177" s="1" t="s">
        <v>1751</v>
      </c>
      <c r="E177" s="1" t="s">
        <v>1752</v>
      </c>
      <c r="G177" s="4" t="s">
        <v>25</v>
      </c>
      <c r="H177" s="1" t="s">
        <v>1756</v>
      </c>
    </row>
    <row r="178" spans="1:12" x14ac:dyDescent="0.2">
      <c r="E178" s="1" t="s">
        <v>729</v>
      </c>
      <c r="G178" s="4" t="s">
        <v>27</v>
      </c>
      <c r="H178" s="1" t="s">
        <v>1753</v>
      </c>
      <c r="I178" s="1" t="s">
        <v>796</v>
      </c>
    </row>
    <row r="179" spans="1:12" x14ac:dyDescent="0.2">
      <c r="E179" s="1" t="s">
        <v>1754</v>
      </c>
      <c r="G179" s="32" t="s">
        <v>28</v>
      </c>
      <c r="H179" s="1" t="s">
        <v>1755</v>
      </c>
    </row>
    <row r="181" spans="1:12" x14ac:dyDescent="0.2">
      <c r="A181" s="42" t="s">
        <v>1740</v>
      </c>
      <c r="B181" s="6" t="s">
        <v>1738</v>
      </c>
      <c r="C181" s="6"/>
      <c r="D181" s="6"/>
      <c r="E181" s="6"/>
      <c r="F181" s="6"/>
      <c r="H181" s="1" t="s">
        <v>1758</v>
      </c>
    </row>
    <row r="182" spans="1:12" x14ac:dyDescent="0.2">
      <c r="B182" s="1" t="s">
        <v>1757</v>
      </c>
      <c r="E182" s="1" t="s">
        <v>1724</v>
      </c>
      <c r="I182" s="1" t="s">
        <v>1759</v>
      </c>
    </row>
    <row r="183" spans="1:12" x14ac:dyDescent="0.2">
      <c r="B183" s="1" t="s">
        <v>1760</v>
      </c>
      <c r="E183" s="1" t="s">
        <v>1761</v>
      </c>
    </row>
    <row r="184" spans="1:12" x14ac:dyDescent="0.2">
      <c r="E184" s="355" t="s">
        <v>1762</v>
      </c>
      <c r="F184" s="355"/>
      <c r="H184" s="1" t="s">
        <v>1763</v>
      </c>
      <c r="I184" s="1" t="s">
        <v>1764</v>
      </c>
    </row>
    <row r="185" spans="1:12" x14ac:dyDescent="0.2">
      <c r="I185" s="1" t="s">
        <v>1765</v>
      </c>
    </row>
    <row r="186" spans="1:12" x14ac:dyDescent="0.2">
      <c r="A186" s="42" t="s">
        <v>1741</v>
      </c>
      <c r="B186" s="6" t="s">
        <v>1766</v>
      </c>
      <c r="C186" s="6"/>
      <c r="D186" s="6"/>
      <c r="E186" s="6"/>
      <c r="F186" s="6"/>
    </row>
    <row r="187" spans="1:12" x14ac:dyDescent="0.2">
      <c r="B187" s="1" t="s">
        <v>1775</v>
      </c>
      <c r="H187" s="1" t="s">
        <v>1767</v>
      </c>
    </row>
    <row r="188" spans="1:12" x14ac:dyDescent="0.2">
      <c r="B188" s="1" t="s">
        <v>1776</v>
      </c>
      <c r="H188" s="1" t="s">
        <v>1768</v>
      </c>
    </row>
    <row r="189" spans="1:12" x14ac:dyDescent="0.2">
      <c r="B189" s="1" t="s">
        <v>1777</v>
      </c>
      <c r="I189" s="1" t="s">
        <v>1769</v>
      </c>
      <c r="L189" s="4" t="s">
        <v>25</v>
      </c>
    </row>
    <row r="190" spans="1:12" x14ac:dyDescent="0.2">
      <c r="I190" s="1" t="s">
        <v>1770</v>
      </c>
      <c r="L190" s="4" t="s">
        <v>27</v>
      </c>
    </row>
    <row r="191" spans="1:12" x14ac:dyDescent="0.2">
      <c r="H191" s="356" t="s">
        <v>1774</v>
      </c>
      <c r="I191" s="1" t="s">
        <v>1772</v>
      </c>
      <c r="L191" s="32" t="s">
        <v>25</v>
      </c>
    </row>
    <row r="192" spans="1:12" x14ac:dyDescent="0.2">
      <c r="H192" s="356" t="s">
        <v>1773</v>
      </c>
      <c r="I192" s="1" t="s">
        <v>1771</v>
      </c>
      <c r="L192" s="4" t="s">
        <v>25</v>
      </c>
    </row>
    <row r="205" spans="1:1" x14ac:dyDescent="0.2">
      <c r="A205" s="354" t="s">
        <v>1711</v>
      </c>
    </row>
    <row r="206" spans="1:1" x14ac:dyDescent="0.2">
      <c r="A206" s="1" t="s">
        <v>1778</v>
      </c>
    </row>
    <row r="207" spans="1:1" x14ac:dyDescent="0.2">
      <c r="A207" s="1" t="s">
        <v>1779</v>
      </c>
    </row>
    <row r="209" spans="1:10" x14ac:dyDescent="0.2">
      <c r="A209" s="6" t="s">
        <v>1782</v>
      </c>
      <c r="B209" s="6"/>
      <c r="C209" s="6"/>
      <c r="D209" s="6"/>
      <c r="F209" s="6" t="s">
        <v>1783</v>
      </c>
      <c r="G209" s="6"/>
      <c r="H209" s="6"/>
      <c r="I209" s="6"/>
      <c r="J209" s="6"/>
    </row>
    <row r="210" spans="1:10" x14ac:dyDescent="0.2">
      <c r="A210" s="1" t="s">
        <v>1781</v>
      </c>
      <c r="F210" s="1" t="s">
        <v>1785</v>
      </c>
    </row>
    <row r="211" spans="1:10" x14ac:dyDescent="0.2">
      <c r="A211" s="1" t="s">
        <v>1786</v>
      </c>
      <c r="F211" s="1" t="s">
        <v>1784</v>
      </c>
    </row>
    <row r="212" spans="1:10" x14ac:dyDescent="0.2">
      <c r="A212" s="1" t="s">
        <v>1780</v>
      </c>
      <c r="F212" s="1" t="s">
        <v>1780</v>
      </c>
    </row>
    <row r="214" spans="1:10" x14ac:dyDescent="0.2">
      <c r="A214" s="6" t="s">
        <v>1788</v>
      </c>
      <c r="B214" s="6"/>
      <c r="C214" s="6"/>
      <c r="D214" s="6"/>
    </row>
    <row r="215" spans="1:10" x14ac:dyDescent="0.2">
      <c r="A215" s="1" t="s">
        <v>1787</v>
      </c>
    </row>
    <row r="221" spans="1:10" s="38" customFormat="1" x14ac:dyDescent="0.2">
      <c r="A221" s="357" t="s">
        <v>1789</v>
      </c>
      <c r="B221" s="245"/>
      <c r="C221" s="245"/>
      <c r="D221" s="245"/>
      <c r="E221" s="245"/>
      <c r="F221" s="245"/>
      <c r="G221" s="245"/>
      <c r="H221" s="245"/>
      <c r="I221" s="245"/>
      <c r="J221" s="245"/>
    </row>
    <row r="223" spans="1:10" x14ac:dyDescent="0.2">
      <c r="A223" s="1" t="s">
        <v>1790</v>
      </c>
    </row>
    <row r="224" spans="1:10" x14ac:dyDescent="0.2">
      <c r="B224" s="1" t="s">
        <v>1803</v>
      </c>
    </row>
    <row r="227" spans="1:12" x14ac:dyDescent="0.2">
      <c r="A227" s="17" t="s">
        <v>1723</v>
      </c>
      <c r="B227" s="6" t="s">
        <v>1802</v>
      </c>
      <c r="C227" s="6"/>
      <c r="D227" s="6"/>
      <c r="G227" s="4" t="s">
        <v>1801</v>
      </c>
      <c r="H227" s="6" t="s">
        <v>1793</v>
      </c>
      <c r="I227" s="6"/>
      <c r="J227" s="6"/>
      <c r="K227" s="6"/>
      <c r="L227" s="6"/>
    </row>
    <row r="228" spans="1:12" x14ac:dyDescent="0.2">
      <c r="B228" s="3" t="s">
        <v>1804</v>
      </c>
      <c r="H228" s="1" t="s">
        <v>212</v>
      </c>
      <c r="I228" s="4" t="s">
        <v>1073</v>
      </c>
      <c r="J228" s="4" t="s">
        <v>25</v>
      </c>
      <c r="K228" s="1" t="s">
        <v>1791</v>
      </c>
    </row>
    <row r="229" spans="1:12" x14ac:dyDescent="0.2">
      <c r="B229" s="1" t="s">
        <v>1805</v>
      </c>
      <c r="H229" s="1" t="s">
        <v>432</v>
      </c>
      <c r="I229" s="4" t="s">
        <v>1794</v>
      </c>
      <c r="J229" s="4" t="s">
        <v>27</v>
      </c>
      <c r="K229" s="1" t="s">
        <v>1791</v>
      </c>
    </row>
    <row r="230" spans="1:12" x14ac:dyDescent="0.2">
      <c r="B230" s="1" t="s">
        <v>1806</v>
      </c>
      <c r="H230" s="1" t="s">
        <v>248</v>
      </c>
      <c r="J230" s="4" t="s">
        <v>28</v>
      </c>
      <c r="K230" s="1" t="s">
        <v>1792</v>
      </c>
    </row>
    <row r="231" spans="1:12" x14ac:dyDescent="0.2">
      <c r="B231" s="1" t="s">
        <v>1807</v>
      </c>
      <c r="J231" s="4"/>
    </row>
    <row r="232" spans="1:12" x14ac:dyDescent="0.2">
      <c r="B232" s="1" t="s">
        <v>1808</v>
      </c>
      <c r="J232" s="4"/>
    </row>
    <row r="233" spans="1:12" x14ac:dyDescent="0.2">
      <c r="J233" s="4" t="s">
        <v>1795</v>
      </c>
    </row>
    <row r="234" spans="1:12" x14ac:dyDescent="0.2">
      <c r="B234" s="3" t="s">
        <v>1809</v>
      </c>
      <c r="J234" s="4" t="s">
        <v>1796</v>
      </c>
    </row>
    <row r="235" spans="1:12" x14ac:dyDescent="0.2">
      <c r="B235" s="1" t="s">
        <v>1810</v>
      </c>
      <c r="J235" s="4" t="s">
        <v>1797</v>
      </c>
    </row>
    <row r="236" spans="1:12" x14ac:dyDescent="0.2">
      <c r="J236" s="4"/>
    </row>
    <row r="237" spans="1:12" x14ac:dyDescent="0.2">
      <c r="B237" s="3" t="s">
        <v>1811</v>
      </c>
      <c r="H237" s="1" t="s">
        <v>1798</v>
      </c>
      <c r="J237" s="4"/>
    </row>
    <row r="238" spans="1:12" x14ac:dyDescent="0.2">
      <c r="B238" s="1" t="s">
        <v>1812</v>
      </c>
      <c r="H238" s="1" t="s">
        <v>1799</v>
      </c>
      <c r="J238" s="4"/>
    </row>
    <row r="239" spans="1:12" x14ac:dyDescent="0.2">
      <c r="B239" s="1" t="s">
        <v>1813</v>
      </c>
      <c r="H239" s="88" t="s">
        <v>1800</v>
      </c>
      <c r="J239" s="4"/>
    </row>
    <row r="245" spans="1:6" x14ac:dyDescent="0.2">
      <c r="A245" s="354" t="s">
        <v>1814</v>
      </c>
    </row>
    <row r="247" spans="1:6" x14ac:dyDescent="0.2">
      <c r="A247" s="1" t="s">
        <v>1815</v>
      </c>
    </row>
    <row r="248" spans="1:6" x14ac:dyDescent="0.2">
      <c r="A248" s="1" t="s">
        <v>1816</v>
      </c>
    </row>
    <row r="249" spans="1:6" x14ac:dyDescent="0.2">
      <c r="A249" s="1" t="s">
        <v>1817</v>
      </c>
    </row>
    <row r="250" spans="1:6" x14ac:dyDescent="0.2">
      <c r="A250" s="1" t="s">
        <v>1818</v>
      </c>
    </row>
    <row r="252" spans="1:6" x14ac:dyDescent="0.2">
      <c r="B252" s="17" t="s">
        <v>834</v>
      </c>
      <c r="C252" s="17"/>
      <c r="D252" s="17" t="s">
        <v>1819</v>
      </c>
      <c r="E252" s="17" t="s">
        <v>1278</v>
      </c>
      <c r="F252" s="17" t="s">
        <v>1607</v>
      </c>
    </row>
    <row r="253" spans="1:6" x14ac:dyDescent="0.2">
      <c r="B253" s="1" t="s">
        <v>1485</v>
      </c>
      <c r="D253" s="4" t="s">
        <v>25</v>
      </c>
      <c r="E253" s="4" t="s">
        <v>27</v>
      </c>
      <c r="F253" s="4">
        <v>0</v>
      </c>
    </row>
  </sheetData>
  <sortState xmlns:xlrd2="http://schemas.microsoft.com/office/spreadsheetml/2017/richdata2" ref="A265:D301">
    <sortCondition descending="1" ref="D265:D301"/>
  </sortState>
  <mergeCells count="1">
    <mergeCell ref="F84:K84"/>
  </mergeCells>
  <hyperlinks>
    <hyperlink ref="H2" r:id="rId1" xr:uid="{C8CC6668-8224-2A4F-8291-175CDBB5DA25}"/>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2CDC-0574-9841-BED3-29972B30C173}">
  <dimension ref="A1:N181"/>
  <sheetViews>
    <sheetView rightToLeft="1" zoomScale="228" workbookViewId="0">
      <selection activeCell="I170" sqref="I170"/>
    </sheetView>
  </sheetViews>
  <sheetFormatPr baseColWidth="10" defaultRowHeight="16" x14ac:dyDescent="0.2"/>
  <cols>
    <col min="1" max="8" width="10.83203125" style="1"/>
    <col min="9" max="9" width="6.5" style="1" customWidth="1"/>
    <col min="10" max="10" width="11.5" style="1" customWidth="1"/>
    <col min="11" max="16384" width="10.83203125" style="1"/>
  </cols>
  <sheetData>
    <row r="1" spans="1:8" x14ac:dyDescent="0.2">
      <c r="A1" s="94" t="s">
        <v>1829</v>
      </c>
      <c r="B1" s="94"/>
      <c r="C1" s="94"/>
      <c r="D1" s="94"/>
      <c r="E1" s="94"/>
      <c r="F1" s="94"/>
      <c r="G1" s="94"/>
      <c r="H1" s="196">
        <v>45683</v>
      </c>
    </row>
    <row r="13" spans="1:8" x14ac:dyDescent="0.2">
      <c r="A13" s="35" t="s">
        <v>1830</v>
      </c>
      <c r="B13" s="33"/>
      <c r="C13" s="33"/>
      <c r="D13" s="33"/>
      <c r="E13" s="33"/>
      <c r="F13" s="33"/>
      <c r="G13" s="33"/>
      <c r="H13" s="33"/>
    </row>
    <row r="14" spans="1:8" x14ac:dyDescent="0.2">
      <c r="A14" s="1" t="s">
        <v>1831</v>
      </c>
      <c r="G14" s="1" t="s">
        <v>1832</v>
      </c>
    </row>
    <row r="15" spans="1:8" x14ac:dyDescent="0.2">
      <c r="G15" s="1" t="s">
        <v>1833</v>
      </c>
    </row>
    <row r="16" spans="1:8" x14ac:dyDescent="0.2">
      <c r="E16" s="1" t="s">
        <v>1679</v>
      </c>
      <c r="G16" s="1" t="s">
        <v>1834</v>
      </c>
    </row>
    <row r="17" spans="1:7" x14ac:dyDescent="0.2">
      <c r="B17" s="1" t="s">
        <v>1836</v>
      </c>
      <c r="E17" s="1">
        <v>100</v>
      </c>
      <c r="G17" s="1" t="s">
        <v>1835</v>
      </c>
    </row>
    <row r="18" spans="1:7" x14ac:dyDescent="0.2">
      <c r="B18" s="1" t="s">
        <v>1837</v>
      </c>
      <c r="E18" s="1">
        <v>300</v>
      </c>
    </row>
    <row r="19" spans="1:7" x14ac:dyDescent="0.2">
      <c r="B19" s="1" t="s">
        <v>1838</v>
      </c>
      <c r="E19" s="1">
        <v>250</v>
      </c>
    </row>
    <row r="20" spans="1:7" x14ac:dyDescent="0.2">
      <c r="B20" s="1" t="s">
        <v>1278</v>
      </c>
      <c r="E20" s="1">
        <v>400</v>
      </c>
    </row>
    <row r="21" spans="1:7" x14ac:dyDescent="0.2">
      <c r="B21" s="1" t="s">
        <v>1317</v>
      </c>
      <c r="E21" s="72">
        <v>1000</v>
      </c>
    </row>
    <row r="22" spans="1:7" x14ac:dyDescent="0.2">
      <c r="B22" s="1" t="s">
        <v>315</v>
      </c>
      <c r="E22" s="72">
        <v>2050</v>
      </c>
    </row>
    <row r="24" spans="1:7" x14ac:dyDescent="0.2">
      <c r="A24" s="1" t="s">
        <v>1839</v>
      </c>
    </row>
    <row r="26" spans="1:7" x14ac:dyDescent="0.2">
      <c r="A26" s="1" t="s">
        <v>1840</v>
      </c>
    </row>
    <row r="27" spans="1:7" x14ac:dyDescent="0.2">
      <c r="A27" s="1" t="s">
        <v>1841</v>
      </c>
    </row>
    <row r="28" spans="1:7" x14ac:dyDescent="0.2">
      <c r="A28" s="1" t="s">
        <v>1842</v>
      </c>
    </row>
    <row r="29" spans="1:7" x14ac:dyDescent="0.2">
      <c r="A29" s="1" t="s">
        <v>1843</v>
      </c>
    </row>
    <row r="30" spans="1:7" x14ac:dyDescent="0.2">
      <c r="A30" s="1" t="s">
        <v>1844</v>
      </c>
    </row>
    <row r="31" spans="1:7" x14ac:dyDescent="0.2">
      <c r="A31" s="1" t="s">
        <v>1845</v>
      </c>
    </row>
    <row r="32" spans="1:7" x14ac:dyDescent="0.2">
      <c r="A32" s="1" t="s">
        <v>1846</v>
      </c>
    </row>
    <row r="33" spans="1:8" x14ac:dyDescent="0.2">
      <c r="A33" s="1" t="s">
        <v>1847</v>
      </c>
    </row>
    <row r="34" spans="1:8" x14ac:dyDescent="0.2">
      <c r="A34" s="1" t="s">
        <v>1848</v>
      </c>
    </row>
    <row r="35" spans="1:8" x14ac:dyDescent="0.2">
      <c r="A35" s="1" t="s">
        <v>1849</v>
      </c>
    </row>
    <row r="37" spans="1:8" x14ac:dyDescent="0.2">
      <c r="A37" s="1" t="s">
        <v>1850</v>
      </c>
    </row>
    <row r="39" spans="1:8" x14ac:dyDescent="0.2">
      <c r="A39" s="3" t="s">
        <v>1865</v>
      </c>
    </row>
    <row r="41" spans="1:8" x14ac:dyDescent="0.2">
      <c r="E41" s="129" t="s">
        <v>1860</v>
      </c>
    </row>
    <row r="42" spans="1:8" x14ac:dyDescent="0.2">
      <c r="B42" s="4" t="s">
        <v>490</v>
      </c>
      <c r="C42" s="4" t="s">
        <v>490</v>
      </c>
      <c r="D42" s="4" t="s">
        <v>490</v>
      </c>
      <c r="E42" s="129" t="s">
        <v>490</v>
      </c>
      <c r="F42" s="4"/>
      <c r="G42" s="4" t="s">
        <v>1317</v>
      </c>
      <c r="H42" s="4"/>
    </row>
    <row r="43" spans="1:8" x14ac:dyDescent="0.2">
      <c r="B43" s="4" t="s">
        <v>1851</v>
      </c>
      <c r="C43" s="4" t="s">
        <v>1853</v>
      </c>
      <c r="D43" s="4" t="s">
        <v>1854</v>
      </c>
      <c r="E43" s="129" t="s">
        <v>1859</v>
      </c>
      <c r="F43" s="4"/>
      <c r="G43" s="4" t="s">
        <v>1855</v>
      </c>
      <c r="H43" s="4"/>
    </row>
    <row r="44" spans="1:8" x14ac:dyDescent="0.2">
      <c r="A44" s="6" t="s">
        <v>834</v>
      </c>
      <c r="B44" s="17" t="s">
        <v>1852</v>
      </c>
      <c r="C44" s="17" t="s">
        <v>1852</v>
      </c>
      <c r="D44" s="17" t="s">
        <v>1852</v>
      </c>
      <c r="E44" s="359" t="s">
        <v>1852</v>
      </c>
      <c r="F44" s="17" t="s">
        <v>1278</v>
      </c>
      <c r="G44" s="17" t="s">
        <v>1856</v>
      </c>
      <c r="H44" s="17" t="s">
        <v>315</v>
      </c>
    </row>
    <row r="45" spans="1:8" x14ac:dyDescent="0.2">
      <c r="A45" s="1" t="s">
        <v>1857</v>
      </c>
      <c r="B45" s="4">
        <v>100</v>
      </c>
      <c r="C45" s="4">
        <v>300</v>
      </c>
      <c r="D45" s="4">
        <v>250</v>
      </c>
      <c r="E45" s="4"/>
      <c r="F45" s="4">
        <v>400</v>
      </c>
      <c r="G45" s="4">
        <v>1000</v>
      </c>
      <c r="H45" s="4">
        <f>SUM(B45:G45)</f>
        <v>2050</v>
      </c>
    </row>
    <row r="46" spans="1:8" x14ac:dyDescent="0.2">
      <c r="A46" s="1" t="s">
        <v>1858</v>
      </c>
      <c r="B46" s="4"/>
      <c r="C46" s="4"/>
      <c r="D46" s="4"/>
      <c r="E46" s="4">
        <f>120*5</f>
        <v>600</v>
      </c>
      <c r="F46" s="4">
        <f>949-600</f>
        <v>349</v>
      </c>
      <c r="G46" s="4"/>
      <c r="H46" s="4">
        <f>8*120-11</f>
        <v>949</v>
      </c>
    </row>
    <row r="47" spans="1:8" x14ac:dyDescent="0.2">
      <c r="A47" s="1" t="s">
        <v>1861</v>
      </c>
      <c r="B47" s="4"/>
      <c r="C47" s="4"/>
      <c r="D47" s="4">
        <f>50*1</f>
        <v>50</v>
      </c>
      <c r="E47" s="4"/>
      <c r="F47" s="19">
        <f>44-50</f>
        <v>-6</v>
      </c>
      <c r="G47" s="4"/>
      <c r="H47" s="4">
        <v>44</v>
      </c>
    </row>
    <row r="48" spans="1:8" x14ac:dyDescent="0.2">
      <c r="A48" s="1" t="s">
        <v>1510</v>
      </c>
      <c r="B48" s="4">
        <f>10%*100</f>
        <v>10</v>
      </c>
      <c r="C48" s="4">
        <f>10%*300</f>
        <v>30</v>
      </c>
      <c r="D48" s="4">
        <f>10%*(250+50)</f>
        <v>30</v>
      </c>
      <c r="E48" s="4">
        <f>10%*600</f>
        <v>60</v>
      </c>
      <c r="F48" s="19">
        <v>-130</v>
      </c>
      <c r="G48" s="4"/>
      <c r="H48" s="4">
        <v>0</v>
      </c>
    </row>
    <row r="49" spans="1:8" x14ac:dyDescent="0.2">
      <c r="A49" s="1" t="s">
        <v>1483</v>
      </c>
      <c r="B49" s="19">
        <v>-110</v>
      </c>
      <c r="C49" s="4"/>
      <c r="D49" s="4">
        <v>110</v>
      </c>
      <c r="E49" s="4"/>
      <c r="F49" s="4"/>
      <c r="G49" s="4"/>
      <c r="H49" s="4">
        <v>0</v>
      </c>
    </row>
    <row r="50" spans="1:8" x14ac:dyDescent="0.2">
      <c r="A50" s="1" t="s">
        <v>1862</v>
      </c>
      <c r="B50" s="4"/>
      <c r="C50" s="4"/>
      <c r="D50" s="4"/>
      <c r="E50" s="4"/>
      <c r="F50" s="4"/>
      <c r="G50" s="4">
        <v>500</v>
      </c>
      <c r="H50" s="4">
        <f>G50</f>
        <v>500</v>
      </c>
    </row>
    <row r="51" spans="1:8" x14ac:dyDescent="0.2">
      <c r="A51" s="1" t="s">
        <v>1863</v>
      </c>
      <c r="B51" s="4"/>
      <c r="C51" s="4"/>
      <c r="D51" s="4"/>
      <c r="E51" s="4"/>
      <c r="F51" s="4"/>
      <c r="G51" s="360">
        <f>-30%*500</f>
        <v>-150</v>
      </c>
      <c r="H51" s="360">
        <f>G51</f>
        <v>-150</v>
      </c>
    </row>
    <row r="52" spans="1:8" x14ac:dyDescent="0.2">
      <c r="A52" s="1" t="s">
        <v>1864</v>
      </c>
      <c r="B52" s="361">
        <f t="shared" ref="B52:H52" si="0">SUM(B45:B51)</f>
        <v>0</v>
      </c>
      <c r="C52" s="361">
        <f t="shared" si="0"/>
        <v>330</v>
      </c>
      <c r="D52" s="361">
        <f t="shared" si="0"/>
        <v>440</v>
      </c>
      <c r="E52" s="361">
        <f t="shared" si="0"/>
        <v>660</v>
      </c>
      <c r="F52" s="361">
        <f t="shared" si="0"/>
        <v>613</v>
      </c>
      <c r="G52" s="361">
        <f t="shared" si="0"/>
        <v>1350</v>
      </c>
      <c r="H52" s="361">
        <f t="shared" si="0"/>
        <v>3393</v>
      </c>
    </row>
    <row r="54" spans="1:8" x14ac:dyDescent="0.2">
      <c r="A54" s="35" t="s">
        <v>1866</v>
      </c>
      <c r="B54" s="33"/>
      <c r="C54" s="33"/>
      <c r="D54" s="33"/>
      <c r="E54" s="33"/>
      <c r="F54" s="33"/>
      <c r="G54" s="33"/>
      <c r="H54" s="33"/>
    </row>
    <row r="55" spans="1:8" x14ac:dyDescent="0.2">
      <c r="A55" s="1" t="s">
        <v>1867</v>
      </c>
    </row>
    <row r="56" spans="1:8" x14ac:dyDescent="0.2">
      <c r="A56" s="1" t="s">
        <v>1868</v>
      </c>
    </row>
    <row r="58" spans="1:8" x14ac:dyDescent="0.2">
      <c r="A58" s="1" t="s">
        <v>1869</v>
      </c>
    </row>
    <row r="59" spans="1:8" x14ac:dyDescent="0.2">
      <c r="A59" s="1" t="s">
        <v>1870</v>
      </c>
    </row>
    <row r="61" spans="1:8" x14ac:dyDescent="0.2">
      <c r="A61" s="1" t="s">
        <v>1871</v>
      </c>
    </row>
    <row r="62" spans="1:8" x14ac:dyDescent="0.2">
      <c r="A62" s="1" t="s">
        <v>1872</v>
      </c>
    </row>
    <row r="63" spans="1:8" x14ac:dyDescent="0.2">
      <c r="A63" s="1" t="s">
        <v>1873</v>
      </c>
    </row>
    <row r="65" spans="1:9" x14ac:dyDescent="0.2">
      <c r="A65" s="1" t="s">
        <v>1874</v>
      </c>
    </row>
    <row r="67" spans="1:9" x14ac:dyDescent="0.2">
      <c r="A67" s="1" t="s">
        <v>1875</v>
      </c>
    </row>
    <row r="68" spans="1:9" ht="17" thickBot="1" x14ac:dyDescent="0.25"/>
    <row r="69" spans="1:9" x14ac:dyDescent="0.2">
      <c r="A69" s="45" t="s">
        <v>1869</v>
      </c>
      <c r="B69" s="46"/>
      <c r="C69" s="46"/>
      <c r="D69" s="46"/>
      <c r="E69" s="46"/>
      <c r="F69" s="46"/>
      <c r="G69" s="46"/>
      <c r="H69" s="47"/>
    </row>
    <row r="70" spans="1:9" ht="17" thickBot="1" x14ac:dyDescent="0.25">
      <c r="A70" s="50" t="s">
        <v>1870</v>
      </c>
      <c r="B70" s="51"/>
      <c r="C70" s="51"/>
      <c r="D70" s="51"/>
      <c r="E70" s="51"/>
      <c r="F70" s="51"/>
      <c r="G70" s="51"/>
      <c r="H70" s="79"/>
    </row>
    <row r="71" spans="1:9" x14ac:dyDescent="0.2">
      <c r="A71" s="45" t="s">
        <v>1884</v>
      </c>
      <c r="B71" s="46"/>
      <c r="C71" s="46"/>
      <c r="D71" s="47"/>
      <c r="E71" s="1" t="s">
        <v>1885</v>
      </c>
    </row>
    <row r="72" spans="1:9" x14ac:dyDescent="0.2">
      <c r="A72" s="48" t="s">
        <v>1879</v>
      </c>
      <c r="D72" s="49"/>
      <c r="E72" s="1" t="s">
        <v>1676</v>
      </c>
      <c r="H72" s="1" t="s">
        <v>25</v>
      </c>
      <c r="I72" s="19">
        <v>100</v>
      </c>
    </row>
    <row r="73" spans="1:9" ht="17" thickBot="1" x14ac:dyDescent="0.25">
      <c r="A73" s="48" t="s">
        <v>1880</v>
      </c>
      <c r="D73" s="49"/>
      <c r="E73" s="1" t="s">
        <v>1876</v>
      </c>
      <c r="H73" s="1" t="s">
        <v>27</v>
      </c>
      <c r="I73" s="19">
        <v>-90</v>
      </c>
    </row>
    <row r="74" spans="1:9" ht="17" thickBot="1" x14ac:dyDescent="0.25">
      <c r="A74" s="48" t="s">
        <v>1881</v>
      </c>
      <c r="D74" s="49"/>
      <c r="E74" s="1" t="s">
        <v>1877</v>
      </c>
      <c r="H74" s="1" t="s">
        <v>28</v>
      </c>
      <c r="I74" s="362">
        <v>10</v>
      </c>
    </row>
    <row r="75" spans="1:9" x14ac:dyDescent="0.2">
      <c r="A75" s="48" t="s">
        <v>1882</v>
      </c>
      <c r="D75" s="49"/>
      <c r="E75" s="1" t="s">
        <v>249</v>
      </c>
      <c r="I75" s="30"/>
    </row>
    <row r="76" spans="1:9" ht="17" thickBot="1" x14ac:dyDescent="0.25">
      <c r="A76" s="50" t="s">
        <v>1883</v>
      </c>
      <c r="B76" s="51"/>
      <c r="C76" s="51"/>
      <c r="D76" s="79"/>
      <c r="E76" s="1" t="s">
        <v>250</v>
      </c>
      <c r="I76" s="30"/>
    </row>
    <row r="77" spans="1:9" x14ac:dyDescent="0.2">
      <c r="E77" s="1" t="s">
        <v>1878</v>
      </c>
      <c r="I77" s="30"/>
    </row>
    <row r="78" spans="1:9" x14ac:dyDescent="0.2">
      <c r="E78" s="1" t="s">
        <v>253</v>
      </c>
      <c r="I78" s="30"/>
    </row>
    <row r="79" spans="1:9" x14ac:dyDescent="0.2">
      <c r="E79" s="1" t="s">
        <v>255</v>
      </c>
      <c r="I79" s="30"/>
    </row>
    <row r="80" spans="1:9" x14ac:dyDescent="0.2">
      <c r="E80" s="1" t="s">
        <v>254</v>
      </c>
    </row>
    <row r="81" spans="1:8" x14ac:dyDescent="0.2">
      <c r="E81" s="1" t="s">
        <v>1677</v>
      </c>
    </row>
    <row r="82" spans="1:8" x14ac:dyDescent="0.2">
      <c r="E82" s="1" t="s">
        <v>257</v>
      </c>
    </row>
    <row r="83" spans="1:8" x14ac:dyDescent="0.2">
      <c r="E83" s="1" t="s">
        <v>258</v>
      </c>
    </row>
    <row r="84" spans="1:8" ht="17" thickBot="1" x14ac:dyDescent="0.25"/>
    <row r="85" spans="1:8" x14ac:dyDescent="0.2">
      <c r="A85" s="45" t="s">
        <v>1871</v>
      </c>
      <c r="B85" s="46"/>
      <c r="C85" s="46"/>
      <c r="D85" s="46"/>
      <c r="E85" s="46"/>
      <c r="F85" s="46"/>
      <c r="G85" s="46"/>
      <c r="H85" s="47"/>
    </row>
    <row r="86" spans="1:8" x14ac:dyDescent="0.2">
      <c r="A86" s="48" t="s">
        <v>1872</v>
      </c>
      <c r="H86" s="49"/>
    </row>
    <row r="87" spans="1:8" ht="17" thickBot="1" x14ac:dyDescent="0.25">
      <c r="A87" s="50" t="s">
        <v>1873</v>
      </c>
      <c r="B87" s="51"/>
      <c r="C87" s="51"/>
      <c r="D87" s="51"/>
      <c r="E87" s="51"/>
      <c r="F87" s="51"/>
      <c r="G87" s="51"/>
      <c r="H87" s="79"/>
    </row>
    <row r="89" spans="1:8" x14ac:dyDescent="0.2">
      <c r="A89" s="1" t="s">
        <v>1886</v>
      </c>
    </row>
    <row r="90" spans="1:8" x14ac:dyDescent="0.2">
      <c r="B90" s="1" t="s">
        <v>1887</v>
      </c>
    </row>
    <row r="91" spans="1:8" x14ac:dyDescent="0.2">
      <c r="C91" s="1" t="s">
        <v>1888</v>
      </c>
    </row>
    <row r="93" spans="1:8" x14ac:dyDescent="0.2">
      <c r="E93" s="1" t="s">
        <v>1889</v>
      </c>
      <c r="G93" s="4" t="s">
        <v>25</v>
      </c>
    </row>
    <row r="94" spans="1:8" x14ac:dyDescent="0.2">
      <c r="E94" s="1" t="s">
        <v>1890</v>
      </c>
      <c r="G94" s="4" t="s">
        <v>27</v>
      </c>
    </row>
    <row r="95" spans="1:8" x14ac:dyDescent="0.2">
      <c r="E95" s="1" t="s">
        <v>1891</v>
      </c>
      <c r="G95" s="4" t="s">
        <v>28</v>
      </c>
    </row>
    <row r="97" spans="1:8" x14ac:dyDescent="0.2">
      <c r="A97" s="363" t="s">
        <v>1892</v>
      </c>
      <c r="B97" s="363"/>
      <c r="C97" s="363"/>
      <c r="D97" s="363"/>
      <c r="E97" s="363"/>
      <c r="F97" s="363"/>
      <c r="G97" s="363"/>
      <c r="H97" s="363"/>
    </row>
    <row r="98" spans="1:8" x14ac:dyDescent="0.2">
      <c r="A98" s="363" t="s">
        <v>1893</v>
      </c>
      <c r="B98" s="363"/>
      <c r="C98" s="363"/>
      <c r="D98" s="363"/>
      <c r="E98" s="363"/>
      <c r="F98" s="363"/>
      <c r="G98" s="363"/>
      <c r="H98" s="363"/>
    </row>
    <row r="99" spans="1:8" x14ac:dyDescent="0.2">
      <c r="A99" s="363" t="s">
        <v>1894</v>
      </c>
      <c r="B99" s="363"/>
      <c r="C99" s="363"/>
      <c r="D99" s="363"/>
      <c r="E99" s="363"/>
      <c r="F99" s="363"/>
      <c r="G99" s="363"/>
      <c r="H99" s="363"/>
    </row>
    <row r="100" spans="1:8" ht="17" thickBot="1" x14ac:dyDescent="0.25"/>
    <row r="101" spans="1:8" ht="17" thickBot="1" x14ac:dyDescent="0.25">
      <c r="A101" s="56" t="s">
        <v>1874</v>
      </c>
      <c r="B101" s="57"/>
      <c r="C101" s="57"/>
      <c r="D101" s="57"/>
      <c r="E101" s="57"/>
      <c r="F101" s="57"/>
      <c r="G101" s="57"/>
      <c r="H101" s="141"/>
    </row>
    <row r="103" spans="1:8" x14ac:dyDescent="0.2">
      <c r="A103" s="1" t="s">
        <v>1895</v>
      </c>
    </row>
    <row r="104" spans="1:8" x14ac:dyDescent="0.2">
      <c r="A104" s="1" t="s">
        <v>1896</v>
      </c>
    </row>
    <row r="106" spans="1:8" x14ac:dyDescent="0.2">
      <c r="A106" s="1" t="s">
        <v>1897</v>
      </c>
    </row>
    <row r="108" spans="1:8" x14ac:dyDescent="0.2">
      <c r="A108" s="1" t="s">
        <v>1898</v>
      </c>
    </row>
    <row r="109" spans="1:8" x14ac:dyDescent="0.2">
      <c r="A109" s="1" t="s">
        <v>1899</v>
      </c>
    </row>
    <row r="111" spans="1:8" x14ac:dyDescent="0.2">
      <c r="C111" s="1" t="s">
        <v>1900</v>
      </c>
      <c r="E111" s="4" t="s">
        <v>25</v>
      </c>
    </row>
    <row r="112" spans="1:8" x14ac:dyDescent="0.2">
      <c r="C112" s="1" t="s">
        <v>1901</v>
      </c>
      <c r="E112" s="4" t="s">
        <v>25</v>
      </c>
    </row>
    <row r="113" spans="1:8" x14ac:dyDescent="0.2">
      <c r="C113" s="1" t="s">
        <v>1902</v>
      </c>
      <c r="E113" s="4" t="s">
        <v>27</v>
      </c>
    </row>
    <row r="114" spans="1:8" x14ac:dyDescent="0.2">
      <c r="C114" s="1" t="s">
        <v>1903</v>
      </c>
      <c r="E114" s="4" t="s">
        <v>28</v>
      </c>
    </row>
    <row r="116" spans="1:8" x14ac:dyDescent="0.2">
      <c r="A116" s="1" t="s">
        <v>1904</v>
      </c>
    </row>
    <row r="118" spans="1:8" x14ac:dyDescent="0.2">
      <c r="A118" s="35" t="s">
        <v>1905</v>
      </c>
      <c r="B118" s="33"/>
      <c r="C118" s="33"/>
      <c r="D118" s="33"/>
      <c r="E118" s="33"/>
      <c r="F118" s="33"/>
      <c r="G118" s="33"/>
      <c r="H118" s="33"/>
    </row>
    <row r="119" spans="1:8" x14ac:dyDescent="0.2">
      <c r="A119" s="1" t="s">
        <v>1906</v>
      </c>
    </row>
    <row r="120" spans="1:8" x14ac:dyDescent="0.2">
      <c r="A120" s="1" t="s">
        <v>1912</v>
      </c>
    </row>
    <row r="122" spans="1:8" x14ac:dyDescent="0.2">
      <c r="B122" s="6" t="s">
        <v>1907</v>
      </c>
      <c r="C122" s="6"/>
      <c r="D122" s="6" t="s">
        <v>369</v>
      </c>
      <c r="E122" s="6" t="s">
        <v>1908</v>
      </c>
      <c r="F122" s="6" t="s">
        <v>1913</v>
      </c>
      <c r="G122" s="6"/>
    </row>
    <row r="123" spans="1:8" x14ac:dyDescent="0.2">
      <c r="B123" s="1" t="s">
        <v>1909</v>
      </c>
      <c r="D123" s="72">
        <v>400000</v>
      </c>
      <c r="E123" s="72">
        <v>20000</v>
      </c>
      <c r="F123" s="1">
        <v>10</v>
      </c>
    </row>
    <row r="124" spans="1:8" x14ac:dyDescent="0.2">
      <c r="B124" s="1" t="s">
        <v>1910</v>
      </c>
      <c r="D124" s="72">
        <v>30000</v>
      </c>
      <c r="E124" s="72">
        <v>10000</v>
      </c>
      <c r="F124" s="1">
        <v>5</v>
      </c>
    </row>
    <row r="125" spans="1:8" x14ac:dyDescent="0.2">
      <c r="B125" s="1" t="s">
        <v>1911</v>
      </c>
      <c r="D125" s="72">
        <v>10000</v>
      </c>
      <c r="E125" s="72">
        <v>2000</v>
      </c>
      <c r="F125" s="1">
        <v>3</v>
      </c>
    </row>
    <row r="127" spans="1:8" x14ac:dyDescent="0.2">
      <c r="A127" s="1" t="s">
        <v>1914</v>
      </c>
    </row>
    <row r="128" spans="1:8" x14ac:dyDescent="0.2">
      <c r="A128" s="1" t="s">
        <v>1915</v>
      </c>
    </row>
    <row r="129" spans="1:10" x14ac:dyDescent="0.2">
      <c r="A129" s="1" t="s">
        <v>1916</v>
      </c>
    </row>
    <row r="130" spans="1:10" x14ac:dyDescent="0.2">
      <c r="A130" s="1" t="s">
        <v>1917</v>
      </c>
    </row>
    <row r="131" spans="1:10" x14ac:dyDescent="0.2">
      <c r="A131" s="1" t="s">
        <v>1918</v>
      </c>
    </row>
    <row r="132" spans="1:10" x14ac:dyDescent="0.2">
      <c r="A132" s="1" t="s">
        <v>1919</v>
      </c>
    </row>
    <row r="134" spans="1:10" x14ac:dyDescent="0.2">
      <c r="A134" s="1" t="s">
        <v>222</v>
      </c>
    </row>
    <row r="135" spans="1:10" x14ac:dyDescent="0.2">
      <c r="A135" s="1" t="s">
        <v>1920</v>
      </c>
    </row>
    <row r="136" spans="1:10" x14ac:dyDescent="0.2">
      <c r="A136" s="1" t="s">
        <v>1921</v>
      </c>
    </row>
    <row r="137" spans="1:10" x14ac:dyDescent="0.2">
      <c r="A137" s="1" t="s">
        <v>1922</v>
      </c>
    </row>
    <row r="139" spans="1:10" x14ac:dyDescent="0.2">
      <c r="A139" s="3" t="s">
        <v>715</v>
      </c>
    </row>
    <row r="141" spans="1:10" x14ac:dyDescent="0.2">
      <c r="A141" s="1" t="s">
        <v>1928</v>
      </c>
    </row>
    <row r="142" spans="1:10" x14ac:dyDescent="0.2">
      <c r="C142" s="1" t="s">
        <v>1926</v>
      </c>
      <c r="G142" s="1">
        <f>380000/10</f>
        <v>38000</v>
      </c>
      <c r="J142" s="1" t="s">
        <v>1925</v>
      </c>
    </row>
    <row r="143" spans="1:10" x14ac:dyDescent="0.2">
      <c r="C143" s="1" t="s">
        <v>1927</v>
      </c>
      <c r="G143" s="1">
        <f>380000/10*(6/12)</f>
        <v>19000</v>
      </c>
      <c r="J143" s="1" t="s">
        <v>1929</v>
      </c>
    </row>
    <row r="144" spans="1:10" x14ac:dyDescent="0.2">
      <c r="C144" s="1" t="s">
        <v>1923</v>
      </c>
      <c r="G144" s="1">
        <f>20000/5*9/12</f>
        <v>3000</v>
      </c>
      <c r="J144" s="1" t="s">
        <v>1930</v>
      </c>
    </row>
    <row r="145" spans="1:14" x14ac:dyDescent="0.2">
      <c r="C145" s="1" t="s">
        <v>1924</v>
      </c>
      <c r="G145" s="364">
        <f>8000/3</f>
        <v>2666.6666666666665</v>
      </c>
      <c r="J145" s="1" t="s">
        <v>1931</v>
      </c>
    </row>
    <row r="146" spans="1:14" x14ac:dyDescent="0.2">
      <c r="C146" s="1" t="s">
        <v>1932</v>
      </c>
      <c r="G146" s="358">
        <f>SUM(G142:G145)</f>
        <v>62666.666666666664</v>
      </c>
    </row>
    <row r="148" spans="1:14" x14ac:dyDescent="0.2">
      <c r="A148" s="1" t="s">
        <v>1933</v>
      </c>
    </row>
    <row r="149" spans="1:14" x14ac:dyDescent="0.2">
      <c r="C149" s="1" t="s">
        <v>1934</v>
      </c>
    </row>
    <row r="151" spans="1:14" x14ac:dyDescent="0.2">
      <c r="C151" s="1" t="s">
        <v>1935</v>
      </c>
      <c r="G151" s="4" t="s">
        <v>25</v>
      </c>
      <c r="H151" s="18">
        <v>22000</v>
      </c>
      <c r="I151" s="1" t="s">
        <v>1938</v>
      </c>
    </row>
    <row r="152" spans="1:14" x14ac:dyDescent="0.2">
      <c r="C152" s="1" t="s">
        <v>1936</v>
      </c>
      <c r="G152" s="4" t="s">
        <v>27</v>
      </c>
      <c r="H152" s="19">
        <f>-K161</f>
        <v>-23000</v>
      </c>
    </row>
    <row r="153" spans="1:14" x14ac:dyDescent="0.2">
      <c r="C153" s="1" t="s">
        <v>1948</v>
      </c>
      <c r="G153" s="4" t="s">
        <v>1937</v>
      </c>
      <c r="H153" s="207">
        <f>H151+H152</f>
        <v>-1000</v>
      </c>
    </row>
    <row r="159" spans="1:14" x14ac:dyDescent="0.2">
      <c r="G159" s="1" t="s">
        <v>1939</v>
      </c>
      <c r="K159" s="18">
        <v>30000</v>
      </c>
    </row>
    <row r="160" spans="1:14" x14ac:dyDescent="0.2">
      <c r="G160" s="1" t="s">
        <v>1940</v>
      </c>
      <c r="K160" s="19">
        <f>-20000/5*(1+9/12)</f>
        <v>-7000</v>
      </c>
      <c r="N160" s="1" t="s">
        <v>1941</v>
      </c>
    </row>
    <row r="161" spans="1:14" x14ac:dyDescent="0.2">
      <c r="G161" s="1" t="s">
        <v>1947</v>
      </c>
      <c r="K161" s="206">
        <f>K159+K160</f>
        <v>23000</v>
      </c>
    </row>
    <row r="162" spans="1:14" x14ac:dyDescent="0.2">
      <c r="L162" s="1" t="s">
        <v>1141</v>
      </c>
      <c r="N162" s="1" t="s">
        <v>1206</v>
      </c>
    </row>
    <row r="163" spans="1:14" x14ac:dyDescent="0.2">
      <c r="A163" s="1" t="s">
        <v>1949</v>
      </c>
      <c r="L163" s="1" t="s">
        <v>1943</v>
      </c>
      <c r="N163" s="1" t="s">
        <v>1942</v>
      </c>
    </row>
    <row r="164" spans="1:14" x14ac:dyDescent="0.2">
      <c r="L164" s="1" t="s">
        <v>1944</v>
      </c>
    </row>
    <row r="165" spans="1:14" x14ac:dyDescent="0.2">
      <c r="D165" s="166" t="s">
        <v>1950</v>
      </c>
      <c r="E165" s="17" t="s">
        <v>1951</v>
      </c>
      <c r="F165" s="17" t="s">
        <v>315</v>
      </c>
      <c r="L165" s="1" t="s">
        <v>1945</v>
      </c>
    </row>
    <row r="166" spans="1:14" x14ac:dyDescent="0.2">
      <c r="C166" s="1" t="s">
        <v>369</v>
      </c>
      <c r="D166" s="366">
        <f>D123*2</f>
        <v>800000</v>
      </c>
      <c r="E166" s="18">
        <f>D125</f>
        <v>10000</v>
      </c>
      <c r="F166" s="18">
        <f>D166+E166</f>
        <v>810000</v>
      </c>
      <c r="L166" s="1" t="s">
        <v>1946</v>
      </c>
    </row>
    <row r="167" spans="1:14" x14ac:dyDescent="0.2">
      <c r="C167" s="1" t="s">
        <v>370</v>
      </c>
      <c r="D167" s="369">
        <f>-G181</f>
        <v>-171000</v>
      </c>
      <c r="E167" s="367">
        <f>-D173</f>
        <v>-3333.333333333333</v>
      </c>
      <c r="F167" s="19">
        <f>D167+E167</f>
        <v>-174333.33333333334</v>
      </c>
    </row>
    <row r="168" spans="1:14" x14ac:dyDescent="0.2">
      <c r="C168" s="1" t="s">
        <v>975</v>
      </c>
      <c r="D168" s="58">
        <f>D166+D167</f>
        <v>629000</v>
      </c>
      <c r="E168" s="58">
        <f>E166+E167</f>
        <v>6666.666666666667</v>
      </c>
      <c r="F168" s="58">
        <f>D168+E168</f>
        <v>635666.66666666663</v>
      </c>
    </row>
    <row r="170" spans="1:14" x14ac:dyDescent="0.2">
      <c r="B170" s="1" t="s">
        <v>396</v>
      </c>
      <c r="C170" s="1" t="s">
        <v>1952</v>
      </c>
    </row>
    <row r="171" spans="1:14" x14ac:dyDescent="0.2">
      <c r="B171" s="1" t="s">
        <v>398</v>
      </c>
      <c r="C171" s="1" t="s">
        <v>1953</v>
      </c>
    </row>
    <row r="172" spans="1:14" x14ac:dyDescent="0.2">
      <c r="C172" s="1" t="s">
        <v>1954</v>
      </c>
    </row>
    <row r="173" spans="1:14" x14ac:dyDescent="0.2">
      <c r="D173" s="368">
        <f>8000/3*1.25</f>
        <v>3333.333333333333</v>
      </c>
      <c r="G173" s="1" t="s">
        <v>1955</v>
      </c>
    </row>
    <row r="174" spans="1:14" x14ac:dyDescent="0.2">
      <c r="B174" s="1" t="s">
        <v>1956</v>
      </c>
      <c r="C174" s="1" t="s">
        <v>1957</v>
      </c>
    </row>
    <row r="175" spans="1:14" x14ac:dyDescent="0.2">
      <c r="C175" s="1" t="s">
        <v>1958</v>
      </c>
      <c r="G175" s="72">
        <v>400000</v>
      </c>
      <c r="H175" s="1" t="s">
        <v>1959</v>
      </c>
    </row>
    <row r="176" spans="1:14" x14ac:dyDescent="0.2">
      <c r="C176" s="1" t="s">
        <v>1960</v>
      </c>
      <c r="G176" s="72">
        <v>400000</v>
      </c>
    </row>
    <row r="177" spans="2:10" x14ac:dyDescent="0.2">
      <c r="C177" s="1" t="s">
        <v>1961</v>
      </c>
      <c r="G177" s="365">
        <f>G175+G176</f>
        <v>800000</v>
      </c>
    </row>
    <row r="178" spans="2:10" x14ac:dyDescent="0.2">
      <c r="B178" s="1" t="s">
        <v>1956</v>
      </c>
      <c r="C178" s="1" t="s">
        <v>1962</v>
      </c>
    </row>
    <row r="179" spans="2:10" x14ac:dyDescent="0.2">
      <c r="C179" s="1" t="s">
        <v>1963</v>
      </c>
      <c r="G179" s="72">
        <f>(400000-20000)/10*4</f>
        <v>152000</v>
      </c>
      <c r="J179" s="1" t="s">
        <v>1965</v>
      </c>
    </row>
    <row r="180" spans="2:10" x14ac:dyDescent="0.2">
      <c r="C180" s="1" t="s">
        <v>1964</v>
      </c>
      <c r="G180" s="72">
        <f>380000/10*(6/12)</f>
        <v>19000</v>
      </c>
      <c r="J180" s="1" t="s">
        <v>1929</v>
      </c>
    </row>
    <row r="181" spans="2:10" x14ac:dyDescent="0.2">
      <c r="C181" s="1" t="s">
        <v>1966</v>
      </c>
      <c r="G181" s="370">
        <f>G179+G180</f>
        <v>171000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03D6-B902-644C-BFC5-BA460BEB946A}">
  <dimension ref="A1:T171"/>
  <sheetViews>
    <sheetView rightToLeft="1" tabSelected="1" topLeftCell="A133" zoomScale="180" workbookViewId="0">
      <selection activeCell="F145" sqref="F145"/>
    </sheetView>
  </sheetViews>
  <sheetFormatPr baseColWidth="10" defaultRowHeight="16" x14ac:dyDescent="0.2"/>
  <cols>
    <col min="1" max="16384" width="10.83203125" style="1"/>
  </cols>
  <sheetData>
    <row r="1" spans="1:1" x14ac:dyDescent="0.2">
      <c r="A1" s="1" t="s">
        <v>1967</v>
      </c>
    </row>
    <row r="80" ht="17" thickBot="1" x14ac:dyDescent="0.25"/>
    <row r="81" spans="1:8" ht="17" thickBot="1" x14ac:dyDescent="0.25">
      <c r="A81" s="235" t="s">
        <v>1820</v>
      </c>
      <c r="B81" s="332"/>
      <c r="C81" s="332"/>
      <c r="D81" s="332"/>
      <c r="E81" s="332"/>
      <c r="F81" s="332"/>
      <c r="G81" s="332"/>
      <c r="H81" s="333"/>
    </row>
    <row r="83" spans="1:8" x14ac:dyDescent="0.2">
      <c r="A83" s="1" t="s">
        <v>1821</v>
      </c>
    </row>
    <row r="84" spans="1:8" x14ac:dyDescent="0.2">
      <c r="A84" s="1" t="s">
        <v>1822</v>
      </c>
    </row>
    <row r="86" spans="1:8" x14ac:dyDescent="0.2">
      <c r="A86" s="6" t="s">
        <v>197</v>
      </c>
      <c r="B86" s="6"/>
      <c r="C86" s="6"/>
      <c r="D86" s="245" t="s">
        <v>446</v>
      </c>
    </row>
    <row r="87" spans="1:8" x14ac:dyDescent="0.2">
      <c r="A87" s="1" t="s">
        <v>1824</v>
      </c>
      <c r="D87" s="237" t="s">
        <v>513</v>
      </c>
    </row>
    <row r="88" spans="1:8" x14ac:dyDescent="0.2">
      <c r="A88" s="1" t="s">
        <v>112</v>
      </c>
      <c r="D88" s="38">
        <v>800</v>
      </c>
    </row>
    <row r="89" spans="1:8" x14ac:dyDescent="0.2">
      <c r="A89" s="1" t="s">
        <v>1648</v>
      </c>
      <c r="D89" s="38">
        <v>750</v>
      </c>
    </row>
    <row r="90" spans="1:8" x14ac:dyDescent="0.2">
      <c r="A90" s="1" t="s">
        <v>212</v>
      </c>
      <c r="D90" s="38">
        <v>1000</v>
      </c>
    </row>
    <row r="91" spans="1:8" x14ac:dyDescent="0.2">
      <c r="A91" s="1" t="s">
        <v>1416</v>
      </c>
      <c r="D91" s="38">
        <v>400</v>
      </c>
    </row>
    <row r="92" spans="1:8" x14ac:dyDescent="0.2">
      <c r="A92" s="1" t="s">
        <v>674</v>
      </c>
      <c r="D92" s="38">
        <v>300</v>
      </c>
    </row>
    <row r="93" spans="1:8" x14ac:dyDescent="0.2">
      <c r="A93" s="1" t="s">
        <v>1651</v>
      </c>
      <c r="D93" s="38">
        <v>288</v>
      </c>
    </row>
    <row r="94" spans="1:8" x14ac:dyDescent="0.2">
      <c r="A94" s="1" t="s">
        <v>1823</v>
      </c>
      <c r="D94" s="38">
        <v>138</v>
      </c>
    </row>
    <row r="95" spans="1:8" x14ac:dyDescent="0.2">
      <c r="A95" s="1" t="s">
        <v>218</v>
      </c>
      <c r="D95" s="38">
        <v>222</v>
      </c>
    </row>
    <row r="96" spans="1:8" x14ac:dyDescent="0.2">
      <c r="A96" s="1" t="s">
        <v>490</v>
      </c>
      <c r="D96" s="38">
        <v>131</v>
      </c>
    </row>
    <row r="97" spans="1:4" x14ac:dyDescent="0.2">
      <c r="A97" s="1" t="s">
        <v>1646</v>
      </c>
      <c r="D97" s="38">
        <v>212</v>
      </c>
    </row>
    <row r="98" spans="1:4" x14ac:dyDescent="0.2">
      <c r="A98" s="1" t="s">
        <v>1647</v>
      </c>
      <c r="D98" s="38">
        <v>212</v>
      </c>
    </row>
    <row r="99" spans="1:4" x14ac:dyDescent="0.2">
      <c r="A99" s="1" t="s">
        <v>101</v>
      </c>
      <c r="D99" s="38">
        <v>111</v>
      </c>
    </row>
    <row r="100" spans="1:4" x14ac:dyDescent="0.2">
      <c r="A100" s="1" t="s">
        <v>1825</v>
      </c>
      <c r="D100" s="38">
        <v>19</v>
      </c>
    </row>
    <row r="101" spans="1:4" x14ac:dyDescent="0.2">
      <c r="A101" s="1" t="s">
        <v>100</v>
      </c>
      <c r="D101" s="38">
        <v>117</v>
      </c>
    </row>
    <row r="102" spans="1:4" x14ac:dyDescent="0.2">
      <c r="A102" s="1" t="s">
        <v>1649</v>
      </c>
      <c r="D102" s="38">
        <v>100</v>
      </c>
    </row>
    <row r="103" spans="1:4" x14ac:dyDescent="0.2">
      <c r="A103" s="1" t="s">
        <v>1655</v>
      </c>
      <c r="D103" s="38">
        <v>92</v>
      </c>
    </row>
    <row r="104" spans="1:4" x14ac:dyDescent="0.2">
      <c r="A104" s="1" t="s">
        <v>1657</v>
      </c>
      <c r="D104" s="38">
        <v>80</v>
      </c>
    </row>
    <row r="105" spans="1:4" x14ac:dyDescent="0.2">
      <c r="A105" s="1" t="s">
        <v>1278</v>
      </c>
      <c r="D105" s="38">
        <v>70</v>
      </c>
    </row>
    <row r="106" spans="1:4" x14ac:dyDescent="0.2">
      <c r="A106" s="1" t="s">
        <v>309</v>
      </c>
      <c r="D106" s="38">
        <v>60</v>
      </c>
    </row>
    <row r="107" spans="1:4" x14ac:dyDescent="0.2">
      <c r="A107" s="1" t="s">
        <v>1656</v>
      </c>
      <c r="D107" s="38">
        <v>53</v>
      </c>
    </row>
    <row r="108" spans="1:4" x14ac:dyDescent="0.2">
      <c r="A108" s="1" t="s">
        <v>220</v>
      </c>
      <c r="D108" s="38">
        <v>45</v>
      </c>
    </row>
    <row r="109" spans="1:4" x14ac:dyDescent="0.2">
      <c r="A109" s="1" t="s">
        <v>310</v>
      </c>
      <c r="D109" s="38">
        <v>22</v>
      </c>
    </row>
    <row r="110" spans="1:4" x14ac:dyDescent="0.2">
      <c r="A110" s="1" t="s">
        <v>80</v>
      </c>
      <c r="D110" s="38">
        <v>40</v>
      </c>
    </row>
    <row r="111" spans="1:4" x14ac:dyDescent="0.2">
      <c r="A111" s="1" t="s">
        <v>1658</v>
      </c>
      <c r="D111" s="38">
        <v>12</v>
      </c>
    </row>
    <row r="112" spans="1:4" x14ac:dyDescent="0.2">
      <c r="A112" s="1" t="s">
        <v>206</v>
      </c>
      <c r="D112" s="38">
        <v>19</v>
      </c>
    </row>
    <row r="113" spans="1:4" x14ac:dyDescent="0.2">
      <c r="A113" s="1" t="s">
        <v>409</v>
      </c>
      <c r="D113" s="38">
        <v>44</v>
      </c>
    </row>
    <row r="114" spans="1:4" x14ac:dyDescent="0.2">
      <c r="A114" s="1" t="s">
        <v>1654</v>
      </c>
      <c r="D114" s="38">
        <v>15</v>
      </c>
    </row>
    <row r="115" spans="1:4" x14ac:dyDescent="0.2">
      <c r="A115" s="1" t="s">
        <v>1323</v>
      </c>
      <c r="D115" s="38">
        <v>23</v>
      </c>
    </row>
    <row r="116" spans="1:4" x14ac:dyDescent="0.2">
      <c r="A116" s="1" t="s">
        <v>1653</v>
      </c>
      <c r="D116" s="38">
        <v>22</v>
      </c>
    </row>
    <row r="117" spans="1:4" x14ac:dyDescent="0.2">
      <c r="A117" s="1" t="s">
        <v>438</v>
      </c>
      <c r="D117" s="38">
        <v>20</v>
      </c>
    </row>
    <row r="118" spans="1:4" x14ac:dyDescent="0.2">
      <c r="A118" s="1" t="s">
        <v>203</v>
      </c>
      <c r="D118" s="38">
        <v>15</v>
      </c>
    </row>
    <row r="119" spans="1:4" x14ac:dyDescent="0.2">
      <c r="A119" s="1" t="s">
        <v>1322</v>
      </c>
      <c r="D119" s="38">
        <v>19</v>
      </c>
    </row>
    <row r="120" spans="1:4" x14ac:dyDescent="0.2">
      <c r="A120" s="1" t="s">
        <v>109</v>
      </c>
      <c r="D120" s="38">
        <v>27</v>
      </c>
    </row>
    <row r="121" spans="1:4" x14ac:dyDescent="0.2">
      <c r="A121" s="1" t="s">
        <v>1652</v>
      </c>
      <c r="D121" s="38">
        <v>10</v>
      </c>
    </row>
    <row r="122" spans="1:4" x14ac:dyDescent="0.2">
      <c r="A122" s="1" t="s">
        <v>453</v>
      </c>
      <c r="D122" s="38">
        <v>5</v>
      </c>
    </row>
    <row r="123" spans="1:4" x14ac:dyDescent="0.2">
      <c r="A123" s="1" t="s">
        <v>1826</v>
      </c>
      <c r="D123" s="38">
        <v>5</v>
      </c>
    </row>
    <row r="125" spans="1:4" x14ac:dyDescent="0.2">
      <c r="A125" s="1" t="s">
        <v>560</v>
      </c>
    </row>
    <row r="126" spans="1:4" x14ac:dyDescent="0.2">
      <c r="A126" s="1" t="s">
        <v>1969</v>
      </c>
    </row>
    <row r="131" spans="1:20" ht="17" thickBot="1" x14ac:dyDescent="0.25"/>
    <row r="132" spans="1:20" x14ac:dyDescent="0.2">
      <c r="A132" s="6" t="s">
        <v>197</v>
      </c>
      <c r="B132" s="6"/>
      <c r="C132" s="6"/>
      <c r="D132" s="245" t="s">
        <v>446</v>
      </c>
      <c r="E132" s="6" t="s">
        <v>1968</v>
      </c>
      <c r="G132" s="84" t="s">
        <v>1827</v>
      </c>
      <c r="H132" s="46"/>
      <c r="I132" s="46"/>
      <c r="J132" s="46"/>
      <c r="K132" s="46"/>
      <c r="L132" s="47"/>
      <c r="N132" s="84" t="s">
        <v>1828</v>
      </c>
      <c r="O132" s="46"/>
      <c r="P132" s="46"/>
      <c r="Q132" s="47"/>
    </row>
    <row r="133" spans="1:20" x14ac:dyDescent="0.2">
      <c r="A133" s="1" t="s">
        <v>1824</v>
      </c>
      <c r="D133" s="237" t="s">
        <v>513</v>
      </c>
      <c r="E133" s="1" t="s">
        <v>36</v>
      </c>
      <c r="G133" s="48"/>
      <c r="H133" s="398"/>
      <c r="I133" s="398"/>
      <c r="J133" s="398"/>
      <c r="K133" s="398"/>
      <c r="L133" s="49"/>
      <c r="N133" s="48"/>
      <c r="O133" s="398"/>
      <c r="P133" s="398"/>
      <c r="Q133" s="49"/>
    </row>
    <row r="134" spans="1:20" x14ac:dyDescent="0.2">
      <c r="A134" s="1" t="s">
        <v>1992</v>
      </c>
      <c r="D134" s="38">
        <v>800</v>
      </c>
      <c r="E134" s="397" t="s">
        <v>524</v>
      </c>
      <c r="G134" s="401" t="s">
        <v>33</v>
      </c>
      <c r="H134" s="6"/>
      <c r="I134" s="6"/>
      <c r="J134" s="6" t="s">
        <v>275</v>
      </c>
      <c r="K134" s="6"/>
      <c r="L134" s="49"/>
      <c r="N134" s="48" t="s">
        <v>212</v>
      </c>
      <c r="O134" s="398"/>
      <c r="P134" s="399">
        <f>T138</f>
        <v>918</v>
      </c>
      <c r="Q134" s="49"/>
      <c r="R134" s="397" t="s">
        <v>1998</v>
      </c>
    </row>
    <row r="135" spans="1:20" x14ac:dyDescent="0.2">
      <c r="A135" s="1" t="s">
        <v>1648</v>
      </c>
      <c r="D135" s="38">
        <v>750</v>
      </c>
      <c r="E135" s="397" t="s">
        <v>524</v>
      </c>
      <c r="G135" s="48"/>
      <c r="H135" s="398"/>
      <c r="I135" s="398"/>
      <c r="J135" s="398"/>
      <c r="K135" s="398"/>
      <c r="L135" s="49"/>
      <c r="N135" s="48" t="s">
        <v>216</v>
      </c>
      <c r="O135" s="398"/>
      <c r="P135" s="399">
        <f>-T144</f>
        <v>-238</v>
      </c>
      <c r="Q135" s="49"/>
      <c r="R135" s="1" t="s">
        <v>212</v>
      </c>
      <c r="T135" s="30">
        <f>D136</f>
        <v>1000</v>
      </c>
    </row>
    <row r="136" spans="1:20" x14ac:dyDescent="0.2">
      <c r="A136" s="1" t="s">
        <v>212</v>
      </c>
      <c r="D136" s="38">
        <v>1000</v>
      </c>
      <c r="E136" s="1" t="s">
        <v>1970</v>
      </c>
      <c r="G136" s="48" t="s">
        <v>523</v>
      </c>
      <c r="H136" s="398"/>
      <c r="I136" s="398"/>
      <c r="J136" s="398" t="s">
        <v>525</v>
      </c>
      <c r="K136" s="398"/>
      <c r="L136" s="49"/>
      <c r="N136" s="48" t="s">
        <v>248</v>
      </c>
      <c r="O136" s="398"/>
      <c r="P136" s="71">
        <f>P134+P135</f>
        <v>680</v>
      </c>
      <c r="Q136" s="49"/>
      <c r="R136" s="1" t="s">
        <v>309</v>
      </c>
      <c r="T136" s="30">
        <f>-D152</f>
        <v>-60</v>
      </c>
    </row>
    <row r="137" spans="1:20" x14ac:dyDescent="0.2">
      <c r="A137" s="1" t="s">
        <v>1986</v>
      </c>
      <c r="D137" s="38">
        <v>400</v>
      </c>
      <c r="E137" s="3" t="s">
        <v>523</v>
      </c>
      <c r="F137" s="3"/>
      <c r="G137" s="48" t="s">
        <v>80</v>
      </c>
      <c r="H137" s="398">
        <v>40</v>
      </c>
      <c r="I137" s="398"/>
      <c r="J137" s="398" t="s">
        <v>100</v>
      </c>
      <c r="K137" s="398"/>
      <c r="L137" s="49">
        <f>D147</f>
        <v>117</v>
      </c>
      <c r="N137" s="48" t="s">
        <v>249</v>
      </c>
      <c r="O137" s="398"/>
      <c r="P137" s="399">
        <f>-(92+22*50%+19+60%*10)</f>
        <v>-128</v>
      </c>
      <c r="Q137" s="49"/>
      <c r="R137" s="1" t="s">
        <v>310</v>
      </c>
      <c r="T137" s="30">
        <f>-D155</f>
        <v>-22</v>
      </c>
    </row>
    <row r="138" spans="1:20" x14ac:dyDescent="0.2">
      <c r="A138" s="1" t="s">
        <v>674</v>
      </c>
      <c r="D138" s="38">
        <v>300</v>
      </c>
      <c r="E138" s="3" t="s">
        <v>523</v>
      </c>
      <c r="F138" s="3"/>
      <c r="G138" s="48" t="s">
        <v>76</v>
      </c>
      <c r="H138" s="398">
        <f>300-12</f>
        <v>288</v>
      </c>
      <c r="I138" s="398"/>
      <c r="J138" s="398" t="s">
        <v>220</v>
      </c>
      <c r="K138" s="398"/>
      <c r="L138" s="49">
        <f>D154</f>
        <v>45</v>
      </c>
      <c r="N138" s="48" t="s">
        <v>250</v>
      </c>
      <c r="O138" s="398"/>
      <c r="P138" s="399">
        <f>-(19+53+15+23+22*50%+40%*10)</f>
        <v>-125</v>
      </c>
      <c r="Q138" s="49"/>
      <c r="R138" s="1" t="s">
        <v>1999</v>
      </c>
      <c r="T138" s="61">
        <f>SUM(T135:T137)</f>
        <v>918</v>
      </c>
    </row>
    <row r="139" spans="1:20" x14ac:dyDescent="0.2">
      <c r="A139" s="1" t="s">
        <v>1651</v>
      </c>
      <c r="D139" s="38">
        <v>288</v>
      </c>
      <c r="E139" s="1" t="s">
        <v>1971</v>
      </c>
      <c r="G139" s="48" t="s">
        <v>1622</v>
      </c>
      <c r="H139" s="398">
        <v>212</v>
      </c>
      <c r="I139" s="398"/>
      <c r="J139" s="398"/>
      <c r="K139" s="398"/>
      <c r="L139" s="49"/>
      <c r="N139" s="48" t="s">
        <v>252</v>
      </c>
      <c r="O139" s="398"/>
      <c r="P139" s="399">
        <f>-D169</f>
        <v>-5</v>
      </c>
      <c r="Q139" s="49"/>
      <c r="T139" s="30"/>
    </row>
    <row r="140" spans="1:20" x14ac:dyDescent="0.2">
      <c r="A140" s="1" t="s">
        <v>1823</v>
      </c>
      <c r="D140" s="38">
        <v>138</v>
      </c>
      <c r="E140" s="1" t="s">
        <v>1972</v>
      </c>
      <c r="G140" s="48" t="s">
        <v>1985</v>
      </c>
      <c r="H140" s="398">
        <v>400</v>
      </c>
      <c r="I140" s="398"/>
      <c r="J140" s="398" t="s">
        <v>315</v>
      </c>
      <c r="K140" s="398"/>
      <c r="L140" s="402">
        <f>SUM(L136:L139)</f>
        <v>162</v>
      </c>
      <c r="N140" s="48" t="s">
        <v>253</v>
      </c>
      <c r="O140" s="398"/>
      <c r="P140" s="71">
        <f>SUM(P136:P139)</f>
        <v>422</v>
      </c>
      <c r="Q140" s="49"/>
      <c r="R140" s="397" t="s">
        <v>216</v>
      </c>
      <c r="T140" s="30"/>
    </row>
    <row r="141" spans="1:20" x14ac:dyDescent="0.2">
      <c r="A141" s="1" t="s">
        <v>218</v>
      </c>
      <c r="D141" s="38">
        <v>222</v>
      </c>
      <c r="E141" s="397" t="s">
        <v>524</v>
      </c>
      <c r="G141" s="48" t="s">
        <v>315</v>
      </c>
      <c r="H141" s="339">
        <f>SUM(H137:H140)</f>
        <v>940</v>
      </c>
      <c r="I141" s="398"/>
      <c r="J141" s="398"/>
      <c r="K141" s="398"/>
      <c r="L141" s="49"/>
      <c r="N141" s="48" t="s">
        <v>254</v>
      </c>
      <c r="O141" s="398"/>
      <c r="P141" s="399">
        <f>-(D158+D166)</f>
        <v>-46</v>
      </c>
      <c r="Q141" s="49"/>
      <c r="R141" s="1" t="s">
        <v>408</v>
      </c>
      <c r="T141" s="30">
        <f>D159</f>
        <v>44</v>
      </c>
    </row>
    <row r="142" spans="1:20" x14ac:dyDescent="0.2">
      <c r="A142" s="1" t="s">
        <v>490</v>
      </c>
      <c r="D142" s="38">
        <v>131</v>
      </c>
      <c r="E142" s="1" t="s">
        <v>36</v>
      </c>
      <c r="G142" s="48"/>
      <c r="H142" s="398"/>
      <c r="I142" s="398"/>
      <c r="J142" s="398"/>
      <c r="K142" s="398"/>
      <c r="L142" s="49"/>
      <c r="N142" s="48" t="s">
        <v>255</v>
      </c>
      <c r="O142" s="398"/>
      <c r="P142" s="399">
        <f>D164</f>
        <v>15</v>
      </c>
      <c r="Q142" s="49"/>
      <c r="R142" s="1" t="s">
        <v>410</v>
      </c>
      <c r="T142" s="30">
        <f>T152</f>
        <v>406</v>
      </c>
    </row>
    <row r="143" spans="1:20" x14ac:dyDescent="0.2">
      <c r="A143" s="1" t="s">
        <v>1646</v>
      </c>
      <c r="D143" s="38">
        <v>212</v>
      </c>
      <c r="E143" s="3" t="s">
        <v>523</v>
      </c>
      <c r="F143" s="3"/>
      <c r="G143" s="48" t="s">
        <v>524</v>
      </c>
      <c r="H143" s="398"/>
      <c r="I143" s="398"/>
      <c r="J143" s="398" t="s">
        <v>526</v>
      </c>
      <c r="K143" s="398"/>
      <c r="L143" s="49"/>
      <c r="N143" s="48" t="s">
        <v>256</v>
      </c>
      <c r="O143" s="398"/>
      <c r="P143" s="71">
        <f>SUM(P140:P142)</f>
        <v>391</v>
      </c>
      <c r="Q143" s="49"/>
      <c r="R143" s="1" t="s">
        <v>413</v>
      </c>
      <c r="T143" s="30">
        <f>-D144</f>
        <v>-212</v>
      </c>
    </row>
    <row r="144" spans="1:20" x14ac:dyDescent="0.2">
      <c r="A144" s="1" t="s">
        <v>1647</v>
      </c>
      <c r="D144" s="38">
        <v>212</v>
      </c>
      <c r="E144" s="1" t="s">
        <v>1973</v>
      </c>
      <c r="G144" s="48" t="s">
        <v>1314</v>
      </c>
      <c r="H144" s="398">
        <f>750-100</f>
        <v>650</v>
      </c>
      <c r="I144" s="398"/>
      <c r="J144" s="398" t="s">
        <v>101</v>
      </c>
      <c r="K144" s="398"/>
      <c r="L144" s="49">
        <f>D145</f>
        <v>111</v>
      </c>
      <c r="N144" s="48" t="s">
        <v>257</v>
      </c>
      <c r="O144" s="398"/>
      <c r="P144" s="399">
        <v>-80</v>
      </c>
      <c r="Q144" s="49"/>
      <c r="R144" s="1" t="s">
        <v>2001</v>
      </c>
      <c r="T144" s="61">
        <f>SUM(T141:T143)</f>
        <v>238</v>
      </c>
    </row>
    <row r="145" spans="1:20" ht="17" thickBot="1" x14ac:dyDescent="0.25">
      <c r="A145" s="1" t="s">
        <v>101</v>
      </c>
      <c r="D145" s="38">
        <v>111</v>
      </c>
      <c r="E145" s="1" t="s">
        <v>1994</v>
      </c>
      <c r="G145" s="48" t="s">
        <v>1991</v>
      </c>
      <c r="H145" s="398">
        <f>D134</f>
        <v>800</v>
      </c>
      <c r="I145" s="398"/>
      <c r="J145" s="398" t="s">
        <v>315</v>
      </c>
      <c r="K145" s="398"/>
      <c r="L145" s="402">
        <f>SUM(L144)</f>
        <v>111</v>
      </c>
      <c r="N145" s="50" t="s">
        <v>258</v>
      </c>
      <c r="O145" s="51"/>
      <c r="P145" s="400">
        <f>P143+P144</f>
        <v>311</v>
      </c>
      <c r="Q145" s="79"/>
      <c r="T145" s="30"/>
    </row>
    <row r="146" spans="1:20" x14ac:dyDescent="0.2">
      <c r="A146" s="1" t="s">
        <v>1825</v>
      </c>
      <c r="D146" s="38">
        <v>19</v>
      </c>
      <c r="E146" s="1" t="s">
        <v>1974</v>
      </c>
      <c r="G146" s="48" t="s">
        <v>315</v>
      </c>
      <c r="H146" s="339">
        <f>SUM(H144:H145)</f>
        <v>1450</v>
      </c>
      <c r="I146" s="398"/>
      <c r="J146" s="398"/>
      <c r="K146" s="398"/>
      <c r="L146" s="49"/>
      <c r="T146" s="30"/>
    </row>
    <row r="147" spans="1:20" x14ac:dyDescent="0.2">
      <c r="A147" s="1" t="s">
        <v>100</v>
      </c>
      <c r="D147" s="38">
        <v>117</v>
      </c>
      <c r="E147" s="1" t="s">
        <v>1993</v>
      </c>
      <c r="G147" s="48"/>
      <c r="H147" s="398"/>
      <c r="I147" s="398"/>
      <c r="J147" s="398"/>
      <c r="K147" s="398"/>
      <c r="L147" s="49"/>
      <c r="R147" s="397" t="s">
        <v>2000</v>
      </c>
      <c r="T147" s="30"/>
    </row>
    <row r="148" spans="1:20" x14ac:dyDescent="0.2">
      <c r="A148" s="1" t="s">
        <v>1649</v>
      </c>
      <c r="D148" s="38">
        <v>100</v>
      </c>
      <c r="E148" s="397" t="s">
        <v>1975</v>
      </c>
      <c r="G148" s="48"/>
      <c r="H148" s="398"/>
      <c r="I148" s="398"/>
      <c r="J148" s="398" t="s">
        <v>36</v>
      </c>
      <c r="K148" s="398"/>
      <c r="L148" s="49"/>
      <c r="R148" s="1" t="s">
        <v>1651</v>
      </c>
      <c r="T148" s="30">
        <f>D139</f>
        <v>288</v>
      </c>
    </row>
    <row r="149" spans="1:20" x14ac:dyDescent="0.2">
      <c r="A149" s="1" t="s">
        <v>1655</v>
      </c>
      <c r="D149" s="38">
        <v>92</v>
      </c>
      <c r="E149" s="1" t="s">
        <v>1976</v>
      </c>
      <c r="G149" s="48"/>
      <c r="H149" s="398"/>
      <c r="I149" s="398"/>
      <c r="J149" s="398" t="s">
        <v>490</v>
      </c>
      <c r="K149" s="398"/>
      <c r="L149" s="49">
        <v>131</v>
      </c>
      <c r="R149" s="1" t="s">
        <v>437</v>
      </c>
      <c r="T149" s="30">
        <f>D140</f>
        <v>138</v>
      </c>
    </row>
    <row r="150" spans="1:20" x14ac:dyDescent="0.2">
      <c r="A150" s="1" t="s">
        <v>1657</v>
      </c>
      <c r="D150" s="38">
        <v>80</v>
      </c>
      <c r="E150" s="1" t="s">
        <v>1977</v>
      </c>
      <c r="G150" s="48"/>
      <c r="H150" s="398"/>
      <c r="I150" s="398"/>
      <c r="J150" s="398" t="s">
        <v>1278</v>
      </c>
      <c r="K150" s="398"/>
      <c r="L150" s="49">
        <v>70</v>
      </c>
      <c r="R150" s="1" t="s">
        <v>438</v>
      </c>
      <c r="T150" s="30">
        <f>-D163</f>
        <v>-20</v>
      </c>
    </row>
    <row r="151" spans="1:20" x14ac:dyDescent="0.2">
      <c r="A151" s="1" t="s">
        <v>1278</v>
      </c>
      <c r="D151" s="38">
        <v>70</v>
      </c>
      <c r="E151" s="1" t="s">
        <v>36</v>
      </c>
      <c r="G151" s="48"/>
      <c r="H151" s="398"/>
      <c r="I151" s="398"/>
      <c r="J151" s="398" t="s">
        <v>1572</v>
      </c>
      <c r="K151" s="398"/>
      <c r="L151" s="49">
        <f>L152-201</f>
        <v>1916</v>
      </c>
      <c r="N151" s="1" t="s">
        <v>1997</v>
      </c>
      <c r="R151" s="1" t="s">
        <v>453</v>
      </c>
      <c r="T151" s="30">
        <v>0</v>
      </c>
    </row>
    <row r="152" spans="1:20" x14ac:dyDescent="0.2">
      <c r="A152" s="1" t="s">
        <v>309</v>
      </c>
      <c r="D152" s="38">
        <v>60</v>
      </c>
      <c r="E152" s="1" t="s">
        <v>1978</v>
      </c>
      <c r="G152" s="48"/>
      <c r="H152" s="398"/>
      <c r="I152" s="398"/>
      <c r="J152" s="398" t="s">
        <v>315</v>
      </c>
      <c r="K152" s="398"/>
      <c r="L152" s="402">
        <f>L154-273</f>
        <v>2117</v>
      </c>
      <c r="N152" s="1" t="s">
        <v>1996</v>
      </c>
      <c r="R152" s="1" t="s">
        <v>410</v>
      </c>
      <c r="T152" s="61">
        <f>SUM(T148:T151)</f>
        <v>406</v>
      </c>
    </row>
    <row r="153" spans="1:20" x14ac:dyDescent="0.2">
      <c r="A153" s="1" t="s">
        <v>1656</v>
      </c>
      <c r="D153" s="38">
        <v>53</v>
      </c>
      <c r="E153" s="1" t="s">
        <v>1974</v>
      </c>
      <c r="G153" s="48"/>
      <c r="H153" s="398"/>
      <c r="I153" s="398"/>
      <c r="J153" s="398"/>
      <c r="K153" s="398"/>
      <c r="L153" s="49"/>
    </row>
    <row r="154" spans="1:20" ht="17" thickBot="1" x14ac:dyDescent="0.25">
      <c r="A154" s="1" t="s">
        <v>220</v>
      </c>
      <c r="D154" s="38">
        <v>45</v>
      </c>
      <c r="E154" s="1" t="s">
        <v>1993</v>
      </c>
      <c r="G154" s="50" t="s">
        <v>278</v>
      </c>
      <c r="H154" s="403">
        <f>H141+H146</f>
        <v>2390</v>
      </c>
      <c r="I154" s="51"/>
      <c r="J154" s="51" t="s">
        <v>1995</v>
      </c>
      <c r="K154" s="51"/>
      <c r="L154" s="404">
        <f>H154</f>
        <v>2390</v>
      </c>
    </row>
    <row r="155" spans="1:20" ht="17" thickBot="1" x14ac:dyDescent="0.25">
      <c r="A155" s="1" t="s">
        <v>310</v>
      </c>
      <c r="D155" s="38">
        <v>22</v>
      </c>
      <c r="E155" s="1" t="s">
        <v>1978</v>
      </c>
    </row>
    <row r="156" spans="1:20" x14ac:dyDescent="0.2">
      <c r="A156" s="1" t="s">
        <v>80</v>
      </c>
      <c r="D156" s="38">
        <v>40</v>
      </c>
      <c r="E156" s="3" t="s">
        <v>523</v>
      </c>
      <c r="F156" s="3"/>
      <c r="N156" s="45" t="s">
        <v>2006</v>
      </c>
      <c r="O156" s="46"/>
      <c r="P156" s="46"/>
      <c r="Q156" s="47"/>
    </row>
    <row r="157" spans="1:20" x14ac:dyDescent="0.2">
      <c r="A157" s="1" t="s">
        <v>1658</v>
      </c>
      <c r="D157" s="38">
        <v>12</v>
      </c>
      <c r="E157" s="3" t="s">
        <v>1979</v>
      </c>
      <c r="F157" s="3"/>
      <c r="N157" s="48" t="s">
        <v>2007</v>
      </c>
      <c r="O157" s="398"/>
      <c r="P157" s="398"/>
      <c r="Q157" s="406">
        <f>Q160-Q159-Q158</f>
        <v>1605</v>
      </c>
    </row>
    <row r="158" spans="1:20" x14ac:dyDescent="0.2">
      <c r="A158" s="1" t="s">
        <v>206</v>
      </c>
      <c r="D158" s="38">
        <v>19</v>
      </c>
      <c r="E158" s="1" t="s">
        <v>1980</v>
      </c>
      <c r="N158" s="48" t="s">
        <v>1304</v>
      </c>
      <c r="O158" s="398"/>
      <c r="P158" s="398"/>
      <c r="Q158" s="52">
        <f>P145</f>
        <v>311</v>
      </c>
    </row>
    <row r="159" spans="1:20" x14ac:dyDescent="0.2">
      <c r="A159" s="1" t="s">
        <v>2002</v>
      </c>
      <c r="D159" s="38">
        <v>44</v>
      </c>
      <c r="E159" s="1" t="s">
        <v>1971</v>
      </c>
      <c r="N159" s="48" t="s">
        <v>2008</v>
      </c>
      <c r="O159" s="398"/>
      <c r="P159" s="398"/>
      <c r="Q159" s="52">
        <v>0</v>
      </c>
    </row>
    <row r="160" spans="1:20" ht="17" thickBot="1" x14ac:dyDescent="0.25">
      <c r="A160" s="1" t="s">
        <v>1654</v>
      </c>
      <c r="D160" s="38">
        <v>15</v>
      </c>
      <c r="E160" s="1" t="s">
        <v>1974</v>
      </c>
      <c r="N160" s="50" t="s">
        <v>2009</v>
      </c>
      <c r="O160" s="51"/>
      <c r="P160" s="51"/>
      <c r="Q160" s="405">
        <f>L151</f>
        <v>1916</v>
      </c>
    </row>
    <row r="161" spans="1:9" x14ac:dyDescent="0.2">
      <c r="A161" s="1" t="s">
        <v>1323</v>
      </c>
      <c r="D161" s="38">
        <v>23</v>
      </c>
      <c r="E161" s="1" t="s">
        <v>1974</v>
      </c>
    </row>
    <row r="162" spans="1:9" x14ac:dyDescent="0.2">
      <c r="A162" s="1" t="s">
        <v>1653</v>
      </c>
      <c r="D162" s="38">
        <v>22</v>
      </c>
      <c r="E162" s="1" t="s">
        <v>1981</v>
      </c>
    </row>
    <row r="163" spans="1:9" x14ac:dyDescent="0.2">
      <c r="A163" s="1" t="s">
        <v>438</v>
      </c>
      <c r="D163" s="38">
        <v>20</v>
      </c>
      <c r="E163" s="1" t="s">
        <v>1982</v>
      </c>
    </row>
    <row r="164" spans="1:9" x14ac:dyDescent="0.2">
      <c r="A164" s="1" t="s">
        <v>203</v>
      </c>
      <c r="D164" s="38">
        <v>15</v>
      </c>
      <c r="E164" s="1" t="s">
        <v>1983</v>
      </c>
      <c r="I164" s="1" t="s">
        <v>1987</v>
      </c>
    </row>
    <row r="165" spans="1:9" x14ac:dyDescent="0.2">
      <c r="A165" s="1" t="s">
        <v>1322</v>
      </c>
      <c r="D165" s="38">
        <v>19</v>
      </c>
      <c r="E165" s="1" t="s">
        <v>1976</v>
      </c>
      <c r="I165" s="1" t="s">
        <v>1988</v>
      </c>
    </row>
    <row r="166" spans="1:9" x14ac:dyDescent="0.2">
      <c r="A166" s="1" t="s">
        <v>109</v>
      </c>
      <c r="D166" s="38">
        <v>27</v>
      </c>
      <c r="E166" s="1" t="s">
        <v>1980</v>
      </c>
      <c r="I166" s="1" t="s">
        <v>1989</v>
      </c>
    </row>
    <row r="167" spans="1:9" x14ac:dyDescent="0.2">
      <c r="A167" s="1" t="s">
        <v>1652</v>
      </c>
      <c r="D167" s="38">
        <v>10</v>
      </c>
      <c r="E167" s="1" t="s">
        <v>1981</v>
      </c>
      <c r="I167" s="1" t="s">
        <v>1990</v>
      </c>
    </row>
    <row r="168" spans="1:9" x14ac:dyDescent="0.2">
      <c r="A168" s="1" t="s">
        <v>453</v>
      </c>
      <c r="D168" s="38">
        <v>5</v>
      </c>
      <c r="E168" s="1" t="s">
        <v>1982</v>
      </c>
    </row>
    <row r="169" spans="1:9" x14ac:dyDescent="0.2">
      <c r="A169" s="1" t="s">
        <v>1826</v>
      </c>
      <c r="D169" s="38">
        <v>5</v>
      </c>
      <c r="E169" s="1" t="s">
        <v>1984</v>
      </c>
      <c r="I169" s="1" t="s">
        <v>2003</v>
      </c>
    </row>
    <row r="170" spans="1:9" x14ac:dyDescent="0.2">
      <c r="I170" s="1" t="s">
        <v>2004</v>
      </c>
    </row>
    <row r="171" spans="1:9" x14ac:dyDescent="0.2">
      <c r="I171" s="1" t="s">
        <v>2005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1061-7321-EA41-8969-02836EA8A88D}">
  <dimension ref="A1:I187"/>
  <sheetViews>
    <sheetView rightToLeft="1" zoomScale="335" zoomScaleNormal="380" workbookViewId="0">
      <selection activeCell="E78" sqref="E78"/>
    </sheetView>
  </sheetViews>
  <sheetFormatPr baseColWidth="10" defaultRowHeight="16" x14ac:dyDescent="0.2"/>
  <sheetData>
    <row r="1" spans="1:8" x14ac:dyDescent="0.2">
      <c r="A1" s="371" t="s">
        <v>189</v>
      </c>
      <c r="B1" s="371"/>
      <c r="C1" s="371"/>
      <c r="D1" s="371"/>
      <c r="E1" s="371"/>
      <c r="F1" s="371"/>
      <c r="G1" s="371"/>
      <c r="H1" s="371"/>
    </row>
    <row r="3" spans="1:8" ht="17" thickBot="1" x14ac:dyDescent="0.25">
      <c r="A3" s="35" t="s">
        <v>190</v>
      </c>
      <c r="B3" s="33"/>
      <c r="C3" s="33"/>
      <c r="D3" s="33"/>
      <c r="E3" s="33"/>
      <c r="F3" s="33"/>
      <c r="G3" s="33"/>
      <c r="H3" s="33"/>
    </row>
    <row r="4" spans="1:8" x14ac:dyDescent="0.2">
      <c r="A4" s="1" t="s">
        <v>191</v>
      </c>
      <c r="B4" s="1"/>
      <c r="C4" s="1"/>
      <c r="D4" s="1"/>
      <c r="E4" s="1"/>
      <c r="F4" s="1"/>
      <c r="G4" s="76" t="s">
        <v>382</v>
      </c>
      <c r="H4" s="47"/>
    </row>
    <row r="5" spans="1:8" x14ac:dyDescent="0.2">
      <c r="A5" s="1" t="s">
        <v>225</v>
      </c>
      <c r="B5" s="1"/>
      <c r="C5" s="1"/>
      <c r="D5" s="1"/>
      <c r="E5" s="1"/>
      <c r="F5" s="1"/>
      <c r="G5" s="77" t="s">
        <v>383</v>
      </c>
      <c r="H5" s="49"/>
    </row>
    <row r="6" spans="1:8" x14ac:dyDescent="0.2">
      <c r="A6" s="1" t="s">
        <v>226</v>
      </c>
      <c r="B6" s="1"/>
      <c r="C6" s="1"/>
      <c r="D6" s="1"/>
      <c r="E6" s="1"/>
      <c r="F6" s="1"/>
      <c r="G6" s="77" t="s">
        <v>384</v>
      </c>
      <c r="H6" s="49"/>
    </row>
    <row r="7" spans="1:8" x14ac:dyDescent="0.2">
      <c r="A7" s="1" t="s">
        <v>388</v>
      </c>
      <c r="B7" s="1"/>
      <c r="C7" s="1"/>
      <c r="D7" s="1"/>
      <c r="E7" s="1"/>
      <c r="F7" s="1"/>
      <c r="G7" s="77" t="s">
        <v>385</v>
      </c>
      <c r="H7" s="49"/>
    </row>
    <row r="8" spans="1:8" x14ac:dyDescent="0.2">
      <c r="A8" s="1" t="s">
        <v>227</v>
      </c>
      <c r="B8" s="1"/>
      <c r="C8" s="1"/>
      <c r="D8" s="1"/>
      <c r="E8" s="1"/>
      <c r="F8" s="1"/>
      <c r="G8" s="77" t="s">
        <v>386</v>
      </c>
      <c r="H8" s="49"/>
    </row>
    <row r="9" spans="1:8" ht="17" thickBot="1" x14ac:dyDescent="0.25">
      <c r="A9" s="1" t="s">
        <v>228</v>
      </c>
      <c r="B9" s="1"/>
      <c r="C9" s="1"/>
      <c r="D9" s="1"/>
      <c r="E9" s="1"/>
      <c r="F9" s="1"/>
      <c r="G9" s="78" t="s">
        <v>387</v>
      </c>
      <c r="H9" s="79"/>
    </row>
    <row r="10" spans="1:8" x14ac:dyDescent="0.2">
      <c r="A10" s="1" t="s">
        <v>192</v>
      </c>
      <c r="B10" s="1"/>
      <c r="C10" s="1"/>
      <c r="D10" s="1"/>
      <c r="E10" s="1"/>
      <c r="F10" s="1"/>
      <c r="G10" s="1"/>
      <c r="H10" s="1"/>
    </row>
    <row r="11" spans="1:8" x14ac:dyDescent="0.2">
      <c r="A11" s="1" t="s">
        <v>229</v>
      </c>
      <c r="B11" s="1"/>
      <c r="C11" s="1"/>
      <c r="D11" s="1"/>
      <c r="E11" s="1"/>
      <c r="F11" s="1"/>
      <c r="G11" s="1"/>
      <c r="H11" s="1"/>
    </row>
    <row r="12" spans="1:8" x14ac:dyDescent="0.2">
      <c r="A12" s="1" t="s">
        <v>193</v>
      </c>
      <c r="B12" s="1"/>
      <c r="C12" s="1"/>
      <c r="D12" s="1"/>
      <c r="E12" s="1"/>
      <c r="F12" s="1"/>
      <c r="G12" s="1"/>
      <c r="H12" s="1"/>
    </row>
    <row r="14" spans="1:8" x14ac:dyDescent="0.2">
      <c r="A14" s="33" t="s">
        <v>230</v>
      </c>
      <c r="B14" s="34"/>
      <c r="C14" s="34"/>
      <c r="D14" s="34"/>
      <c r="E14" s="34"/>
      <c r="F14" s="34"/>
      <c r="G14" s="34"/>
      <c r="H14" s="34"/>
    </row>
    <row r="15" spans="1:8" s="1" customFormat="1" x14ac:dyDescent="0.2">
      <c r="A15" s="1" t="s">
        <v>194</v>
      </c>
    </row>
    <row r="16" spans="1:8" s="1" customFormat="1" x14ac:dyDescent="0.2">
      <c r="A16" s="1" t="s">
        <v>195</v>
      </c>
    </row>
    <row r="17" spans="1:4" s="1" customFormat="1" x14ac:dyDescent="0.2">
      <c r="A17" s="1" t="s">
        <v>196</v>
      </c>
    </row>
    <row r="18" spans="1:4" s="1" customFormat="1" x14ac:dyDescent="0.2"/>
    <row r="19" spans="1:4" s="1" customFormat="1" x14ac:dyDescent="0.2">
      <c r="A19" s="1" t="s">
        <v>197</v>
      </c>
      <c r="D19" s="1" t="s">
        <v>198</v>
      </c>
    </row>
    <row r="20" spans="1:4" s="1" customFormat="1" x14ac:dyDescent="0.2">
      <c r="A20" s="1" t="s">
        <v>199</v>
      </c>
      <c r="D20" s="30">
        <v>40000</v>
      </c>
    </row>
    <row r="21" spans="1:4" s="1" customFormat="1" x14ac:dyDescent="0.2">
      <c r="A21" s="1" t="s">
        <v>200</v>
      </c>
      <c r="D21" s="30">
        <v>50000</v>
      </c>
    </row>
    <row r="22" spans="1:4" s="1" customFormat="1" x14ac:dyDescent="0.2">
      <c r="A22" s="1" t="s">
        <v>105</v>
      </c>
      <c r="D22" s="30">
        <v>12000</v>
      </c>
    </row>
    <row r="23" spans="1:4" s="1" customFormat="1" x14ac:dyDescent="0.2">
      <c r="A23" s="1" t="s">
        <v>108</v>
      </c>
      <c r="D23" s="30">
        <v>3000</v>
      </c>
    </row>
    <row r="24" spans="1:4" s="1" customFormat="1" x14ac:dyDescent="0.2">
      <c r="A24" s="1" t="s">
        <v>201</v>
      </c>
      <c r="D24" s="30">
        <v>14000</v>
      </c>
    </row>
    <row r="25" spans="1:4" s="1" customFormat="1" x14ac:dyDescent="0.2">
      <c r="A25" s="1" t="s">
        <v>202</v>
      </c>
      <c r="D25" s="30">
        <v>11000</v>
      </c>
    </row>
    <row r="26" spans="1:4" s="1" customFormat="1" x14ac:dyDescent="0.2">
      <c r="A26" s="1" t="s">
        <v>104</v>
      </c>
      <c r="D26" s="30">
        <v>34000</v>
      </c>
    </row>
    <row r="27" spans="1:4" s="1" customFormat="1" x14ac:dyDescent="0.2">
      <c r="A27" s="1" t="s">
        <v>203</v>
      </c>
      <c r="D27" s="30">
        <v>22000</v>
      </c>
    </row>
    <row r="28" spans="1:4" s="1" customFormat="1" x14ac:dyDescent="0.2">
      <c r="A28" s="1" t="s">
        <v>204</v>
      </c>
      <c r="D28" s="30">
        <v>28000</v>
      </c>
    </row>
    <row r="29" spans="1:4" s="1" customFormat="1" x14ac:dyDescent="0.2">
      <c r="A29" s="1" t="s">
        <v>205</v>
      </c>
      <c r="D29" s="30">
        <v>14000</v>
      </c>
    </row>
    <row r="30" spans="1:4" s="1" customFormat="1" x14ac:dyDescent="0.2">
      <c r="A30" s="1" t="s">
        <v>109</v>
      </c>
      <c r="D30" s="30">
        <v>11000</v>
      </c>
    </row>
    <row r="31" spans="1:4" s="1" customFormat="1" x14ac:dyDescent="0.2">
      <c r="A31" s="1" t="s">
        <v>100</v>
      </c>
      <c r="D31" s="30">
        <v>88000</v>
      </c>
    </row>
    <row r="32" spans="1:4" s="1" customFormat="1" x14ac:dyDescent="0.2">
      <c r="A32" s="1" t="s">
        <v>76</v>
      </c>
      <c r="D32" s="30">
        <v>14000</v>
      </c>
    </row>
    <row r="33" spans="1:4" s="1" customFormat="1" x14ac:dyDescent="0.2">
      <c r="A33" s="1" t="s">
        <v>206</v>
      </c>
      <c r="D33" s="30">
        <v>1000</v>
      </c>
    </row>
    <row r="34" spans="1:4" s="1" customFormat="1" x14ac:dyDescent="0.2">
      <c r="A34" s="1" t="s">
        <v>207</v>
      </c>
      <c r="D34" s="30">
        <v>7000</v>
      </c>
    </row>
    <row r="35" spans="1:4" s="1" customFormat="1" x14ac:dyDescent="0.2">
      <c r="A35" s="1" t="s">
        <v>208</v>
      </c>
      <c r="D35" s="30">
        <v>10000</v>
      </c>
    </row>
    <row r="36" spans="1:4" s="1" customFormat="1" x14ac:dyDescent="0.2">
      <c r="A36" s="1" t="s">
        <v>209</v>
      </c>
      <c r="D36" s="30">
        <v>13000</v>
      </c>
    </row>
    <row r="37" spans="1:4" s="1" customFormat="1" x14ac:dyDescent="0.2">
      <c r="A37" s="1" t="s">
        <v>210</v>
      </c>
      <c r="D37" s="30">
        <v>23000</v>
      </c>
    </row>
    <row r="38" spans="1:4" s="1" customFormat="1" x14ac:dyDescent="0.2">
      <c r="A38" s="1" t="s">
        <v>211</v>
      </c>
      <c r="D38" s="30">
        <v>52000</v>
      </c>
    </row>
    <row r="39" spans="1:4" s="1" customFormat="1" x14ac:dyDescent="0.2">
      <c r="A39" s="1" t="s">
        <v>212</v>
      </c>
      <c r="D39" s="30">
        <v>800000</v>
      </c>
    </row>
    <row r="40" spans="1:4" s="1" customFormat="1" x14ac:dyDescent="0.2">
      <c r="A40" s="1" t="s">
        <v>213</v>
      </c>
      <c r="D40" s="30">
        <v>100000</v>
      </c>
    </row>
    <row r="41" spans="1:4" s="1" customFormat="1" x14ac:dyDescent="0.2">
      <c r="A41" s="1" t="s">
        <v>214</v>
      </c>
      <c r="D41" s="30">
        <v>1400000</v>
      </c>
    </row>
    <row r="42" spans="1:4" s="1" customFormat="1" x14ac:dyDescent="0.2">
      <c r="A42" s="1" t="s">
        <v>215</v>
      </c>
      <c r="D42" s="30">
        <v>2000</v>
      </c>
    </row>
    <row r="43" spans="1:4" s="1" customFormat="1" x14ac:dyDescent="0.2">
      <c r="A43" s="1" t="s">
        <v>216</v>
      </c>
      <c r="D43" s="30">
        <v>230000</v>
      </c>
    </row>
    <row r="44" spans="1:4" s="1" customFormat="1" x14ac:dyDescent="0.2">
      <c r="A44" s="1" t="s">
        <v>217</v>
      </c>
      <c r="D44" s="30">
        <v>150000</v>
      </c>
    </row>
    <row r="45" spans="1:4" s="1" customFormat="1" x14ac:dyDescent="0.2">
      <c r="A45" s="1" t="s">
        <v>218</v>
      </c>
      <c r="D45" s="30">
        <v>90000</v>
      </c>
    </row>
    <row r="46" spans="1:4" s="1" customFormat="1" x14ac:dyDescent="0.2">
      <c r="A46" s="1" t="s">
        <v>219</v>
      </c>
      <c r="D46" s="31">
        <v>1197000</v>
      </c>
    </row>
    <row r="47" spans="1:4" s="1" customFormat="1" x14ac:dyDescent="0.2">
      <c r="A47" s="1" t="s">
        <v>99</v>
      </c>
      <c r="D47" s="30">
        <v>30000</v>
      </c>
    </row>
    <row r="48" spans="1:4" s="1" customFormat="1" x14ac:dyDescent="0.2">
      <c r="A48" s="1" t="s">
        <v>101</v>
      </c>
      <c r="D48" s="30">
        <v>34000</v>
      </c>
    </row>
    <row r="49" spans="1:9" s="1" customFormat="1" x14ac:dyDescent="0.2">
      <c r="A49" s="1" t="s">
        <v>220</v>
      </c>
      <c r="D49" s="30">
        <v>75000</v>
      </c>
    </row>
    <row r="50" spans="1:9" s="1" customFormat="1" x14ac:dyDescent="0.2">
      <c r="A50" s="1" t="s">
        <v>221</v>
      </c>
      <c r="D50" s="30">
        <v>31000</v>
      </c>
    </row>
    <row r="51" spans="1:9" s="1" customFormat="1" x14ac:dyDescent="0.2"/>
    <row r="52" spans="1:9" s="1" customFormat="1" x14ac:dyDescent="0.2">
      <c r="A52" s="1" t="s">
        <v>222</v>
      </c>
      <c r="G52" s="1" t="s">
        <v>232</v>
      </c>
    </row>
    <row r="53" spans="1:9" s="1" customFormat="1" x14ac:dyDescent="0.2">
      <c r="A53" s="1" t="s">
        <v>223</v>
      </c>
      <c r="G53" s="1" t="s">
        <v>233</v>
      </c>
    </row>
    <row r="54" spans="1:9" s="1" customFormat="1" x14ac:dyDescent="0.2">
      <c r="A54" s="1" t="s">
        <v>224</v>
      </c>
      <c r="G54" s="1" t="s">
        <v>234</v>
      </c>
    </row>
    <row r="55" spans="1:9" x14ac:dyDescent="0.2">
      <c r="G55" s="1" t="s">
        <v>235</v>
      </c>
    </row>
    <row r="56" spans="1:9" x14ac:dyDescent="0.2">
      <c r="G56" s="1" t="s">
        <v>236</v>
      </c>
    </row>
    <row r="57" spans="1:9" x14ac:dyDescent="0.2">
      <c r="G57" s="1"/>
    </row>
    <row r="58" spans="1:9" x14ac:dyDescent="0.2">
      <c r="A58" s="36" t="s">
        <v>231</v>
      </c>
      <c r="B58" s="37"/>
      <c r="C58" s="37"/>
      <c r="D58" s="37"/>
      <c r="E58" s="37"/>
      <c r="F58" s="37"/>
      <c r="G58" s="37"/>
      <c r="H58" s="37"/>
    </row>
    <row r="60" spans="1:9" s="1" customFormat="1" x14ac:dyDescent="0.2">
      <c r="A60" s="6" t="s">
        <v>197</v>
      </c>
      <c r="B60" s="6"/>
      <c r="C60" s="6"/>
      <c r="D60" s="6" t="s">
        <v>198</v>
      </c>
      <c r="E60" s="6" t="s">
        <v>33</v>
      </c>
      <c r="F60" s="6" t="s">
        <v>35</v>
      </c>
      <c r="G60" s="6" t="s">
        <v>36</v>
      </c>
      <c r="H60" s="6" t="s">
        <v>72</v>
      </c>
      <c r="I60" s="6" t="s">
        <v>93</v>
      </c>
    </row>
    <row r="61" spans="1:9" s="1" customFormat="1" x14ac:dyDescent="0.2">
      <c r="A61" s="1" t="s">
        <v>199</v>
      </c>
      <c r="D61" s="30">
        <v>40000</v>
      </c>
      <c r="E61" s="30">
        <f>D61</f>
        <v>40000</v>
      </c>
    </row>
    <row r="62" spans="1:9" s="1" customFormat="1" x14ac:dyDescent="0.2">
      <c r="A62" s="1" t="s">
        <v>200</v>
      </c>
      <c r="D62" s="30">
        <v>50000</v>
      </c>
      <c r="E62" s="30">
        <f>D62</f>
        <v>50000</v>
      </c>
    </row>
    <row r="63" spans="1:9" s="1" customFormat="1" x14ac:dyDescent="0.2">
      <c r="A63" s="1" t="s">
        <v>105</v>
      </c>
      <c r="D63" s="30">
        <v>12000</v>
      </c>
      <c r="I63" s="30">
        <f>D63</f>
        <v>12000</v>
      </c>
    </row>
    <row r="64" spans="1:9" s="1" customFormat="1" x14ac:dyDescent="0.2">
      <c r="A64" s="1" t="s">
        <v>108</v>
      </c>
      <c r="D64" s="30">
        <v>3000</v>
      </c>
      <c r="I64" s="30">
        <f>D64</f>
        <v>3000</v>
      </c>
    </row>
    <row r="65" spans="1:9" s="1" customFormat="1" x14ac:dyDescent="0.2">
      <c r="A65" s="1" t="s">
        <v>201</v>
      </c>
      <c r="D65" s="30">
        <v>14000</v>
      </c>
      <c r="I65" s="30">
        <f>D65</f>
        <v>14000</v>
      </c>
    </row>
    <row r="66" spans="1:9" s="1" customFormat="1" x14ac:dyDescent="0.2">
      <c r="A66" s="1" t="s">
        <v>202</v>
      </c>
      <c r="D66" s="30">
        <v>11000</v>
      </c>
      <c r="I66" s="30">
        <f>D66</f>
        <v>11000</v>
      </c>
    </row>
    <row r="67" spans="1:9" s="1" customFormat="1" x14ac:dyDescent="0.2">
      <c r="A67" s="1" t="s">
        <v>104</v>
      </c>
      <c r="D67" s="30">
        <v>34000</v>
      </c>
      <c r="I67" s="30">
        <f>D67</f>
        <v>34000</v>
      </c>
    </row>
    <row r="68" spans="1:9" s="38" customFormat="1" x14ac:dyDescent="0.2">
      <c r="A68" s="38" t="s">
        <v>203</v>
      </c>
      <c r="D68" s="39">
        <v>22000</v>
      </c>
      <c r="H68" s="39">
        <f>D68</f>
        <v>22000</v>
      </c>
    </row>
    <row r="69" spans="1:9" s="38" customFormat="1" x14ac:dyDescent="0.2">
      <c r="A69" s="38" t="s">
        <v>204</v>
      </c>
      <c r="D69" s="39">
        <v>28000</v>
      </c>
      <c r="I69" s="39">
        <f>D69</f>
        <v>28000</v>
      </c>
    </row>
    <row r="70" spans="1:9" s="1" customFormat="1" x14ac:dyDescent="0.2">
      <c r="A70" s="1" t="s">
        <v>205</v>
      </c>
      <c r="D70" s="30">
        <v>14000</v>
      </c>
      <c r="H70" s="30">
        <f>D70</f>
        <v>14000</v>
      </c>
    </row>
    <row r="71" spans="1:9" s="1" customFormat="1" x14ac:dyDescent="0.2">
      <c r="A71" s="1" t="s">
        <v>109</v>
      </c>
      <c r="D71" s="30">
        <v>11000</v>
      </c>
      <c r="I71" s="30">
        <f>D71</f>
        <v>11000</v>
      </c>
    </row>
    <row r="72" spans="1:9" s="1" customFormat="1" x14ac:dyDescent="0.2">
      <c r="A72" s="1" t="s">
        <v>100</v>
      </c>
      <c r="D72" s="30">
        <v>88000</v>
      </c>
      <c r="F72" s="30">
        <f>D72</f>
        <v>88000</v>
      </c>
    </row>
    <row r="73" spans="1:9" s="1" customFormat="1" x14ac:dyDescent="0.2">
      <c r="A73" s="1" t="s">
        <v>76</v>
      </c>
      <c r="D73" s="30">
        <v>14000</v>
      </c>
      <c r="E73" s="30">
        <f>D73</f>
        <v>14000</v>
      </c>
    </row>
    <row r="74" spans="1:9" s="1" customFormat="1" x14ac:dyDescent="0.2">
      <c r="A74" s="1" t="s">
        <v>206</v>
      </c>
      <c r="D74" s="30">
        <v>1000</v>
      </c>
      <c r="I74" s="30">
        <f>D74</f>
        <v>1000</v>
      </c>
    </row>
    <row r="75" spans="1:9" s="1" customFormat="1" x14ac:dyDescent="0.2">
      <c r="A75" s="1" t="s">
        <v>207</v>
      </c>
      <c r="D75" s="30">
        <v>7000</v>
      </c>
      <c r="E75" s="30">
        <f>D75</f>
        <v>7000</v>
      </c>
    </row>
    <row r="76" spans="1:9" s="1" customFormat="1" x14ac:dyDescent="0.2">
      <c r="A76" s="1" t="s">
        <v>208</v>
      </c>
      <c r="D76" s="30">
        <v>10000</v>
      </c>
      <c r="I76" s="30">
        <f>D76</f>
        <v>10000</v>
      </c>
    </row>
    <row r="77" spans="1:9" s="38" customFormat="1" x14ac:dyDescent="0.2">
      <c r="A77" s="38" t="s">
        <v>209</v>
      </c>
      <c r="D77" s="39">
        <v>13000</v>
      </c>
      <c r="I77" s="39">
        <f>D77</f>
        <v>13000</v>
      </c>
    </row>
    <row r="78" spans="1:9" s="1" customFormat="1" x14ac:dyDescent="0.2">
      <c r="A78" s="1" t="s">
        <v>210</v>
      </c>
      <c r="D78" s="30">
        <v>23000</v>
      </c>
      <c r="I78" s="30">
        <f>D78</f>
        <v>23000</v>
      </c>
    </row>
    <row r="79" spans="1:9" s="1" customFormat="1" x14ac:dyDescent="0.2">
      <c r="A79" s="1" t="s">
        <v>211</v>
      </c>
      <c r="D79" s="30">
        <v>52000</v>
      </c>
      <c r="I79" s="30">
        <f>D79</f>
        <v>52000</v>
      </c>
    </row>
    <row r="80" spans="1:9" s="1" customFormat="1" x14ac:dyDescent="0.2">
      <c r="A80" s="1" t="s">
        <v>212</v>
      </c>
      <c r="D80" s="30">
        <v>800000</v>
      </c>
      <c r="H80" s="30">
        <f>D80</f>
        <v>800000</v>
      </c>
    </row>
    <row r="81" spans="1:9" s="38" customFormat="1" x14ac:dyDescent="0.2">
      <c r="A81" s="38" t="s">
        <v>213</v>
      </c>
      <c r="D81" s="39">
        <v>100000</v>
      </c>
      <c r="E81" s="39">
        <f>D81</f>
        <v>100000</v>
      </c>
    </row>
    <row r="82" spans="1:9" s="1" customFormat="1" x14ac:dyDescent="0.2">
      <c r="A82" s="1" t="s">
        <v>214</v>
      </c>
      <c r="D82" s="30">
        <v>1400000</v>
      </c>
      <c r="E82" s="30">
        <f>D82</f>
        <v>1400000</v>
      </c>
    </row>
    <row r="83" spans="1:9" s="1" customFormat="1" x14ac:dyDescent="0.2">
      <c r="A83" s="1" t="s">
        <v>215</v>
      </c>
      <c r="D83" s="30">
        <v>2000</v>
      </c>
      <c r="F83" s="30">
        <f>D83</f>
        <v>2000</v>
      </c>
    </row>
    <row r="84" spans="1:9" s="1" customFormat="1" x14ac:dyDescent="0.2">
      <c r="A84" s="1" t="s">
        <v>216</v>
      </c>
      <c r="D84" s="30">
        <v>230000</v>
      </c>
      <c r="I84" s="30">
        <f>D84</f>
        <v>230000</v>
      </c>
    </row>
    <row r="85" spans="1:9" s="1" customFormat="1" x14ac:dyDescent="0.2">
      <c r="A85" s="1" t="s">
        <v>217</v>
      </c>
      <c r="D85" s="30">
        <v>150000</v>
      </c>
      <c r="E85" s="30">
        <f>D85</f>
        <v>150000</v>
      </c>
    </row>
    <row r="86" spans="1:9" s="1" customFormat="1" x14ac:dyDescent="0.2">
      <c r="A86" s="1" t="s">
        <v>218</v>
      </c>
      <c r="D86" s="30">
        <v>90000</v>
      </c>
      <c r="E86" s="30">
        <f>D86</f>
        <v>90000</v>
      </c>
    </row>
    <row r="87" spans="1:9" s="38" customFormat="1" x14ac:dyDescent="0.2">
      <c r="A87" s="38" t="s">
        <v>219</v>
      </c>
      <c r="D87" s="40">
        <v>1197000</v>
      </c>
      <c r="G87" s="39">
        <f>D87</f>
        <v>1197000</v>
      </c>
    </row>
    <row r="88" spans="1:9" s="1" customFormat="1" x14ac:dyDescent="0.2">
      <c r="A88" s="1" t="s">
        <v>99</v>
      </c>
      <c r="D88" s="30">
        <v>30000</v>
      </c>
      <c r="F88" s="30">
        <f>D88</f>
        <v>30000</v>
      </c>
    </row>
    <row r="89" spans="1:9" s="1" customFormat="1" x14ac:dyDescent="0.2">
      <c r="A89" s="1" t="s">
        <v>101</v>
      </c>
      <c r="D89" s="30">
        <v>34000</v>
      </c>
      <c r="F89" s="30">
        <f>D89</f>
        <v>34000</v>
      </c>
    </row>
    <row r="90" spans="1:9" s="1" customFormat="1" x14ac:dyDescent="0.2">
      <c r="A90" s="1" t="s">
        <v>220</v>
      </c>
      <c r="D90" s="30">
        <v>75000</v>
      </c>
      <c r="F90" s="39">
        <f>D90</f>
        <v>75000</v>
      </c>
    </row>
    <row r="91" spans="1:9" s="1" customFormat="1" x14ac:dyDescent="0.2">
      <c r="A91" s="1" t="s">
        <v>221</v>
      </c>
      <c r="D91" s="30">
        <v>31000</v>
      </c>
      <c r="F91" s="30">
        <f>D91</f>
        <v>31000</v>
      </c>
    </row>
    <row r="92" spans="1:9" x14ac:dyDescent="0.2">
      <c r="E92" s="41"/>
      <c r="F92" s="41"/>
      <c r="G92" s="41"/>
      <c r="H92" s="41"/>
      <c r="I92" s="41"/>
    </row>
    <row r="93" spans="1:9" s="1" customFormat="1" x14ac:dyDescent="0.2">
      <c r="A93" s="36" t="s">
        <v>237</v>
      </c>
      <c r="B93" s="36"/>
      <c r="C93" s="36"/>
      <c r="D93" s="36"/>
      <c r="E93" s="36"/>
      <c r="F93" s="36"/>
      <c r="G93" s="36"/>
      <c r="H93" s="36"/>
    </row>
    <row r="94" spans="1:9" s="1" customFormat="1" x14ac:dyDescent="0.2"/>
    <row r="95" spans="1:9" s="1" customFormat="1" x14ac:dyDescent="0.2">
      <c r="A95" s="1" t="s">
        <v>238</v>
      </c>
    </row>
    <row r="96" spans="1:9" s="1" customFormat="1" x14ac:dyDescent="0.2">
      <c r="A96" s="1" t="s">
        <v>239</v>
      </c>
    </row>
    <row r="97" spans="1:8" s="1" customFormat="1" x14ac:dyDescent="0.2">
      <c r="A97" s="1" t="s">
        <v>240</v>
      </c>
    </row>
    <row r="98" spans="1:8" s="1" customFormat="1" x14ac:dyDescent="0.2">
      <c r="A98" s="1" t="s">
        <v>241</v>
      </c>
    </row>
    <row r="99" spans="1:8" s="1" customFormat="1" x14ac:dyDescent="0.2"/>
    <row r="100" spans="1:8" s="1" customFormat="1" x14ac:dyDescent="0.2">
      <c r="A100" s="1" t="s">
        <v>242</v>
      </c>
    </row>
    <row r="101" spans="1:8" s="1" customFormat="1" x14ac:dyDescent="0.2">
      <c r="A101" s="1" t="s">
        <v>244</v>
      </c>
    </row>
    <row r="102" spans="1:8" s="1" customFormat="1" x14ac:dyDescent="0.2">
      <c r="A102" s="1" t="s">
        <v>245</v>
      </c>
    </row>
    <row r="103" spans="1:8" s="1" customFormat="1" x14ac:dyDescent="0.2"/>
    <row r="104" spans="1:8" s="1" customFormat="1" x14ac:dyDescent="0.2">
      <c r="A104" s="5" t="s">
        <v>243</v>
      </c>
      <c r="B104" s="6"/>
      <c r="C104" s="6"/>
      <c r="D104" s="6"/>
      <c r="E104" s="6"/>
      <c r="F104" s="6"/>
      <c r="G104" s="6"/>
      <c r="H104" s="6"/>
    </row>
    <row r="106" spans="1:8" s="1" customFormat="1" x14ac:dyDescent="0.2">
      <c r="D106" s="17" t="s">
        <v>246</v>
      </c>
      <c r="E106" s="1" t="s">
        <v>259</v>
      </c>
    </row>
    <row r="107" spans="1:8" s="1" customFormat="1" x14ac:dyDescent="0.2">
      <c r="A107" s="1" t="s">
        <v>212</v>
      </c>
      <c r="C107" s="4" t="s">
        <v>25</v>
      </c>
      <c r="D107" s="19">
        <v>800000</v>
      </c>
    </row>
    <row r="108" spans="1:8" s="1" customFormat="1" x14ac:dyDescent="0.2">
      <c r="A108" s="1" t="s">
        <v>247</v>
      </c>
      <c r="C108" s="4" t="s">
        <v>27</v>
      </c>
      <c r="D108" s="19">
        <f>-230000</f>
        <v>-230000</v>
      </c>
    </row>
    <row r="109" spans="1:8" s="1" customFormat="1" x14ac:dyDescent="0.2">
      <c r="A109" s="3" t="s">
        <v>248</v>
      </c>
      <c r="B109" s="3"/>
      <c r="C109" s="42" t="s">
        <v>28</v>
      </c>
      <c r="D109" s="43">
        <f>D107+D108</f>
        <v>570000</v>
      </c>
    </row>
    <row r="110" spans="1:8" s="1" customFormat="1" x14ac:dyDescent="0.2">
      <c r="A110" s="1" t="s">
        <v>249</v>
      </c>
      <c r="C110" s="4" t="s">
        <v>27</v>
      </c>
      <c r="D110" s="19">
        <f>-(14000+11000+13000+23000)</f>
        <v>-61000</v>
      </c>
      <c r="E110" s="1" t="s">
        <v>260</v>
      </c>
    </row>
    <row r="111" spans="1:8" s="1" customFormat="1" x14ac:dyDescent="0.2">
      <c r="A111" s="1" t="s">
        <v>250</v>
      </c>
      <c r="C111" s="4" t="s">
        <v>27</v>
      </c>
      <c r="D111" s="19">
        <f>-D138</f>
        <v>-139000</v>
      </c>
      <c r="E111" s="1" t="s">
        <v>163</v>
      </c>
    </row>
    <row r="112" spans="1:8" s="1" customFormat="1" x14ac:dyDescent="0.2">
      <c r="A112" s="1" t="s">
        <v>251</v>
      </c>
      <c r="C112" s="4" t="s">
        <v>25</v>
      </c>
      <c r="D112" s="19">
        <v>14000</v>
      </c>
    </row>
    <row r="113" spans="1:4" s="1" customFormat="1" x14ac:dyDescent="0.2">
      <c r="A113" s="1" t="s">
        <v>252</v>
      </c>
      <c r="C113" s="4" t="s">
        <v>27</v>
      </c>
      <c r="D113" s="19">
        <v>0</v>
      </c>
    </row>
    <row r="114" spans="1:4" s="1" customFormat="1" x14ac:dyDescent="0.2">
      <c r="A114" s="3" t="s">
        <v>253</v>
      </c>
      <c r="B114" s="3"/>
      <c r="C114" s="42" t="s">
        <v>28</v>
      </c>
      <c r="D114" s="43">
        <f>SUM(D109:D113)</f>
        <v>384000</v>
      </c>
    </row>
    <row r="115" spans="1:4" s="1" customFormat="1" x14ac:dyDescent="0.2">
      <c r="A115" s="1" t="s">
        <v>254</v>
      </c>
      <c r="C115" s="4" t="s">
        <v>27</v>
      </c>
      <c r="D115" s="19">
        <v>-12000</v>
      </c>
    </row>
    <row r="116" spans="1:4" s="1" customFormat="1" x14ac:dyDescent="0.2">
      <c r="A116" s="1" t="s">
        <v>255</v>
      </c>
      <c r="C116" s="4" t="s">
        <v>25</v>
      </c>
      <c r="D116" s="19">
        <v>22000</v>
      </c>
    </row>
    <row r="117" spans="1:4" s="1" customFormat="1" x14ac:dyDescent="0.2">
      <c r="A117" s="3" t="s">
        <v>256</v>
      </c>
      <c r="B117" s="3"/>
      <c r="C117" s="42" t="s">
        <v>28</v>
      </c>
      <c r="D117" s="43">
        <f>SUM(D114:D116)</f>
        <v>394000</v>
      </c>
    </row>
    <row r="118" spans="1:4" s="1" customFormat="1" x14ac:dyDescent="0.2">
      <c r="A118" s="1" t="s">
        <v>257</v>
      </c>
      <c r="C118" s="4" t="s">
        <v>27</v>
      </c>
      <c r="D118" s="19">
        <v>0</v>
      </c>
    </row>
    <row r="119" spans="1:4" s="1" customFormat="1" x14ac:dyDescent="0.2">
      <c r="A119" s="3" t="s">
        <v>258</v>
      </c>
      <c r="B119" s="3"/>
      <c r="C119" s="42" t="s">
        <v>28</v>
      </c>
      <c r="D119" s="43">
        <f>D117-D118</f>
        <v>394000</v>
      </c>
    </row>
    <row r="122" spans="1:4" s="1" customFormat="1" x14ac:dyDescent="0.2">
      <c r="A122" s="6" t="s">
        <v>261</v>
      </c>
      <c r="B122" s="6"/>
      <c r="C122" s="6"/>
      <c r="D122" s="6"/>
    </row>
    <row r="123" spans="1:4" x14ac:dyDescent="0.2">
      <c r="A123" s="1"/>
      <c r="B123" s="1"/>
      <c r="C123" s="1"/>
      <c r="D123" s="44" t="s">
        <v>263</v>
      </c>
    </row>
    <row r="124" spans="1:4" x14ac:dyDescent="0.2">
      <c r="A124" s="1" t="s">
        <v>201</v>
      </c>
      <c r="B124" s="1"/>
      <c r="C124" s="1"/>
      <c r="D124" s="19">
        <f>14000</f>
        <v>14000</v>
      </c>
    </row>
    <row r="125" spans="1:4" x14ac:dyDescent="0.2">
      <c r="A125" s="1" t="s">
        <v>262</v>
      </c>
      <c r="B125" s="1"/>
      <c r="C125" s="1"/>
      <c r="D125" s="19">
        <v>11000</v>
      </c>
    </row>
    <row r="126" spans="1:4" x14ac:dyDescent="0.2">
      <c r="A126" s="1" t="s">
        <v>209</v>
      </c>
      <c r="B126" s="1"/>
      <c r="C126" s="1"/>
      <c r="D126" s="19">
        <v>13000</v>
      </c>
    </row>
    <row r="127" spans="1:4" x14ac:dyDescent="0.2">
      <c r="A127" s="1" t="s">
        <v>210</v>
      </c>
      <c r="B127" s="1"/>
      <c r="C127" s="1"/>
      <c r="D127" s="19">
        <v>23000</v>
      </c>
    </row>
    <row r="128" spans="1:4" x14ac:dyDescent="0.2">
      <c r="D128" s="43">
        <f>SUM(D124:D127)</f>
        <v>61000</v>
      </c>
    </row>
    <row r="130" spans="1:8" s="1" customFormat="1" x14ac:dyDescent="0.2">
      <c r="A130" s="6" t="s">
        <v>264</v>
      </c>
      <c r="B130" s="6"/>
      <c r="C130" s="6"/>
      <c r="D130" s="6"/>
      <c r="F130" s="1" t="s">
        <v>389</v>
      </c>
    </row>
    <row r="131" spans="1:8" x14ac:dyDescent="0.2">
      <c r="A131" s="1"/>
      <c r="B131" s="1"/>
      <c r="C131" s="1"/>
      <c r="D131" s="44" t="s">
        <v>263</v>
      </c>
      <c r="F131" s="1" t="s">
        <v>390</v>
      </c>
      <c r="G131" s="1"/>
      <c r="H131" s="1"/>
    </row>
    <row r="132" spans="1:8" x14ac:dyDescent="0.2">
      <c r="A132" s="1" t="s">
        <v>105</v>
      </c>
      <c r="B132" s="1"/>
      <c r="C132" s="1"/>
      <c r="D132" s="19">
        <v>12000</v>
      </c>
      <c r="F132" s="1" t="s">
        <v>391</v>
      </c>
      <c r="G132" s="1"/>
      <c r="H132" s="1"/>
    </row>
    <row r="133" spans="1:8" x14ac:dyDescent="0.2">
      <c r="A133" s="1" t="s">
        <v>108</v>
      </c>
      <c r="B133" s="1"/>
      <c r="C133" s="1"/>
      <c r="D133" s="19">
        <v>3000</v>
      </c>
      <c r="F133" s="1" t="s">
        <v>392</v>
      </c>
      <c r="G133" s="1"/>
      <c r="H133" s="1"/>
    </row>
    <row r="134" spans="1:8" x14ac:dyDescent="0.2">
      <c r="A134" s="1" t="s">
        <v>104</v>
      </c>
      <c r="B134" s="1"/>
      <c r="C134" s="1"/>
      <c r="D134" s="19">
        <v>34000</v>
      </c>
    </row>
    <row r="135" spans="1:8" x14ac:dyDescent="0.2">
      <c r="A135" s="1" t="s">
        <v>204</v>
      </c>
      <c r="B135" s="1"/>
      <c r="C135" s="1"/>
      <c r="D135" s="19">
        <v>28000</v>
      </c>
    </row>
    <row r="136" spans="1:8" x14ac:dyDescent="0.2">
      <c r="A136" s="1" t="s">
        <v>208</v>
      </c>
      <c r="B136" s="1"/>
      <c r="C136" s="1"/>
      <c r="D136" s="19">
        <v>10000</v>
      </c>
    </row>
    <row r="137" spans="1:8" x14ac:dyDescent="0.2">
      <c r="A137" s="1" t="s">
        <v>211</v>
      </c>
      <c r="B137" s="1"/>
      <c r="C137" s="1"/>
      <c r="D137" s="19">
        <v>52000</v>
      </c>
    </row>
    <row r="138" spans="1:8" x14ac:dyDescent="0.2">
      <c r="D138" s="43">
        <f>SUM(D132:D137)</f>
        <v>139000</v>
      </c>
    </row>
    <row r="140" spans="1:8" s="1" customFormat="1" x14ac:dyDescent="0.2">
      <c r="A140" s="5" t="s">
        <v>265</v>
      </c>
      <c r="B140" s="6"/>
      <c r="C140" s="6"/>
      <c r="D140" s="6"/>
      <c r="E140" s="6"/>
      <c r="F140" s="6"/>
      <c r="G140" s="6"/>
      <c r="H140" s="6"/>
    </row>
    <row r="141" spans="1:8" s="1" customFormat="1" x14ac:dyDescent="0.2"/>
    <row r="142" spans="1:8" s="1" customFormat="1" x14ac:dyDescent="0.2">
      <c r="A142" s="1" t="s">
        <v>267</v>
      </c>
    </row>
    <row r="143" spans="1:8" s="1" customFormat="1" x14ac:dyDescent="0.2">
      <c r="A143" s="1" t="s">
        <v>268</v>
      </c>
    </row>
    <row r="144" spans="1:8" s="1" customFormat="1" x14ac:dyDescent="0.2"/>
    <row r="145" spans="1:8" s="1" customFormat="1" x14ac:dyDescent="0.2">
      <c r="E145" s="6" t="s">
        <v>263</v>
      </c>
    </row>
    <row r="146" spans="1:8" s="1" customFormat="1" x14ac:dyDescent="0.2">
      <c r="A146" s="1" t="s">
        <v>269</v>
      </c>
      <c r="E146" s="18">
        <v>1197000</v>
      </c>
    </row>
    <row r="147" spans="1:8" s="1" customFormat="1" x14ac:dyDescent="0.2">
      <c r="A147" s="1" t="s">
        <v>270</v>
      </c>
      <c r="E147" s="4">
        <v>0</v>
      </c>
    </row>
    <row r="148" spans="1:8" s="1" customFormat="1" x14ac:dyDescent="0.2">
      <c r="A148" s="1" t="s">
        <v>271</v>
      </c>
      <c r="E148" s="19">
        <f>D119</f>
        <v>394000</v>
      </c>
    </row>
    <row r="149" spans="1:8" x14ac:dyDescent="0.2">
      <c r="A149" s="1" t="s">
        <v>272</v>
      </c>
      <c r="E149" s="43">
        <f>E146+E147+E148</f>
        <v>1591000</v>
      </c>
      <c r="F149" s="1" t="s">
        <v>289</v>
      </c>
    </row>
    <row r="151" spans="1:8" s="1" customFormat="1" x14ac:dyDescent="0.2">
      <c r="A151" s="5" t="s">
        <v>266</v>
      </c>
      <c r="B151" s="6"/>
      <c r="C151" s="6"/>
      <c r="D151" s="6"/>
      <c r="E151" s="6"/>
      <c r="F151" s="6"/>
      <c r="G151" s="6"/>
      <c r="H151" s="6"/>
    </row>
    <row r="153" spans="1:8" s="1" customFormat="1" x14ac:dyDescent="0.2">
      <c r="A153" s="1" t="s">
        <v>273</v>
      </c>
    </row>
    <row r="154" spans="1:8" s="1" customFormat="1" x14ac:dyDescent="0.2">
      <c r="A154" s="1" t="s">
        <v>274</v>
      </c>
    </row>
    <row r="155" spans="1:8" s="1" customFormat="1" x14ac:dyDescent="0.2"/>
    <row r="156" spans="1:8" s="1" customFormat="1" x14ac:dyDescent="0.2">
      <c r="A156" s="6" t="s">
        <v>33</v>
      </c>
      <c r="B156" s="6"/>
      <c r="C156" s="6"/>
      <c r="E156" s="6" t="s">
        <v>275</v>
      </c>
      <c r="F156" s="6"/>
      <c r="G156" s="6"/>
    </row>
    <row r="157" spans="1:8" s="1" customFormat="1" ht="17" thickBot="1" x14ac:dyDescent="0.25"/>
    <row r="158" spans="1:8" s="1" customFormat="1" x14ac:dyDescent="0.2">
      <c r="A158" s="45" t="s">
        <v>276</v>
      </c>
      <c r="B158" s="46"/>
      <c r="C158" s="47"/>
      <c r="E158" s="45" t="s">
        <v>279</v>
      </c>
      <c r="F158" s="46"/>
      <c r="G158" s="46"/>
      <c r="H158" s="47"/>
    </row>
    <row r="159" spans="1:8" s="1" customFormat="1" x14ac:dyDescent="0.2">
      <c r="A159" s="48"/>
      <c r="C159" s="49"/>
      <c r="E159" s="48"/>
      <c r="H159" s="49"/>
    </row>
    <row r="160" spans="1:8" s="1" customFormat="1" x14ac:dyDescent="0.2">
      <c r="A160" s="48" t="s">
        <v>80</v>
      </c>
      <c r="C160" s="52">
        <f>40000+50000</f>
        <v>90000</v>
      </c>
      <c r="E160" s="48" t="s">
        <v>285</v>
      </c>
      <c r="H160" s="52">
        <f>88000+30000</f>
        <v>118000</v>
      </c>
    </row>
    <row r="161" spans="1:8" s="1" customFormat="1" ht="17" thickBot="1" x14ac:dyDescent="0.25">
      <c r="A161" s="48" t="s">
        <v>282</v>
      </c>
      <c r="C161" s="52">
        <f>14000+7000</f>
        <v>21000</v>
      </c>
      <c r="E161" s="48" t="s">
        <v>286</v>
      </c>
      <c r="H161" s="52">
        <f>75000+2000</f>
        <v>77000</v>
      </c>
    </row>
    <row r="162" spans="1:8" s="1" customFormat="1" ht="17" thickBot="1" x14ac:dyDescent="0.25">
      <c r="A162" s="50" t="s">
        <v>283</v>
      </c>
      <c r="B162" s="51"/>
      <c r="C162" s="53">
        <f>C160+C161</f>
        <v>111000</v>
      </c>
      <c r="E162" s="48" t="s">
        <v>221</v>
      </c>
      <c r="H162" s="52">
        <v>31000</v>
      </c>
    </row>
    <row r="163" spans="1:8" s="1" customFormat="1" ht="17" thickBot="1" x14ac:dyDescent="0.25">
      <c r="C163" s="30"/>
      <c r="E163" s="50" t="s">
        <v>287</v>
      </c>
      <c r="F163" s="51"/>
      <c r="G163" s="51"/>
      <c r="H163" s="53">
        <f>SUM(H160:H162)</f>
        <v>226000</v>
      </c>
    </row>
    <row r="164" spans="1:8" s="1" customFormat="1" ht="17" thickBot="1" x14ac:dyDescent="0.25"/>
    <row r="165" spans="1:8" s="1" customFormat="1" ht="17" thickBot="1" x14ac:dyDescent="0.25">
      <c r="A165" s="45" t="s">
        <v>277</v>
      </c>
      <c r="B165" s="46"/>
      <c r="C165" s="47"/>
      <c r="E165" s="45" t="s">
        <v>280</v>
      </c>
      <c r="F165" s="46"/>
      <c r="G165" s="46"/>
      <c r="H165" s="47"/>
    </row>
    <row r="166" spans="1:8" s="1" customFormat="1" ht="17" thickBot="1" x14ac:dyDescent="0.25">
      <c r="A166" s="48"/>
      <c r="C166" s="49"/>
      <c r="E166" s="50" t="s">
        <v>101</v>
      </c>
      <c r="F166" s="51"/>
      <c r="G166" s="51"/>
      <c r="H166" s="55">
        <v>34000</v>
      </c>
    </row>
    <row r="167" spans="1:8" s="1" customFormat="1" ht="17" thickBot="1" x14ac:dyDescent="0.25">
      <c r="A167" s="48" t="s">
        <v>284</v>
      </c>
      <c r="C167" s="52">
        <f>100000+1400000+150000</f>
        <v>1650000</v>
      </c>
    </row>
    <row r="168" spans="1:8" s="1" customFormat="1" ht="17" thickBot="1" x14ac:dyDescent="0.25">
      <c r="A168" s="48" t="s">
        <v>218</v>
      </c>
      <c r="C168" s="52">
        <v>90000</v>
      </c>
      <c r="E168" s="56" t="s">
        <v>288</v>
      </c>
      <c r="F168" s="57"/>
      <c r="G168" s="57"/>
      <c r="H168" s="53">
        <f>E149</f>
        <v>1591000</v>
      </c>
    </row>
    <row r="169" spans="1:8" s="1" customFormat="1" ht="17" thickBot="1" x14ac:dyDescent="0.25">
      <c r="A169" s="50"/>
      <c r="B169" s="51"/>
      <c r="C169" s="53">
        <f>C167+C168</f>
        <v>1740000</v>
      </c>
    </row>
    <row r="170" spans="1:8" s="1" customFormat="1" ht="17" thickBot="1" x14ac:dyDescent="0.25"/>
    <row r="171" spans="1:8" s="1" customFormat="1" ht="17" thickBot="1" x14ac:dyDescent="0.25">
      <c r="A171" s="3" t="s">
        <v>278</v>
      </c>
      <c r="B171" s="3"/>
      <c r="C171" s="54">
        <f>C162+C169</f>
        <v>1851000</v>
      </c>
      <c r="E171" s="3" t="s">
        <v>281</v>
      </c>
      <c r="F171" s="3"/>
      <c r="G171" s="3"/>
      <c r="H171" s="54">
        <f>H163+H166+H168</f>
        <v>1851000</v>
      </c>
    </row>
    <row r="172" spans="1:8" s="1" customFormat="1" x14ac:dyDescent="0.2"/>
    <row r="173" spans="1:8" s="1" customFormat="1" x14ac:dyDescent="0.2">
      <c r="A173" s="3" t="s">
        <v>290</v>
      </c>
    </row>
    <row r="174" spans="1:8" s="1" customFormat="1" x14ac:dyDescent="0.2">
      <c r="A174" s="1" t="s">
        <v>291</v>
      </c>
    </row>
    <row r="175" spans="1:8" s="1" customFormat="1" x14ac:dyDescent="0.2">
      <c r="A175" s="1" t="s">
        <v>292</v>
      </c>
    </row>
    <row r="176" spans="1:8" s="1" customFormat="1" x14ac:dyDescent="0.2">
      <c r="A176" s="1" t="s">
        <v>293</v>
      </c>
    </row>
    <row r="177" spans="1:1" s="1" customFormat="1" x14ac:dyDescent="0.2">
      <c r="A177" s="1" t="s">
        <v>294</v>
      </c>
    </row>
    <row r="178" spans="1:1" s="1" customFormat="1" x14ac:dyDescent="0.2">
      <c r="A178" s="1" t="s">
        <v>295</v>
      </c>
    </row>
    <row r="179" spans="1:1" s="1" customFormat="1" x14ac:dyDescent="0.2">
      <c r="A179" s="1" t="s">
        <v>296</v>
      </c>
    </row>
    <row r="180" spans="1:1" s="1" customFormat="1" x14ac:dyDescent="0.2">
      <c r="A180" s="1" t="s">
        <v>297</v>
      </c>
    </row>
    <row r="181" spans="1:1" s="1" customFormat="1" x14ac:dyDescent="0.2"/>
    <row r="182" spans="1:1" s="1" customFormat="1" x14ac:dyDescent="0.2"/>
    <row r="183" spans="1:1" s="1" customFormat="1" x14ac:dyDescent="0.2"/>
    <row r="184" spans="1:1" s="1" customFormat="1" x14ac:dyDescent="0.2"/>
    <row r="185" spans="1:1" s="1" customFormat="1" x14ac:dyDescent="0.2"/>
    <row r="186" spans="1:1" s="1" customFormat="1" x14ac:dyDescent="0.2"/>
    <row r="187" spans="1:1" s="1" customFormat="1" x14ac:dyDescent="0.2"/>
  </sheetData>
  <mergeCells count="1">
    <mergeCell ref="A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384D-CC6E-DB4A-A8DA-22E28CE61E8C}">
  <dimension ref="A1:L138"/>
  <sheetViews>
    <sheetView rightToLeft="1" zoomScale="299" workbookViewId="0">
      <selection activeCell="C23" sqref="C23"/>
    </sheetView>
  </sheetViews>
  <sheetFormatPr baseColWidth="10" defaultRowHeight="16" x14ac:dyDescent="0.2"/>
  <cols>
    <col min="1" max="16384" width="10.83203125" style="1"/>
  </cols>
  <sheetData>
    <row r="1" spans="1:5" x14ac:dyDescent="0.2">
      <c r="A1" s="1" t="s">
        <v>298</v>
      </c>
    </row>
    <row r="3" spans="1:5" x14ac:dyDescent="0.2">
      <c r="A3" s="3" t="s">
        <v>299</v>
      </c>
    </row>
    <row r="4" spans="1:5" x14ac:dyDescent="0.2">
      <c r="A4" s="1" t="s">
        <v>300</v>
      </c>
    </row>
    <row r="5" spans="1:5" x14ac:dyDescent="0.2">
      <c r="A5" s="1" t="s">
        <v>301</v>
      </c>
    </row>
    <row r="6" spans="1:5" x14ac:dyDescent="0.2">
      <c r="B6" s="1" t="s">
        <v>302</v>
      </c>
      <c r="E6" s="4" t="s">
        <v>25</v>
      </c>
    </row>
    <row r="7" spans="1:5" x14ac:dyDescent="0.2">
      <c r="B7" s="1" t="s">
        <v>303</v>
      </c>
      <c r="E7" s="4" t="s">
        <v>27</v>
      </c>
    </row>
    <row r="8" spans="1:5" x14ac:dyDescent="0.2">
      <c r="B8" s="1" t="s">
        <v>304</v>
      </c>
      <c r="E8" s="4" t="s">
        <v>27</v>
      </c>
    </row>
    <row r="9" spans="1:5" x14ac:dyDescent="0.2">
      <c r="B9" s="1" t="s">
        <v>305</v>
      </c>
      <c r="E9" s="4" t="s">
        <v>28</v>
      </c>
    </row>
    <row r="11" spans="1:5" x14ac:dyDescent="0.2">
      <c r="A11" s="1" t="s">
        <v>306</v>
      </c>
    </row>
    <row r="13" spans="1:5" x14ac:dyDescent="0.2">
      <c r="A13" s="1" t="s">
        <v>307</v>
      </c>
    </row>
    <row r="15" spans="1:5" x14ac:dyDescent="0.2">
      <c r="B15" s="1" t="s">
        <v>308</v>
      </c>
      <c r="D15" s="18">
        <v>500000</v>
      </c>
    </row>
    <row r="16" spans="1:5" x14ac:dyDescent="0.2">
      <c r="B16" s="1" t="s">
        <v>309</v>
      </c>
      <c r="D16" s="18">
        <v>70000</v>
      </c>
    </row>
    <row r="17" spans="1:5" x14ac:dyDescent="0.2">
      <c r="B17" s="1" t="s">
        <v>310</v>
      </c>
      <c r="D17" s="18">
        <v>20000</v>
      </c>
    </row>
    <row r="19" spans="1:5" x14ac:dyDescent="0.2">
      <c r="A19" s="1" t="s">
        <v>311</v>
      </c>
    </row>
    <row r="21" spans="1:5" x14ac:dyDescent="0.2">
      <c r="B21" s="1" t="s">
        <v>302</v>
      </c>
      <c r="E21" s="18">
        <f>D15</f>
        <v>500000</v>
      </c>
    </row>
    <row r="22" spans="1:5" x14ac:dyDescent="0.2">
      <c r="B22" s="1" t="s">
        <v>303</v>
      </c>
      <c r="E22" s="19">
        <f>-D17</f>
        <v>-20000</v>
      </c>
    </row>
    <row r="23" spans="1:5" x14ac:dyDescent="0.2">
      <c r="B23" s="1" t="s">
        <v>304</v>
      </c>
      <c r="E23" s="19">
        <f>-D16</f>
        <v>-70000</v>
      </c>
    </row>
    <row r="24" spans="1:5" x14ac:dyDescent="0.2">
      <c r="B24" s="1" t="s">
        <v>305</v>
      </c>
      <c r="E24" s="58">
        <f>SUM(E21:E23)</f>
        <v>410000</v>
      </c>
    </row>
    <row r="26" spans="1:5" x14ac:dyDescent="0.2">
      <c r="A26" s="3" t="s">
        <v>249</v>
      </c>
    </row>
    <row r="27" spans="1:5" x14ac:dyDescent="0.2">
      <c r="A27" s="1" t="s">
        <v>312</v>
      </c>
    </row>
    <row r="29" spans="1:5" x14ac:dyDescent="0.2">
      <c r="A29" s="1" t="s">
        <v>201</v>
      </c>
      <c r="D29" s="19">
        <f>'[1]2 - הרצאה'!I119</f>
        <v>14000</v>
      </c>
    </row>
    <row r="30" spans="1:5" x14ac:dyDescent="0.2">
      <c r="A30" s="1" t="s">
        <v>313</v>
      </c>
      <c r="D30" s="19">
        <f>'[1]2 - הרצאה'!I120</f>
        <v>11000</v>
      </c>
    </row>
    <row r="31" spans="1:5" x14ac:dyDescent="0.2">
      <c r="A31" s="1" t="s">
        <v>209</v>
      </c>
      <c r="D31" s="19">
        <f>'[1]2 - הרצאה'!I131</f>
        <v>13000</v>
      </c>
    </row>
    <row r="32" spans="1:5" x14ac:dyDescent="0.2">
      <c r="A32" s="1" t="s">
        <v>314</v>
      </c>
      <c r="D32" s="19">
        <f>'[1]2 - הרצאה'!I132</f>
        <v>23000</v>
      </c>
    </row>
    <row r="33" spans="1:4" x14ac:dyDescent="0.2">
      <c r="A33" s="1" t="s">
        <v>315</v>
      </c>
      <c r="D33" s="58">
        <f>SUM(D29:D32)</f>
        <v>61000</v>
      </c>
    </row>
    <row r="35" spans="1:4" x14ac:dyDescent="0.2">
      <c r="A35" s="3" t="s">
        <v>250</v>
      </c>
    </row>
    <row r="36" spans="1:4" x14ac:dyDescent="0.2">
      <c r="A36" s="1" t="s">
        <v>316</v>
      </c>
    </row>
    <row r="38" spans="1:4" x14ac:dyDescent="0.2">
      <c r="A38" s="1" t="s">
        <v>105</v>
      </c>
      <c r="D38" s="19">
        <v>12000</v>
      </c>
    </row>
    <row r="39" spans="1:4" x14ac:dyDescent="0.2">
      <c r="A39" s="1" t="s">
        <v>108</v>
      </c>
      <c r="D39" s="19">
        <v>3000</v>
      </c>
    </row>
    <row r="40" spans="1:4" x14ac:dyDescent="0.2">
      <c r="A40" s="1" t="s">
        <v>104</v>
      </c>
      <c r="D40" s="19">
        <v>34000</v>
      </c>
    </row>
    <row r="41" spans="1:4" x14ac:dyDescent="0.2">
      <c r="A41" s="1" t="s">
        <v>204</v>
      </c>
      <c r="D41" s="19">
        <v>28000</v>
      </c>
    </row>
    <row r="42" spans="1:4" x14ac:dyDescent="0.2">
      <c r="A42" s="1" t="s">
        <v>208</v>
      </c>
      <c r="D42" s="19">
        <v>10000</v>
      </c>
    </row>
    <row r="43" spans="1:4" x14ac:dyDescent="0.2">
      <c r="A43" s="1" t="s">
        <v>211</v>
      </c>
      <c r="D43" s="19">
        <v>52000</v>
      </c>
    </row>
    <row r="44" spans="1:4" x14ac:dyDescent="0.2">
      <c r="A44" s="1" t="s">
        <v>315</v>
      </c>
      <c r="D44" s="58">
        <f>SUM(D38:D43)</f>
        <v>139000</v>
      </c>
    </row>
    <row r="46" spans="1:4" x14ac:dyDescent="0.2">
      <c r="A46" s="3" t="s">
        <v>251</v>
      </c>
    </row>
    <row r="47" spans="1:4" x14ac:dyDescent="0.2">
      <c r="A47" s="1" t="s">
        <v>317</v>
      </c>
    </row>
    <row r="48" spans="1:4" x14ac:dyDescent="0.2">
      <c r="A48" s="1" t="s">
        <v>318</v>
      </c>
    </row>
    <row r="49" spans="1:10" x14ac:dyDescent="0.2">
      <c r="A49" s="1" t="s">
        <v>319</v>
      </c>
    </row>
    <row r="50" spans="1:10" x14ac:dyDescent="0.2">
      <c r="A50" s="1" t="s">
        <v>320</v>
      </c>
    </row>
    <row r="52" spans="1:10" x14ac:dyDescent="0.2">
      <c r="A52" s="59" t="s">
        <v>205</v>
      </c>
      <c r="B52" s="59"/>
      <c r="C52" s="59"/>
      <c r="D52" s="60">
        <v>14000</v>
      </c>
    </row>
    <row r="54" spans="1:10" x14ac:dyDescent="0.2">
      <c r="A54" s="3" t="s">
        <v>321</v>
      </c>
    </row>
    <row r="55" spans="1:10" x14ac:dyDescent="0.2">
      <c r="A55" s="1" t="s">
        <v>322</v>
      </c>
    </row>
    <row r="56" spans="1:10" x14ac:dyDescent="0.2">
      <c r="A56" s="3" t="s">
        <v>323</v>
      </c>
      <c r="B56" s="3"/>
      <c r="C56" s="3"/>
      <c r="D56" s="3"/>
      <c r="E56" s="3"/>
      <c r="F56" s="3"/>
      <c r="G56" s="3"/>
      <c r="H56" s="3"/>
    </row>
    <row r="57" spans="1:10" x14ac:dyDescent="0.2">
      <c r="A57" s="3" t="s">
        <v>324</v>
      </c>
      <c r="B57" s="3"/>
      <c r="C57" s="3"/>
      <c r="D57" s="3"/>
      <c r="E57" s="3"/>
      <c r="F57" s="3"/>
      <c r="G57" s="3"/>
      <c r="H57" s="3"/>
    </row>
    <row r="58" spans="1:10" x14ac:dyDescent="0.2">
      <c r="A58" s="1" t="s">
        <v>325</v>
      </c>
      <c r="B58" s="3"/>
      <c r="C58" s="3"/>
      <c r="D58" s="3"/>
      <c r="E58" s="3"/>
      <c r="F58" s="3"/>
      <c r="G58" s="3"/>
      <c r="H58" s="3"/>
    </row>
    <row r="60" spans="1:10" x14ac:dyDescent="0.2">
      <c r="A60" s="1" t="s">
        <v>109</v>
      </c>
      <c r="D60" s="30">
        <v>11000</v>
      </c>
    </row>
    <row r="61" spans="1:10" x14ac:dyDescent="0.2">
      <c r="A61" s="1" t="s">
        <v>206</v>
      </c>
      <c r="D61" s="30">
        <v>1000</v>
      </c>
    </row>
    <row r="62" spans="1:10" x14ac:dyDescent="0.2">
      <c r="D62" s="61">
        <f>SUM(D60:D61)</f>
        <v>12000</v>
      </c>
    </row>
    <row r="64" spans="1:10" ht="17" thickBot="1" x14ac:dyDescent="0.25">
      <c r="A64" s="3" t="s">
        <v>326</v>
      </c>
      <c r="J64" s="1" t="s">
        <v>327</v>
      </c>
    </row>
    <row r="65" spans="1:12" x14ac:dyDescent="0.2">
      <c r="A65" s="1" t="s">
        <v>328</v>
      </c>
      <c r="J65" s="62"/>
      <c r="K65" s="63" t="s">
        <v>329</v>
      </c>
      <c r="L65" s="63" t="s">
        <v>330</v>
      </c>
    </row>
    <row r="66" spans="1:12" ht="17" thickBot="1" x14ac:dyDescent="0.25">
      <c r="A66" s="1" t="s">
        <v>331</v>
      </c>
      <c r="J66" s="62"/>
      <c r="K66" s="64" t="s">
        <v>332</v>
      </c>
      <c r="L66" s="65" t="s">
        <v>333</v>
      </c>
    </row>
    <row r="67" spans="1:12" x14ac:dyDescent="0.2">
      <c r="A67" s="1" t="s">
        <v>334</v>
      </c>
      <c r="J67" s="372" t="s">
        <v>335</v>
      </c>
      <c r="K67" s="63" t="s">
        <v>336</v>
      </c>
      <c r="L67" s="66" t="s">
        <v>336</v>
      </c>
    </row>
    <row r="68" spans="1:12" x14ac:dyDescent="0.2">
      <c r="A68" s="1" t="s">
        <v>337</v>
      </c>
      <c r="J68" s="373"/>
      <c r="K68" s="67" t="s">
        <v>338</v>
      </c>
      <c r="L68" s="68" t="s">
        <v>339</v>
      </c>
    </row>
    <row r="69" spans="1:12" ht="17" thickBot="1" x14ac:dyDescent="0.25">
      <c r="J69" s="374"/>
      <c r="K69" s="69" t="s">
        <v>340</v>
      </c>
      <c r="L69" s="70" t="s">
        <v>341</v>
      </c>
    </row>
    <row r="70" spans="1:12" x14ac:dyDescent="0.2">
      <c r="A70" s="1" t="s">
        <v>203</v>
      </c>
      <c r="D70" s="61">
        <v>22000</v>
      </c>
      <c r="J70" s="375" t="s">
        <v>342</v>
      </c>
      <c r="K70" s="63" t="s">
        <v>93</v>
      </c>
      <c r="L70" s="63" t="s">
        <v>72</v>
      </c>
    </row>
    <row r="71" spans="1:12" ht="17" thickBot="1" x14ac:dyDescent="0.25">
      <c r="J71" s="376"/>
      <c r="K71" s="69" t="s">
        <v>343</v>
      </c>
      <c r="L71" s="69" t="s">
        <v>343</v>
      </c>
    </row>
    <row r="73" spans="1:12" x14ac:dyDescent="0.2">
      <c r="A73" s="3" t="s">
        <v>344</v>
      </c>
    </row>
    <row r="74" spans="1:12" x14ac:dyDescent="0.2">
      <c r="A74" s="1" t="s">
        <v>345</v>
      </c>
    </row>
    <row r="75" spans="1:12" x14ac:dyDescent="0.2">
      <c r="A75" s="1" t="s">
        <v>346</v>
      </c>
    </row>
    <row r="76" spans="1:12" x14ac:dyDescent="0.2">
      <c r="A76" s="1" t="s">
        <v>347</v>
      </c>
    </row>
    <row r="78" spans="1:12" x14ac:dyDescent="0.2">
      <c r="B78" s="1" t="s">
        <v>348</v>
      </c>
      <c r="E78" s="4" t="s">
        <v>25</v>
      </c>
    </row>
    <row r="79" spans="1:12" x14ac:dyDescent="0.2">
      <c r="B79" s="1" t="s">
        <v>349</v>
      </c>
      <c r="E79" s="4" t="s">
        <v>25</v>
      </c>
    </row>
    <row r="80" spans="1:12" x14ac:dyDescent="0.2">
      <c r="B80" s="1" t="s">
        <v>350</v>
      </c>
      <c r="D80" s="4"/>
      <c r="E80" s="4" t="s">
        <v>27</v>
      </c>
    </row>
    <row r="81" spans="1:6" x14ac:dyDescent="0.2">
      <c r="B81" s="1" t="s">
        <v>351</v>
      </c>
      <c r="D81" s="4"/>
      <c r="E81" s="4" t="s">
        <v>28</v>
      </c>
      <c r="F81" s="1" t="s">
        <v>352</v>
      </c>
    </row>
    <row r="82" spans="1:6" x14ac:dyDescent="0.2">
      <c r="D82" s="4"/>
    </row>
    <row r="83" spans="1:6" x14ac:dyDescent="0.2">
      <c r="A83" s="1" t="s">
        <v>353</v>
      </c>
      <c r="D83" s="4"/>
    </row>
    <row r="84" spans="1:6" x14ac:dyDescent="0.2">
      <c r="D84" s="4"/>
    </row>
    <row r="85" spans="1:6" x14ac:dyDescent="0.2">
      <c r="A85" s="1" t="s">
        <v>354</v>
      </c>
      <c r="D85" s="4"/>
    </row>
    <row r="86" spans="1:6" x14ac:dyDescent="0.2">
      <c r="A86" s="1" t="s">
        <v>355</v>
      </c>
      <c r="D86" s="4"/>
    </row>
    <row r="87" spans="1:6" x14ac:dyDescent="0.2">
      <c r="A87" s="1" t="s">
        <v>356</v>
      </c>
      <c r="D87" s="4"/>
    </row>
    <row r="88" spans="1:6" x14ac:dyDescent="0.2">
      <c r="A88" s="1" t="s">
        <v>357</v>
      </c>
      <c r="D88" s="4"/>
    </row>
    <row r="89" spans="1:6" x14ac:dyDescent="0.2">
      <c r="D89" s="4"/>
    </row>
    <row r="90" spans="1:6" x14ac:dyDescent="0.2">
      <c r="A90" s="1" t="s">
        <v>358</v>
      </c>
      <c r="D90" s="4"/>
    </row>
    <row r="91" spans="1:6" x14ac:dyDescent="0.2">
      <c r="D91" s="4"/>
    </row>
    <row r="92" spans="1:6" x14ac:dyDescent="0.2">
      <c r="B92" s="1" t="s">
        <v>348</v>
      </c>
      <c r="E92" s="42">
        <v>100</v>
      </c>
    </row>
    <row r="93" spans="1:6" x14ac:dyDescent="0.2">
      <c r="B93" s="1" t="s">
        <v>349</v>
      </c>
      <c r="E93" s="4">
        <v>0</v>
      </c>
    </row>
    <row r="94" spans="1:6" x14ac:dyDescent="0.2">
      <c r="B94" s="1" t="s">
        <v>350</v>
      </c>
      <c r="D94" s="4"/>
      <c r="E94" s="71">
        <v>-5</v>
      </c>
    </row>
    <row r="95" spans="1:6" x14ac:dyDescent="0.2">
      <c r="B95" s="1" t="s">
        <v>351</v>
      </c>
      <c r="D95" s="4"/>
      <c r="E95" s="32">
        <f>E92+E93+E94</f>
        <v>95</v>
      </c>
      <c r="F95" s="1" t="s">
        <v>352</v>
      </c>
    </row>
    <row r="96" spans="1:6" x14ac:dyDescent="0.2">
      <c r="D96" s="4"/>
    </row>
    <row r="97" spans="1:4" x14ac:dyDescent="0.2">
      <c r="D97" s="4"/>
    </row>
    <row r="98" spans="1:4" x14ac:dyDescent="0.2">
      <c r="A98" s="3" t="s">
        <v>359</v>
      </c>
    </row>
    <row r="99" spans="1:4" x14ac:dyDescent="0.2">
      <c r="A99" s="1" t="s">
        <v>360</v>
      </c>
    </row>
    <row r="100" spans="1:4" x14ac:dyDescent="0.2">
      <c r="A100" s="1" t="s">
        <v>361</v>
      </c>
    </row>
    <row r="101" spans="1:4" x14ac:dyDescent="0.2">
      <c r="A101" s="1" t="s">
        <v>362</v>
      </c>
    </row>
    <row r="103" spans="1:4" x14ac:dyDescent="0.2">
      <c r="A103" s="1" t="s">
        <v>213</v>
      </c>
      <c r="D103" s="30">
        <v>100000</v>
      </c>
    </row>
    <row r="104" spans="1:4" x14ac:dyDescent="0.2">
      <c r="A104" s="1" t="s">
        <v>214</v>
      </c>
      <c r="D104" s="30">
        <v>1400000</v>
      </c>
    </row>
    <row r="105" spans="1:4" x14ac:dyDescent="0.2">
      <c r="A105" s="1" t="s">
        <v>217</v>
      </c>
      <c r="D105" s="30">
        <v>150000</v>
      </c>
    </row>
    <row r="106" spans="1:4" x14ac:dyDescent="0.2">
      <c r="D106" s="61">
        <f>SUM(D103:D105)</f>
        <v>1650000</v>
      </c>
    </row>
    <row r="108" spans="1:4" x14ac:dyDescent="0.2">
      <c r="A108" s="1" t="s">
        <v>363</v>
      </c>
    </row>
    <row r="109" spans="1:4" x14ac:dyDescent="0.2">
      <c r="A109" s="1" t="s">
        <v>364</v>
      </c>
    </row>
    <row r="111" spans="1:4" x14ac:dyDescent="0.2">
      <c r="A111" s="1" t="s">
        <v>365</v>
      </c>
    </row>
    <row r="112" spans="1:4" x14ac:dyDescent="0.2">
      <c r="A112" s="1" t="s">
        <v>366</v>
      </c>
      <c r="C112" s="72">
        <v>10000</v>
      </c>
    </row>
    <row r="113" spans="1:6" x14ac:dyDescent="0.2">
      <c r="A113" s="1" t="s">
        <v>367</v>
      </c>
      <c r="C113" s="72">
        <v>20000</v>
      </c>
    </row>
    <row r="114" spans="1:6" x14ac:dyDescent="0.2">
      <c r="C114" s="72"/>
      <c r="E114" s="4" t="s">
        <v>368</v>
      </c>
    </row>
    <row r="115" spans="1:6" ht="17" thickBot="1" x14ac:dyDescent="0.25">
      <c r="D115" s="73" t="s">
        <v>369</v>
      </c>
      <c r="E115" s="73" t="s">
        <v>370</v>
      </c>
      <c r="F115" s="73" t="s">
        <v>371</v>
      </c>
    </row>
    <row r="116" spans="1:6" x14ac:dyDescent="0.2">
      <c r="A116" s="1" t="s">
        <v>213</v>
      </c>
      <c r="D116" s="19">
        <f>D103</f>
        <v>100000</v>
      </c>
      <c r="E116" s="19">
        <f>-C112</f>
        <v>-10000</v>
      </c>
      <c r="F116" s="19">
        <f>D116+E116</f>
        <v>90000</v>
      </c>
    </row>
    <row r="117" spans="1:6" x14ac:dyDescent="0.2">
      <c r="A117" s="1" t="s">
        <v>214</v>
      </c>
      <c r="D117" s="19">
        <f>D104</f>
        <v>1400000</v>
      </c>
      <c r="E117" s="19">
        <v>0</v>
      </c>
      <c r="F117" s="19">
        <f>D117+E117</f>
        <v>1400000</v>
      </c>
    </row>
    <row r="118" spans="1:6" ht="17" thickBot="1" x14ac:dyDescent="0.25">
      <c r="A118" s="1" t="s">
        <v>372</v>
      </c>
      <c r="D118" s="74">
        <f>D105</f>
        <v>150000</v>
      </c>
      <c r="E118" s="74">
        <f>-C113</f>
        <v>-20000</v>
      </c>
      <c r="F118" s="74">
        <f>D118+E118</f>
        <v>130000</v>
      </c>
    </row>
    <row r="119" spans="1:6" x14ac:dyDescent="0.2">
      <c r="A119" s="1" t="s">
        <v>315</v>
      </c>
      <c r="D119" s="19">
        <f>SUM(D116:D118)</f>
        <v>1650000</v>
      </c>
      <c r="E119" s="19">
        <f>SUM(E116:E118)</f>
        <v>-30000</v>
      </c>
      <c r="F119" s="75">
        <f>SUM(F116:F118)</f>
        <v>1620000</v>
      </c>
    </row>
    <row r="120" spans="1:6" x14ac:dyDescent="0.2">
      <c r="D120" s="19"/>
      <c r="E120" s="19"/>
      <c r="F120" s="75" t="s">
        <v>373</v>
      </c>
    </row>
    <row r="121" spans="1:6" x14ac:dyDescent="0.2">
      <c r="D121" s="4"/>
      <c r="E121" s="4"/>
      <c r="F121" s="32" t="s">
        <v>352</v>
      </c>
    </row>
    <row r="123" spans="1:6" x14ac:dyDescent="0.2">
      <c r="A123" s="1" t="s">
        <v>374</v>
      </c>
    </row>
    <row r="124" spans="1:6" x14ac:dyDescent="0.2">
      <c r="A124" s="1" t="s">
        <v>375</v>
      </c>
    </row>
    <row r="126" spans="1:6" x14ac:dyDescent="0.2">
      <c r="A126" s="3" t="s">
        <v>376</v>
      </c>
    </row>
    <row r="127" spans="1:6" x14ac:dyDescent="0.2">
      <c r="A127" s="1" t="s">
        <v>377</v>
      </c>
    </row>
    <row r="128" spans="1:6" x14ac:dyDescent="0.2">
      <c r="A128" s="1" t="s">
        <v>378</v>
      </c>
    </row>
    <row r="130" spans="1:4" x14ac:dyDescent="0.2">
      <c r="A130" s="1" t="s">
        <v>218</v>
      </c>
      <c r="D130" s="30">
        <f>90000</f>
        <v>90000</v>
      </c>
    </row>
    <row r="132" spans="1:4" x14ac:dyDescent="0.2">
      <c r="A132" s="3" t="s">
        <v>379</v>
      </c>
    </row>
    <row r="133" spans="1:4" x14ac:dyDescent="0.2">
      <c r="A133" s="1" t="s">
        <v>380</v>
      </c>
    </row>
    <row r="134" spans="1:4" x14ac:dyDescent="0.2">
      <c r="A134" s="1" t="s">
        <v>381</v>
      </c>
    </row>
    <row r="136" spans="1:4" x14ac:dyDescent="0.2">
      <c r="A136" s="1" t="s">
        <v>100</v>
      </c>
      <c r="D136" s="30">
        <v>88000</v>
      </c>
    </row>
    <row r="137" spans="1:4" x14ac:dyDescent="0.2">
      <c r="A137" s="1" t="s">
        <v>99</v>
      </c>
      <c r="D137" s="30">
        <v>30000</v>
      </c>
    </row>
    <row r="138" spans="1:4" x14ac:dyDescent="0.2">
      <c r="D138" s="61">
        <f>SUM(D135:D137)</f>
        <v>118000</v>
      </c>
    </row>
  </sheetData>
  <mergeCells count="2">
    <mergeCell ref="J67:J69"/>
    <mergeCell ref="J70:J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C35F-8277-C445-92FD-352A11581DF7}">
  <dimension ref="A1:O158"/>
  <sheetViews>
    <sheetView rightToLeft="1" topLeftCell="A110" zoomScale="256" zoomScaleNormal="280" workbookViewId="0">
      <selection activeCell="A107" sqref="A107:H116"/>
    </sheetView>
  </sheetViews>
  <sheetFormatPr baseColWidth="10" defaultRowHeight="16" x14ac:dyDescent="0.2"/>
  <cols>
    <col min="1" max="16384" width="10.83203125" style="1"/>
  </cols>
  <sheetData>
    <row r="1" spans="1:9" x14ac:dyDescent="0.2">
      <c r="A1" s="2" t="s">
        <v>393</v>
      </c>
      <c r="B1" s="2"/>
      <c r="C1" s="2"/>
      <c r="D1" s="2"/>
      <c r="E1" s="2"/>
      <c r="F1" s="2"/>
      <c r="G1" s="2"/>
      <c r="H1" s="2"/>
      <c r="I1" s="80">
        <v>45613</v>
      </c>
    </row>
    <row r="3" spans="1:9" x14ac:dyDescent="0.2">
      <c r="A3" s="1" t="s">
        <v>503</v>
      </c>
    </row>
    <row r="4" spans="1:9" x14ac:dyDescent="0.2">
      <c r="A4" s="1" t="s">
        <v>394</v>
      </c>
    </row>
    <row r="6" spans="1:9" x14ac:dyDescent="0.2">
      <c r="A6" s="81" t="s">
        <v>395</v>
      </c>
      <c r="B6" s="82"/>
      <c r="C6" s="82"/>
      <c r="D6" s="82"/>
      <c r="E6" s="82"/>
      <c r="F6" s="82"/>
      <c r="G6" s="82"/>
      <c r="H6" s="82"/>
      <c r="I6" s="82"/>
    </row>
    <row r="7" spans="1:9" ht="17" thickBot="1" x14ac:dyDescent="0.25"/>
    <row r="8" spans="1:9" x14ac:dyDescent="0.2">
      <c r="A8" s="45" t="s">
        <v>508</v>
      </c>
      <c r="B8" s="46"/>
      <c r="C8" s="46"/>
      <c r="D8" s="46"/>
      <c r="E8" s="46"/>
      <c r="F8" s="46"/>
      <c r="G8" s="46"/>
      <c r="H8" s="46"/>
      <c r="I8" s="47"/>
    </row>
    <row r="9" spans="1:9" x14ac:dyDescent="0.2">
      <c r="A9" s="48" t="s">
        <v>504</v>
      </c>
      <c r="I9" s="49"/>
    </row>
    <row r="10" spans="1:9" x14ac:dyDescent="0.2">
      <c r="A10" s="48"/>
      <c r="I10" s="49"/>
    </row>
    <row r="11" spans="1:9" x14ac:dyDescent="0.2">
      <c r="A11" s="48" t="s">
        <v>505</v>
      </c>
      <c r="I11" s="49"/>
    </row>
    <row r="12" spans="1:9" x14ac:dyDescent="0.2">
      <c r="A12" s="48" t="s">
        <v>506</v>
      </c>
      <c r="I12" s="49"/>
    </row>
    <row r="13" spans="1:9" ht="17" thickBot="1" x14ac:dyDescent="0.25">
      <c r="A13" s="50" t="s">
        <v>507</v>
      </c>
      <c r="B13" s="51"/>
      <c r="C13" s="51"/>
      <c r="D13" s="51"/>
      <c r="E13" s="51"/>
      <c r="F13" s="51"/>
      <c r="G13" s="51"/>
      <c r="H13" s="51"/>
      <c r="I13" s="79"/>
    </row>
    <row r="15" spans="1:9" x14ac:dyDescent="0.2">
      <c r="A15" s="1" t="s">
        <v>509</v>
      </c>
    </row>
    <row r="17" spans="1:9" x14ac:dyDescent="0.2">
      <c r="A17" s="4" t="s">
        <v>396</v>
      </c>
      <c r="B17" s="1" t="s">
        <v>397</v>
      </c>
      <c r="F17" s="4" t="s">
        <v>25</v>
      </c>
    </row>
    <row r="18" spans="1:9" x14ac:dyDescent="0.2">
      <c r="A18" s="4" t="s">
        <v>398</v>
      </c>
      <c r="B18" s="1" t="s">
        <v>399</v>
      </c>
      <c r="F18" s="4" t="s">
        <v>27</v>
      </c>
    </row>
    <row r="19" spans="1:9" x14ac:dyDescent="0.2">
      <c r="B19" s="3" t="s">
        <v>400</v>
      </c>
      <c r="C19" s="3"/>
      <c r="D19" s="3"/>
      <c r="E19" s="3"/>
      <c r="F19" s="83" t="s">
        <v>401</v>
      </c>
    </row>
    <row r="20" spans="1:9" ht="17" thickBot="1" x14ac:dyDescent="0.25"/>
    <row r="21" spans="1:9" x14ac:dyDescent="0.2">
      <c r="A21" s="45" t="s">
        <v>402</v>
      </c>
      <c r="B21" s="46"/>
      <c r="C21" s="46"/>
      <c r="D21" s="46"/>
      <c r="E21" s="46"/>
      <c r="F21" s="46"/>
      <c r="G21" s="46"/>
      <c r="H21" s="46"/>
      <c r="I21" s="47"/>
    </row>
    <row r="22" spans="1:9" ht="17" thickBot="1" x14ac:dyDescent="0.25">
      <c r="A22" s="50" t="s">
        <v>403</v>
      </c>
      <c r="B22" s="51"/>
      <c r="C22" s="51"/>
      <c r="D22" s="51"/>
      <c r="E22" s="51"/>
      <c r="F22" s="51"/>
      <c r="G22" s="51"/>
      <c r="H22" s="51"/>
      <c r="I22" s="79"/>
    </row>
    <row r="24" spans="1:9" x14ac:dyDescent="0.2">
      <c r="A24" s="1" t="s">
        <v>404</v>
      </c>
    </row>
    <row r="25" spans="1:9" ht="17" thickBot="1" x14ac:dyDescent="0.25"/>
    <row r="26" spans="1:9" x14ac:dyDescent="0.2">
      <c r="A26" s="84" t="s">
        <v>405</v>
      </c>
      <c r="B26" s="85"/>
      <c r="C26" s="85"/>
      <c r="D26" s="86"/>
      <c r="F26" s="84" t="s">
        <v>406</v>
      </c>
      <c r="G26" s="85"/>
      <c r="H26" s="46"/>
      <c r="I26" s="47"/>
    </row>
    <row r="27" spans="1:9" x14ac:dyDescent="0.2">
      <c r="A27" s="48" t="s">
        <v>407</v>
      </c>
      <c r="D27" s="87" t="s">
        <v>25</v>
      </c>
      <c r="F27" s="48" t="s">
        <v>408</v>
      </c>
      <c r="G27" s="4" t="s">
        <v>25</v>
      </c>
      <c r="H27" s="88" t="s">
        <v>409</v>
      </c>
      <c r="I27" s="49"/>
    </row>
    <row r="28" spans="1:9" x14ac:dyDescent="0.2">
      <c r="A28" s="48" t="s">
        <v>304</v>
      </c>
      <c r="D28" s="87" t="s">
        <v>27</v>
      </c>
      <c r="F28" s="89" t="s">
        <v>410</v>
      </c>
      <c r="G28" s="32" t="s">
        <v>25</v>
      </c>
      <c r="H28" s="88" t="s">
        <v>411</v>
      </c>
      <c r="I28" s="49"/>
    </row>
    <row r="29" spans="1:9" x14ac:dyDescent="0.2">
      <c r="A29" s="48" t="s">
        <v>412</v>
      </c>
      <c r="D29" s="87" t="s">
        <v>27</v>
      </c>
      <c r="F29" s="48" t="s">
        <v>413</v>
      </c>
      <c r="G29" s="4" t="s">
        <v>27</v>
      </c>
      <c r="H29" s="88" t="s">
        <v>414</v>
      </c>
      <c r="I29" s="49"/>
    </row>
    <row r="30" spans="1:9" ht="17" thickBot="1" x14ac:dyDescent="0.25">
      <c r="A30" s="50" t="s">
        <v>415</v>
      </c>
      <c r="B30" s="51"/>
      <c r="C30" s="51"/>
      <c r="D30" s="90" t="s">
        <v>28</v>
      </c>
      <c r="F30" s="50" t="s">
        <v>416</v>
      </c>
      <c r="G30" s="73" t="s">
        <v>28</v>
      </c>
      <c r="H30" s="73"/>
      <c r="I30" s="79"/>
    </row>
    <row r="32" spans="1:9" ht="17" thickBot="1" x14ac:dyDescent="0.25">
      <c r="A32" s="1" t="s">
        <v>417</v>
      </c>
    </row>
    <row r="33" spans="1:9" x14ac:dyDescent="0.2">
      <c r="A33" s="1" t="s">
        <v>418</v>
      </c>
      <c r="F33" s="45" t="s">
        <v>419</v>
      </c>
      <c r="G33" s="47"/>
    </row>
    <row r="34" spans="1:9" ht="17" thickBot="1" x14ac:dyDescent="0.25">
      <c r="A34" s="1" t="s">
        <v>420</v>
      </c>
      <c r="F34" s="50" t="s">
        <v>421</v>
      </c>
      <c r="G34" s="79"/>
    </row>
    <row r="35" spans="1:9" x14ac:dyDescent="0.2">
      <c r="A35" s="1" t="s">
        <v>510</v>
      </c>
      <c r="B35" s="1" t="s">
        <v>511</v>
      </c>
      <c r="C35" s="1" t="s">
        <v>512</v>
      </c>
      <c r="D35" s="1" t="s">
        <v>514</v>
      </c>
      <c r="I35" s="1" t="s">
        <v>422</v>
      </c>
    </row>
    <row r="36" spans="1:9" ht="17" thickBot="1" x14ac:dyDescent="0.25">
      <c r="A36" s="1">
        <v>50</v>
      </c>
      <c r="B36" s="1">
        <v>100</v>
      </c>
      <c r="C36" s="88" t="s">
        <v>513</v>
      </c>
      <c r="D36" s="1">
        <v>20</v>
      </c>
      <c r="I36" s="1">
        <v>400</v>
      </c>
    </row>
    <row r="37" spans="1:9" x14ac:dyDescent="0.2">
      <c r="A37" s="1" t="s">
        <v>246</v>
      </c>
      <c r="B37" s="1" t="s">
        <v>246</v>
      </c>
      <c r="D37" s="1" t="s">
        <v>246</v>
      </c>
      <c r="F37" s="45" t="s">
        <v>423</v>
      </c>
      <c r="G37" s="47"/>
    </row>
    <row r="38" spans="1:9" ht="17" thickBot="1" x14ac:dyDescent="0.25">
      <c r="F38" s="50" t="s">
        <v>424</v>
      </c>
      <c r="G38" s="79"/>
    </row>
    <row r="40" spans="1:9" ht="17" thickBot="1" x14ac:dyDescent="0.25"/>
    <row r="41" spans="1:9" x14ac:dyDescent="0.2">
      <c r="A41" s="1" t="s">
        <v>425</v>
      </c>
      <c r="F41" s="45" t="s">
        <v>423</v>
      </c>
      <c r="G41" s="47"/>
    </row>
    <row r="42" spans="1:9" ht="17" thickBot="1" x14ac:dyDescent="0.25">
      <c r="D42" s="1" t="s">
        <v>426</v>
      </c>
      <c r="F42" s="50" t="s">
        <v>427</v>
      </c>
      <c r="G42" s="79"/>
      <c r="I42" s="1" t="s">
        <v>428</v>
      </c>
    </row>
    <row r="43" spans="1:9" x14ac:dyDescent="0.2">
      <c r="A43" s="1" t="s">
        <v>429</v>
      </c>
    </row>
    <row r="44" spans="1:9" ht="17" thickBot="1" x14ac:dyDescent="0.25">
      <c r="B44" s="1" t="s">
        <v>408</v>
      </c>
      <c r="C44" s="1">
        <v>100</v>
      </c>
    </row>
    <row r="45" spans="1:9" x14ac:dyDescent="0.2">
      <c r="B45" s="1" t="s">
        <v>410</v>
      </c>
      <c r="C45" s="1">
        <v>300</v>
      </c>
      <c r="F45" s="45" t="s">
        <v>430</v>
      </c>
      <c r="G45" s="47"/>
    </row>
    <row r="46" spans="1:9" ht="17" thickBot="1" x14ac:dyDescent="0.25">
      <c r="B46" s="1" t="s">
        <v>413</v>
      </c>
      <c r="C46" s="30">
        <v>-120</v>
      </c>
      <c r="F46" s="50" t="s">
        <v>431</v>
      </c>
      <c r="G46" s="79"/>
    </row>
    <row r="47" spans="1:9" ht="17" thickBot="1" x14ac:dyDescent="0.25">
      <c r="B47" s="1" t="s">
        <v>432</v>
      </c>
      <c r="C47" s="91">
        <f>SUM(C44:C46)</f>
        <v>280</v>
      </c>
    </row>
    <row r="50" spans="1:6" x14ac:dyDescent="0.2">
      <c r="A50" s="1" t="s">
        <v>433</v>
      </c>
    </row>
    <row r="51" spans="1:6" ht="17" thickBot="1" x14ac:dyDescent="0.25"/>
    <row r="52" spans="1:6" x14ac:dyDescent="0.2">
      <c r="B52" s="92" t="s">
        <v>434</v>
      </c>
      <c r="C52" s="46"/>
      <c r="D52" s="46"/>
      <c r="E52" s="47"/>
    </row>
    <row r="53" spans="1:6" x14ac:dyDescent="0.2">
      <c r="B53" s="48" t="s">
        <v>435</v>
      </c>
      <c r="D53" s="4" t="s">
        <v>25</v>
      </c>
      <c r="E53" s="49" t="s">
        <v>436</v>
      </c>
    </row>
    <row r="54" spans="1:6" x14ac:dyDescent="0.2">
      <c r="B54" s="48" t="s">
        <v>437</v>
      </c>
      <c r="D54" s="4" t="s">
        <v>25</v>
      </c>
      <c r="E54" s="49"/>
    </row>
    <row r="55" spans="1:6" x14ac:dyDescent="0.2">
      <c r="B55" s="48" t="s">
        <v>438</v>
      </c>
      <c r="D55" s="4" t="s">
        <v>27</v>
      </c>
      <c r="E55" s="49"/>
    </row>
    <row r="56" spans="1:6" ht="17" thickBot="1" x14ac:dyDescent="0.25">
      <c r="B56" s="48" t="s">
        <v>439</v>
      </c>
      <c r="D56" s="4" t="s">
        <v>27</v>
      </c>
      <c r="E56" s="49" t="s">
        <v>440</v>
      </c>
      <c r="F56" s="1" t="s">
        <v>441</v>
      </c>
    </row>
    <row r="57" spans="1:6" ht="17" thickBot="1" x14ac:dyDescent="0.25">
      <c r="B57" s="50" t="s">
        <v>442</v>
      </c>
      <c r="C57" s="51"/>
      <c r="D57" s="93" t="s">
        <v>28</v>
      </c>
      <c r="E57" s="79"/>
      <c r="F57" s="1" t="s">
        <v>443</v>
      </c>
    </row>
    <row r="59" spans="1:6" x14ac:dyDescent="0.2">
      <c r="A59" s="3" t="s">
        <v>444</v>
      </c>
    </row>
    <row r="61" spans="1:6" x14ac:dyDescent="0.2">
      <c r="A61" s="6" t="s">
        <v>445</v>
      </c>
      <c r="B61" s="6"/>
      <c r="C61" s="6" t="s">
        <v>446</v>
      </c>
      <c r="E61" s="94" t="s">
        <v>447</v>
      </c>
    </row>
    <row r="62" spans="1:6" x14ac:dyDescent="0.2">
      <c r="A62" s="1" t="s">
        <v>517</v>
      </c>
      <c r="C62" s="95">
        <v>50000</v>
      </c>
      <c r="E62" s="1" t="s">
        <v>407</v>
      </c>
    </row>
    <row r="63" spans="1:6" x14ac:dyDescent="0.2">
      <c r="A63" s="1" t="s">
        <v>220</v>
      </c>
      <c r="C63" s="72">
        <v>4000</v>
      </c>
      <c r="E63" s="1" t="s">
        <v>448</v>
      </c>
    </row>
    <row r="64" spans="1:6" x14ac:dyDescent="0.2">
      <c r="A64" s="1" t="s">
        <v>438</v>
      </c>
      <c r="C64" s="95">
        <v>7000</v>
      </c>
      <c r="E64" s="1" t="s">
        <v>304</v>
      </c>
    </row>
    <row r="65" spans="1:11" x14ac:dyDescent="0.2">
      <c r="A65" s="1" t="s">
        <v>516</v>
      </c>
      <c r="C65" s="72">
        <v>200000</v>
      </c>
    </row>
    <row r="66" spans="1:11" x14ac:dyDescent="0.2">
      <c r="A66" s="1" t="s">
        <v>449</v>
      </c>
      <c r="C66" s="72">
        <v>3000</v>
      </c>
    </row>
    <row r="67" spans="1:11" x14ac:dyDescent="0.2">
      <c r="A67" s="1" t="s">
        <v>450</v>
      </c>
      <c r="C67" s="72">
        <v>2000</v>
      </c>
      <c r="E67" s="94" t="s">
        <v>451</v>
      </c>
    </row>
    <row r="68" spans="1:11" x14ac:dyDescent="0.2">
      <c r="A68" s="1" t="s">
        <v>452</v>
      </c>
      <c r="C68" s="72">
        <v>6000</v>
      </c>
      <c r="E68" s="1" t="s">
        <v>408</v>
      </c>
    </row>
    <row r="69" spans="1:11" x14ac:dyDescent="0.2">
      <c r="A69" s="1" t="s">
        <v>453</v>
      </c>
      <c r="C69" s="95">
        <v>1000</v>
      </c>
      <c r="E69" s="1" t="s">
        <v>454</v>
      </c>
    </row>
    <row r="70" spans="1:11" x14ac:dyDescent="0.2">
      <c r="A70" s="1" t="s">
        <v>455</v>
      </c>
      <c r="C70" s="95">
        <v>8000</v>
      </c>
      <c r="E70" s="1" t="s">
        <v>413</v>
      </c>
    </row>
    <row r="71" spans="1:11" x14ac:dyDescent="0.2">
      <c r="A71" s="1" t="s">
        <v>408</v>
      </c>
      <c r="C71" s="72">
        <v>10000</v>
      </c>
    </row>
    <row r="72" spans="1:11" x14ac:dyDescent="0.2">
      <c r="A72" s="1" t="s">
        <v>413</v>
      </c>
      <c r="C72" s="72">
        <v>12000</v>
      </c>
      <c r="E72" s="1" t="s">
        <v>515</v>
      </c>
    </row>
    <row r="73" spans="1:11" ht="17" thickBot="1" x14ac:dyDescent="0.25"/>
    <row r="74" spans="1:11" x14ac:dyDescent="0.2">
      <c r="A74" s="84" t="s">
        <v>447</v>
      </c>
      <c r="B74" s="46"/>
      <c r="C74" s="47"/>
      <c r="E74" s="84" t="s">
        <v>451</v>
      </c>
      <c r="F74" s="46"/>
      <c r="G74" s="47"/>
      <c r="I74" s="38"/>
    </row>
    <row r="75" spans="1:11" x14ac:dyDescent="0.2">
      <c r="A75" s="108" t="s">
        <v>212</v>
      </c>
      <c r="B75" s="38"/>
      <c r="C75" s="96">
        <v>200000</v>
      </c>
      <c r="E75" s="108" t="s">
        <v>408</v>
      </c>
      <c r="F75" s="38"/>
      <c r="G75" s="96">
        <f>C71</f>
        <v>10000</v>
      </c>
      <c r="H75" s="97"/>
      <c r="I75" s="98"/>
      <c r="J75" s="98"/>
    </row>
    <row r="76" spans="1:11" x14ac:dyDescent="0.2">
      <c r="A76" s="108" t="s">
        <v>518</v>
      </c>
      <c r="B76" s="38"/>
      <c r="C76" s="99">
        <v>0</v>
      </c>
      <c r="E76" s="108" t="s">
        <v>410</v>
      </c>
      <c r="F76" s="38"/>
      <c r="G76" s="100">
        <f>H85</f>
        <v>50000</v>
      </c>
      <c r="H76" s="97"/>
      <c r="I76" s="98"/>
      <c r="J76" s="98"/>
      <c r="K76" s="98" t="s">
        <v>456</v>
      </c>
    </row>
    <row r="77" spans="1:11" ht="17" thickBot="1" x14ac:dyDescent="0.25">
      <c r="A77" s="108" t="s">
        <v>309</v>
      </c>
      <c r="B77" s="38"/>
      <c r="C77" s="99">
        <v>0</v>
      </c>
      <c r="E77" s="108" t="s">
        <v>457</v>
      </c>
      <c r="F77" s="38"/>
      <c r="G77" s="101">
        <f>-C72</f>
        <v>-12000</v>
      </c>
      <c r="H77" s="102"/>
      <c r="I77" s="98"/>
      <c r="J77" s="98"/>
    </row>
    <row r="78" spans="1:11" ht="17" thickBot="1" x14ac:dyDescent="0.25">
      <c r="A78" s="50" t="s">
        <v>458</v>
      </c>
      <c r="B78" s="51"/>
      <c r="C78" s="112">
        <f>C75</f>
        <v>200000</v>
      </c>
      <c r="E78" s="50" t="s">
        <v>459</v>
      </c>
      <c r="F78" s="51"/>
      <c r="G78" s="113">
        <f>SUM(G75:G77)</f>
        <v>48000</v>
      </c>
      <c r="H78" s="97"/>
      <c r="I78" s="98"/>
      <c r="J78" s="98"/>
    </row>
    <row r="79" spans="1:11" ht="17" thickBot="1" x14ac:dyDescent="0.25"/>
    <row r="80" spans="1:11" x14ac:dyDescent="0.2">
      <c r="A80" s="84" t="s">
        <v>460</v>
      </c>
      <c r="B80" s="46"/>
      <c r="C80" s="47"/>
      <c r="E80" s="84" t="s">
        <v>434</v>
      </c>
      <c r="F80" s="46"/>
      <c r="G80" s="46"/>
      <c r="H80" s="103"/>
    </row>
    <row r="81" spans="1:9" x14ac:dyDescent="0.2">
      <c r="A81" s="48" t="s">
        <v>461</v>
      </c>
      <c r="C81" s="114">
        <f>C78</f>
        <v>200000</v>
      </c>
      <c r="E81" s="108" t="s">
        <v>462</v>
      </c>
      <c r="F81" s="38"/>
      <c r="G81" s="38"/>
      <c r="H81" s="101">
        <f>C62</f>
        <v>50000</v>
      </c>
    </row>
    <row r="82" spans="1:9" ht="17" thickBot="1" x14ac:dyDescent="0.25">
      <c r="A82" s="48" t="s">
        <v>463</v>
      </c>
      <c r="C82" s="115">
        <f>-G78</f>
        <v>-48000</v>
      </c>
      <c r="E82" s="108" t="s">
        <v>437</v>
      </c>
      <c r="F82" s="38"/>
      <c r="G82" s="38"/>
      <c r="H82" s="101">
        <f>C70</f>
        <v>8000</v>
      </c>
    </row>
    <row r="83" spans="1:9" ht="24" thickBot="1" x14ac:dyDescent="0.3">
      <c r="A83" s="50" t="s">
        <v>248</v>
      </c>
      <c r="B83" s="51"/>
      <c r="C83" s="116">
        <f>C81+C82</f>
        <v>152000</v>
      </c>
      <c r="E83" s="108" t="s">
        <v>464</v>
      </c>
      <c r="F83" s="38"/>
      <c r="G83" s="38"/>
      <c r="H83" s="101">
        <f>-C64</f>
        <v>-7000</v>
      </c>
    </row>
    <row r="84" spans="1:9" x14ac:dyDescent="0.2">
      <c r="C84" s="97"/>
      <c r="E84" s="108" t="s">
        <v>465</v>
      </c>
      <c r="F84" s="38"/>
      <c r="G84" s="38"/>
      <c r="H84" s="101">
        <f>-C69</f>
        <v>-1000</v>
      </c>
    </row>
    <row r="85" spans="1:9" ht="17" thickBot="1" x14ac:dyDescent="0.25">
      <c r="C85" s="97"/>
      <c r="E85" s="109" t="s">
        <v>410</v>
      </c>
      <c r="F85" s="110"/>
      <c r="G85" s="110"/>
      <c r="H85" s="111">
        <f>H81+H82+H83+H84</f>
        <v>50000</v>
      </c>
    </row>
    <row r="87" spans="1:9" ht="21" x14ac:dyDescent="0.25">
      <c r="A87" s="104" t="s">
        <v>466</v>
      </c>
      <c r="B87" s="82"/>
      <c r="C87" s="82"/>
      <c r="D87" s="82"/>
      <c r="E87" s="82"/>
      <c r="F87" s="82"/>
      <c r="G87" s="82"/>
      <c r="H87" s="82"/>
      <c r="I87" s="82"/>
    </row>
    <row r="89" spans="1:9" x14ac:dyDescent="0.2">
      <c r="A89" s="1" t="s">
        <v>467</v>
      </c>
    </row>
    <row r="90" spans="1:9" x14ac:dyDescent="0.2">
      <c r="A90" s="1" t="s">
        <v>468</v>
      </c>
    </row>
    <row r="92" spans="1:9" x14ac:dyDescent="0.2">
      <c r="A92" s="1" t="s">
        <v>469</v>
      </c>
    </row>
    <row r="93" spans="1:9" x14ac:dyDescent="0.2">
      <c r="A93" s="1" t="s">
        <v>470</v>
      </c>
    </row>
    <row r="95" spans="1:9" x14ac:dyDescent="0.2">
      <c r="A95" s="1" t="s">
        <v>471</v>
      </c>
    </row>
    <row r="96" spans="1:9" x14ac:dyDescent="0.2">
      <c r="A96" s="1" t="s">
        <v>472</v>
      </c>
    </row>
    <row r="97" spans="1:9" ht="17" thickBot="1" x14ac:dyDescent="0.25"/>
    <row r="98" spans="1:9" ht="17" thickBot="1" x14ac:dyDescent="0.25">
      <c r="A98" s="377" t="s">
        <v>473</v>
      </c>
      <c r="B98" s="378"/>
      <c r="C98" s="378"/>
      <c r="D98" s="378"/>
      <c r="E98" s="378"/>
      <c r="F98" s="378"/>
      <c r="G98" s="378"/>
      <c r="H98" s="378"/>
      <c r="I98" s="379"/>
    </row>
    <row r="100" spans="1:9" x14ac:dyDescent="0.2">
      <c r="A100" s="3" t="s">
        <v>474</v>
      </c>
    </row>
    <row r="101" spans="1:9" x14ac:dyDescent="0.2">
      <c r="A101" s="3"/>
    </row>
    <row r="102" spans="1:9" x14ac:dyDescent="0.2">
      <c r="A102" s="1" t="s">
        <v>475</v>
      </c>
    </row>
    <row r="104" spans="1:9" x14ac:dyDescent="0.2">
      <c r="A104" s="3" t="s">
        <v>519</v>
      </c>
    </row>
    <row r="105" spans="1:9" x14ac:dyDescent="0.2">
      <c r="A105" s="1" t="s">
        <v>520</v>
      </c>
    </row>
    <row r="107" spans="1:9" x14ac:dyDescent="0.2">
      <c r="A107" s="3" t="s">
        <v>476</v>
      </c>
    </row>
    <row r="108" spans="1:9" x14ac:dyDescent="0.2">
      <c r="A108" s="1" t="s">
        <v>477</v>
      </c>
    </row>
    <row r="109" spans="1:9" x14ac:dyDescent="0.2">
      <c r="A109" s="1" t="s">
        <v>478</v>
      </c>
    </row>
    <row r="110" spans="1:9" x14ac:dyDescent="0.2">
      <c r="A110" s="1" t="s">
        <v>479</v>
      </c>
    </row>
    <row r="111" spans="1:9" x14ac:dyDescent="0.2">
      <c r="A111" s="1" t="s">
        <v>480</v>
      </c>
    </row>
    <row r="112" spans="1:9" x14ac:dyDescent="0.2">
      <c r="A112" s="1" t="s">
        <v>481</v>
      </c>
    </row>
    <row r="113" spans="1:12" x14ac:dyDescent="0.2">
      <c r="A113" s="1" t="s">
        <v>482</v>
      </c>
    </row>
    <row r="114" spans="1:12" x14ac:dyDescent="0.2">
      <c r="A114" s="1" t="s">
        <v>483</v>
      </c>
    </row>
    <row r="115" spans="1:12" x14ac:dyDescent="0.2">
      <c r="A115" s="1" t="s">
        <v>484</v>
      </c>
    </row>
    <row r="116" spans="1:12" x14ac:dyDescent="0.2">
      <c r="A116" s="1" t="s">
        <v>485</v>
      </c>
    </row>
    <row r="119" spans="1:12" x14ac:dyDescent="0.2">
      <c r="C119" s="117" t="s">
        <v>33</v>
      </c>
      <c r="D119" s="117"/>
      <c r="E119" s="117"/>
      <c r="F119" s="118" t="s">
        <v>35</v>
      </c>
      <c r="G119" s="118"/>
      <c r="H119" s="118"/>
      <c r="I119" s="118" t="s">
        <v>36</v>
      </c>
      <c r="J119" s="118"/>
      <c r="K119" s="118"/>
      <c r="L119" s="118"/>
    </row>
    <row r="120" spans="1:12" ht="51" x14ac:dyDescent="0.2">
      <c r="A120" s="98"/>
      <c r="B120" s="98"/>
      <c r="C120" s="38" t="s">
        <v>80</v>
      </c>
      <c r="D120" s="38" t="s">
        <v>76</v>
      </c>
      <c r="E120" s="105" t="s">
        <v>486</v>
      </c>
      <c r="F120" s="106" t="s">
        <v>487</v>
      </c>
      <c r="G120" s="38" t="s">
        <v>488</v>
      </c>
      <c r="H120" s="105" t="s">
        <v>489</v>
      </c>
      <c r="I120" s="38" t="s">
        <v>490</v>
      </c>
      <c r="J120" s="38" t="s">
        <v>491</v>
      </c>
      <c r="K120" s="38" t="s">
        <v>492</v>
      </c>
      <c r="L120" s="105" t="s">
        <v>493</v>
      </c>
    </row>
    <row r="121" spans="1:12" x14ac:dyDescent="0.2">
      <c r="A121" s="107" t="s">
        <v>494</v>
      </c>
      <c r="B121" s="38"/>
      <c r="C121" s="38">
        <v>60000</v>
      </c>
      <c r="D121" s="98"/>
      <c r="E121" s="38"/>
      <c r="F121" s="38"/>
      <c r="G121" s="98"/>
      <c r="H121" s="38"/>
      <c r="I121" s="38">
        <f>C121</f>
        <v>60000</v>
      </c>
      <c r="J121" s="98"/>
      <c r="K121" s="98"/>
      <c r="L121" s="38"/>
    </row>
    <row r="122" spans="1:12" x14ac:dyDescent="0.2">
      <c r="A122" s="107" t="s">
        <v>495</v>
      </c>
      <c r="B122" s="38"/>
      <c r="C122" s="38">
        <v>50000</v>
      </c>
      <c r="D122" s="98"/>
      <c r="E122" s="38"/>
      <c r="F122" s="38">
        <f>C122</f>
        <v>50000</v>
      </c>
      <c r="G122" s="98"/>
      <c r="H122" s="38"/>
      <c r="I122" s="98"/>
      <c r="J122" s="98"/>
      <c r="K122" s="98"/>
      <c r="L122" s="38"/>
    </row>
    <row r="123" spans="1:12" x14ac:dyDescent="0.2">
      <c r="A123" s="38" t="s">
        <v>496</v>
      </c>
      <c r="B123" s="38"/>
      <c r="C123" s="39"/>
      <c r="D123" s="102"/>
      <c r="E123" s="39"/>
      <c r="F123" s="102"/>
      <c r="G123" s="39">
        <f>-J123</f>
        <v>3000</v>
      </c>
      <c r="H123" s="39"/>
      <c r="I123" s="102"/>
      <c r="J123" s="39">
        <v>-3000</v>
      </c>
      <c r="K123" s="102"/>
      <c r="L123" s="38"/>
    </row>
    <row r="124" spans="1:12" x14ac:dyDescent="0.2">
      <c r="A124" s="38" t="s">
        <v>497</v>
      </c>
      <c r="B124" s="38"/>
      <c r="C124" s="39">
        <v>30000</v>
      </c>
      <c r="D124" s="38">
        <v>10000</v>
      </c>
      <c r="E124" s="38"/>
      <c r="F124" s="98"/>
      <c r="G124" s="98"/>
      <c r="H124" s="38"/>
      <c r="I124" s="98"/>
      <c r="J124" s="98"/>
      <c r="K124" s="39">
        <v>40000</v>
      </c>
      <c r="L124" s="38"/>
    </row>
    <row r="125" spans="1:12" x14ac:dyDescent="0.2">
      <c r="A125" s="38" t="s">
        <v>498</v>
      </c>
      <c r="B125" s="38"/>
      <c r="C125" s="39">
        <v>-5000</v>
      </c>
      <c r="D125" s="98"/>
      <c r="E125" s="38"/>
      <c r="F125" s="98"/>
      <c r="G125" s="98"/>
      <c r="H125" s="38"/>
      <c r="I125" s="98"/>
      <c r="J125" s="39">
        <v>-5000</v>
      </c>
      <c r="K125" s="98"/>
      <c r="L125" s="38"/>
    </row>
    <row r="126" spans="1:12" s="38" customFormat="1" x14ac:dyDescent="0.2">
      <c r="A126" s="38" t="s">
        <v>499</v>
      </c>
      <c r="C126" s="39">
        <v>-20000</v>
      </c>
      <c r="J126" s="39">
        <f>C126</f>
        <v>-20000</v>
      </c>
    </row>
    <row r="127" spans="1:12" x14ac:dyDescent="0.2">
      <c r="A127" s="38" t="s">
        <v>500</v>
      </c>
      <c r="B127" s="38"/>
      <c r="C127" s="39">
        <v>-15000</v>
      </c>
      <c r="D127" s="98"/>
      <c r="E127" s="39">
        <f>-C127</f>
        <v>15000</v>
      </c>
      <c r="F127" s="98"/>
      <c r="G127" s="98"/>
      <c r="H127" s="38"/>
      <c r="I127" s="98"/>
      <c r="J127" s="98"/>
      <c r="K127" s="98"/>
      <c r="L127" s="38"/>
    </row>
    <row r="128" spans="1:12" x14ac:dyDescent="0.2">
      <c r="A128" s="38" t="s">
        <v>501</v>
      </c>
      <c r="B128" s="38"/>
      <c r="C128" s="39">
        <v>16000</v>
      </c>
      <c r="D128" s="98"/>
      <c r="E128" s="39">
        <v>-15000</v>
      </c>
      <c r="F128" s="98"/>
      <c r="G128" s="98"/>
      <c r="H128" s="38"/>
      <c r="I128" s="98"/>
      <c r="J128" s="98"/>
      <c r="K128" s="39">
        <v>1000</v>
      </c>
      <c r="L128" s="38"/>
    </row>
    <row r="129" spans="1:15" x14ac:dyDescent="0.2">
      <c r="A129" s="38" t="s">
        <v>502</v>
      </c>
      <c r="B129" s="38"/>
      <c r="C129" s="98"/>
      <c r="D129" s="98"/>
      <c r="E129" s="98"/>
      <c r="F129" s="98"/>
      <c r="G129" s="98"/>
      <c r="H129" s="39">
        <f>-L129</f>
        <v>5000</v>
      </c>
      <c r="I129" s="98"/>
      <c r="J129" s="98"/>
      <c r="K129" s="98"/>
      <c r="L129" s="39">
        <f>-5000</f>
        <v>-5000</v>
      </c>
    </row>
    <row r="130" spans="1:15" s="38" customFormat="1" ht="17" thickBot="1" x14ac:dyDescent="0.25">
      <c r="A130" s="38" t="s">
        <v>315</v>
      </c>
      <c r="C130" s="119">
        <f>SUM(C121:C129)</f>
        <v>116000</v>
      </c>
      <c r="D130" s="119">
        <f t="shared" ref="D130:L130" si="0">SUM(D121:D129)</f>
        <v>10000</v>
      </c>
      <c r="E130" s="119">
        <f t="shared" si="0"/>
        <v>0</v>
      </c>
      <c r="F130" s="120">
        <f t="shared" si="0"/>
        <v>50000</v>
      </c>
      <c r="G130" s="120">
        <f t="shared" si="0"/>
        <v>3000</v>
      </c>
      <c r="H130" s="120">
        <f t="shared" si="0"/>
        <v>5000</v>
      </c>
      <c r="I130" s="120">
        <f t="shared" si="0"/>
        <v>60000</v>
      </c>
      <c r="J130" s="120">
        <f t="shared" si="0"/>
        <v>-28000</v>
      </c>
      <c r="K130" s="120">
        <f t="shared" si="0"/>
        <v>41000</v>
      </c>
      <c r="L130" s="120">
        <f t="shared" si="0"/>
        <v>-5000</v>
      </c>
    </row>
    <row r="131" spans="1:15" ht="17" thickTop="1" x14ac:dyDescent="0.2"/>
    <row r="132" spans="1:15" x14ac:dyDescent="0.2">
      <c r="A132" s="1" t="s">
        <v>521</v>
      </c>
    </row>
    <row r="133" spans="1:15" x14ac:dyDescent="0.2">
      <c r="A133" s="1" t="s">
        <v>522</v>
      </c>
    </row>
    <row r="135" spans="1:15" ht="23" x14ac:dyDescent="0.25">
      <c r="A135" s="380" t="s">
        <v>541</v>
      </c>
      <c r="B135" s="380"/>
      <c r="C135" s="380"/>
      <c r="D135" s="380"/>
      <c r="E135" s="380"/>
      <c r="F135" s="380"/>
    </row>
    <row r="137" spans="1:15" x14ac:dyDescent="0.2">
      <c r="A137" s="3" t="s">
        <v>33</v>
      </c>
      <c r="B137" s="3"/>
      <c r="D137" s="3" t="s">
        <v>275</v>
      </c>
      <c r="E137" s="3"/>
      <c r="F137" s="3"/>
      <c r="G137" s="3"/>
      <c r="H137" s="1" t="s">
        <v>529</v>
      </c>
    </row>
    <row r="138" spans="1:15" x14ac:dyDescent="0.2">
      <c r="H138" s="1" t="s">
        <v>530</v>
      </c>
    </row>
    <row r="139" spans="1:15" x14ac:dyDescent="0.2">
      <c r="A139" s="6" t="s">
        <v>523</v>
      </c>
      <c r="B139" s="6"/>
      <c r="D139" s="6" t="s">
        <v>525</v>
      </c>
      <c r="E139" s="6"/>
      <c r="F139" s="6"/>
      <c r="H139" s="1" t="s">
        <v>531</v>
      </c>
    </row>
    <row r="140" spans="1:15" x14ac:dyDescent="0.2">
      <c r="A140" s="1" t="s">
        <v>80</v>
      </c>
      <c r="B140" s="30">
        <f>C130</f>
        <v>116000</v>
      </c>
      <c r="D140" s="1" t="s">
        <v>488</v>
      </c>
      <c r="F140" s="30">
        <f>G130</f>
        <v>3000</v>
      </c>
      <c r="H140" s="6" t="s">
        <v>532</v>
      </c>
      <c r="I140" s="6"/>
      <c r="J140" s="6"/>
      <c r="K140" s="6"/>
      <c r="L140" s="6"/>
    </row>
    <row r="141" spans="1:15" ht="17" thickBot="1" x14ac:dyDescent="0.25">
      <c r="A141" s="1" t="s">
        <v>76</v>
      </c>
      <c r="B141" s="30">
        <f>D130</f>
        <v>10000</v>
      </c>
      <c r="D141" s="38" t="s">
        <v>528</v>
      </c>
      <c r="E141" s="38"/>
      <c r="F141" s="39">
        <f>H130</f>
        <v>5000</v>
      </c>
    </row>
    <row r="142" spans="1:15" ht="17" thickBot="1" x14ac:dyDescent="0.25">
      <c r="A142" s="1" t="s">
        <v>315</v>
      </c>
      <c r="B142" s="53">
        <f>B140+B141</f>
        <v>126000</v>
      </c>
      <c r="D142" s="1" t="s">
        <v>315</v>
      </c>
      <c r="F142" s="53">
        <f>SUM(F140:F141)</f>
        <v>8000</v>
      </c>
      <c r="H142" s="1" t="s">
        <v>533</v>
      </c>
      <c r="L142" s="1">
        <v>0</v>
      </c>
      <c r="M142" s="1" t="s">
        <v>536</v>
      </c>
    </row>
    <row r="143" spans="1:15" x14ac:dyDescent="0.2">
      <c r="H143" s="1" t="s">
        <v>537</v>
      </c>
      <c r="L143" s="30">
        <f>K130+J130</f>
        <v>13000</v>
      </c>
      <c r="O143" s="1" t="s">
        <v>538</v>
      </c>
    </row>
    <row r="144" spans="1:15" ht="17" thickBot="1" x14ac:dyDescent="0.25">
      <c r="A144" s="6" t="s">
        <v>524</v>
      </c>
      <c r="B144" s="6"/>
      <c r="D144" s="6" t="s">
        <v>526</v>
      </c>
      <c r="E144" s="6"/>
      <c r="H144" s="1" t="s">
        <v>534</v>
      </c>
      <c r="L144" s="30">
        <f>L130</f>
        <v>-5000</v>
      </c>
    </row>
    <row r="145" spans="1:12" ht="17" thickBot="1" x14ac:dyDescent="0.25">
      <c r="B145" s="121">
        <v>0</v>
      </c>
      <c r="D145" s="1" t="s">
        <v>487</v>
      </c>
      <c r="F145" s="53">
        <f>F130</f>
        <v>50000</v>
      </c>
      <c r="H145" s="1" t="s">
        <v>535</v>
      </c>
      <c r="L145" s="53">
        <f>SUM(L142:L144)</f>
        <v>8000</v>
      </c>
    </row>
    <row r="147" spans="1:12" ht="23" x14ac:dyDescent="0.25">
      <c r="D147" s="6" t="s">
        <v>527</v>
      </c>
      <c r="E147" s="6"/>
      <c r="F147" s="6"/>
      <c r="H147" s="5" t="s">
        <v>546</v>
      </c>
      <c r="I147" s="6"/>
      <c r="J147" s="6"/>
      <c r="K147" s="6"/>
    </row>
    <row r="148" spans="1:12" x14ac:dyDescent="0.2">
      <c r="D148" s="1" t="s">
        <v>490</v>
      </c>
      <c r="F148" s="30">
        <f>I130</f>
        <v>60000</v>
      </c>
      <c r="H148" s="1" t="s">
        <v>542</v>
      </c>
    </row>
    <row r="149" spans="1:12" ht="17" thickBot="1" x14ac:dyDescent="0.25">
      <c r="D149" s="1" t="s">
        <v>539</v>
      </c>
      <c r="F149" s="30">
        <f>L145</f>
        <v>8000</v>
      </c>
      <c r="H149" s="1" t="s">
        <v>543</v>
      </c>
    </row>
    <row r="150" spans="1:12" ht="17" thickBot="1" x14ac:dyDescent="0.25">
      <c r="F150" s="53">
        <f>SUM(F148:F149)</f>
        <v>68000</v>
      </c>
    </row>
    <row r="151" spans="1:12" x14ac:dyDescent="0.2">
      <c r="H151" s="1" t="s">
        <v>110</v>
      </c>
      <c r="J151" s="30">
        <f>K124</f>
        <v>40000</v>
      </c>
      <c r="K151" s="1" t="s">
        <v>760</v>
      </c>
    </row>
    <row r="152" spans="1:12" ht="17" thickBot="1" x14ac:dyDescent="0.25">
      <c r="H152" s="1" t="s">
        <v>544</v>
      </c>
      <c r="J152" s="30">
        <f>J125+J126</f>
        <v>-25000</v>
      </c>
      <c r="K152" s="1" t="s">
        <v>761</v>
      </c>
    </row>
    <row r="153" spans="1:12" ht="17" thickBot="1" x14ac:dyDescent="0.25">
      <c r="A153" s="1" t="s">
        <v>278</v>
      </c>
      <c r="B153" s="53">
        <f>B142+B145</f>
        <v>126000</v>
      </c>
      <c r="D153" s="1" t="s">
        <v>540</v>
      </c>
      <c r="F153" s="53">
        <f>F142+F145+F150</f>
        <v>126000</v>
      </c>
      <c r="H153" s="1" t="s">
        <v>253</v>
      </c>
      <c r="J153" s="53">
        <f>J151+J152</f>
        <v>15000</v>
      </c>
      <c r="K153" s="1" t="s">
        <v>762</v>
      </c>
    </row>
    <row r="154" spans="1:12" x14ac:dyDescent="0.2">
      <c r="H154" s="1" t="s">
        <v>254</v>
      </c>
      <c r="J154" s="30">
        <f>J123</f>
        <v>-3000</v>
      </c>
    </row>
    <row r="155" spans="1:12" ht="17" thickBot="1" x14ac:dyDescent="0.25">
      <c r="H155" s="1" t="s">
        <v>255</v>
      </c>
      <c r="J155" s="30">
        <f>K128</f>
        <v>1000</v>
      </c>
    </row>
    <row r="156" spans="1:12" ht="17" thickBot="1" x14ac:dyDescent="0.25">
      <c r="H156" s="1" t="s">
        <v>256</v>
      </c>
      <c r="J156" s="53">
        <f>J153+J154+J155</f>
        <v>13000</v>
      </c>
    </row>
    <row r="157" spans="1:12" ht="17" thickBot="1" x14ac:dyDescent="0.25">
      <c r="H157" s="1" t="s">
        <v>257</v>
      </c>
      <c r="J157" s="1">
        <v>0</v>
      </c>
      <c r="K157" s="1" t="s">
        <v>545</v>
      </c>
    </row>
    <row r="158" spans="1:12" ht="17" thickBot="1" x14ac:dyDescent="0.25">
      <c r="H158" s="1" t="s">
        <v>258</v>
      </c>
      <c r="J158" s="53">
        <f>J156+J157</f>
        <v>13000</v>
      </c>
    </row>
  </sheetData>
  <mergeCells count="2">
    <mergeCell ref="A98:I98"/>
    <mergeCell ref="A135:F1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084-C487-1247-94FE-1A7A28B2F2A8}">
  <dimension ref="A1:I124"/>
  <sheetViews>
    <sheetView rightToLeft="1" zoomScale="200" workbookViewId="0">
      <selection activeCell="A2" sqref="A2:I13"/>
    </sheetView>
  </sheetViews>
  <sheetFormatPr baseColWidth="10" defaultRowHeight="16" x14ac:dyDescent="0.2"/>
  <cols>
    <col min="1" max="1" width="11.5" style="1" customWidth="1"/>
    <col min="2" max="16384" width="10.83203125" style="1"/>
  </cols>
  <sheetData>
    <row r="1" spans="1:9" x14ac:dyDescent="0.2">
      <c r="A1" s="122" t="s">
        <v>547</v>
      </c>
      <c r="B1" s="123"/>
      <c r="C1" s="123"/>
      <c r="D1" s="123"/>
      <c r="E1" s="123"/>
      <c r="F1" s="123"/>
      <c r="G1" s="123"/>
      <c r="H1" s="123"/>
      <c r="I1" s="123"/>
    </row>
    <row r="2" spans="1:9" x14ac:dyDescent="0.2">
      <c r="A2" s="1" t="s">
        <v>548</v>
      </c>
    </row>
    <row r="3" spans="1:9" x14ac:dyDescent="0.2">
      <c r="A3" s="1" t="s">
        <v>549</v>
      </c>
    </row>
    <row r="4" spans="1:9" x14ac:dyDescent="0.2">
      <c r="A4" s="1" t="s">
        <v>550</v>
      </c>
    </row>
    <row r="5" spans="1:9" x14ac:dyDescent="0.2">
      <c r="A5" s="1" t="s">
        <v>551</v>
      </c>
    </row>
    <row r="6" spans="1:9" x14ac:dyDescent="0.2">
      <c r="A6" s="1" t="s">
        <v>552</v>
      </c>
    </row>
    <row r="7" spans="1:9" x14ac:dyDescent="0.2">
      <c r="A7" s="1" t="s">
        <v>553</v>
      </c>
    </row>
    <row r="8" spans="1:9" x14ac:dyDescent="0.2">
      <c r="A8" s="1" t="s">
        <v>554</v>
      </c>
    </row>
    <row r="9" spans="1:9" x14ac:dyDescent="0.2">
      <c r="A9" s="1" t="s">
        <v>555</v>
      </c>
    </row>
    <row r="10" spans="1:9" x14ac:dyDescent="0.2">
      <c r="A10" s="1" t="s">
        <v>556</v>
      </c>
    </row>
    <row r="11" spans="1:9" x14ac:dyDescent="0.2">
      <c r="A11" s="1" t="s">
        <v>557</v>
      </c>
    </row>
    <row r="12" spans="1:9" x14ac:dyDescent="0.2">
      <c r="A12" s="1" t="s">
        <v>558</v>
      </c>
    </row>
    <row r="13" spans="1:9" x14ac:dyDescent="0.2">
      <c r="A13" s="1" t="s">
        <v>559</v>
      </c>
    </row>
    <row r="15" spans="1:9" x14ac:dyDescent="0.2">
      <c r="A15" s="123" t="s">
        <v>560</v>
      </c>
      <c r="B15" s="123"/>
      <c r="C15" s="123"/>
      <c r="D15" s="123"/>
      <c r="E15" s="123"/>
      <c r="F15" s="123"/>
      <c r="G15" s="123"/>
      <c r="H15" s="123"/>
      <c r="I15" s="123"/>
    </row>
    <row r="16" spans="1:9" x14ac:dyDescent="0.2">
      <c r="A16" s="123" t="s">
        <v>592</v>
      </c>
      <c r="B16" s="123"/>
      <c r="C16" s="123"/>
      <c r="D16" s="123"/>
      <c r="E16" s="123"/>
      <c r="F16" s="123"/>
      <c r="G16" s="123"/>
      <c r="H16" s="123"/>
      <c r="I16" s="123"/>
    </row>
    <row r="18" spans="1:8" x14ac:dyDescent="0.2">
      <c r="A18" s="1" t="s">
        <v>561</v>
      </c>
    </row>
    <row r="19" spans="1:8" x14ac:dyDescent="0.2">
      <c r="C19" s="124" t="s">
        <v>33</v>
      </c>
      <c r="D19" s="17" t="s">
        <v>28</v>
      </c>
      <c r="E19" s="125" t="s">
        <v>562</v>
      </c>
      <c r="F19" s="386" t="s">
        <v>36</v>
      </c>
      <c r="G19" s="386"/>
      <c r="H19" s="386"/>
    </row>
    <row r="20" spans="1:8" x14ac:dyDescent="0.2">
      <c r="F20" s="4" t="s">
        <v>490</v>
      </c>
      <c r="G20" s="4" t="s">
        <v>563</v>
      </c>
      <c r="H20" s="4" t="s">
        <v>491</v>
      </c>
    </row>
    <row r="23" spans="1:8" x14ac:dyDescent="0.2">
      <c r="A23" s="126" t="s">
        <v>550</v>
      </c>
    </row>
    <row r="24" spans="1:8" x14ac:dyDescent="0.2">
      <c r="C24" s="387" t="s">
        <v>33</v>
      </c>
      <c r="D24" s="383" t="s">
        <v>28</v>
      </c>
      <c r="E24" s="125" t="s">
        <v>562</v>
      </c>
      <c r="F24" s="386" t="s">
        <v>36</v>
      </c>
      <c r="G24" s="386"/>
      <c r="H24" s="386"/>
    </row>
    <row r="25" spans="1:8" x14ac:dyDescent="0.2">
      <c r="C25" s="388"/>
      <c r="D25" s="384"/>
      <c r="E25" s="8"/>
      <c r="F25" s="127" t="s">
        <v>490</v>
      </c>
      <c r="G25" s="127" t="s">
        <v>563</v>
      </c>
      <c r="H25" s="127" t="s">
        <v>491</v>
      </c>
    </row>
    <row r="26" spans="1:8" x14ac:dyDescent="0.2">
      <c r="C26" s="4" t="s">
        <v>80</v>
      </c>
    </row>
    <row r="27" spans="1:8" x14ac:dyDescent="0.2">
      <c r="C27" s="18">
        <v>200000</v>
      </c>
      <c r="F27" s="18">
        <v>200000</v>
      </c>
    </row>
    <row r="28" spans="1:8" x14ac:dyDescent="0.2">
      <c r="C28" s="18"/>
      <c r="F28" s="18"/>
    </row>
    <row r="29" spans="1:8" x14ac:dyDescent="0.2">
      <c r="C29" s="18"/>
      <c r="F29" s="18"/>
    </row>
    <row r="31" spans="1:8" x14ac:dyDescent="0.2">
      <c r="A31" s="126" t="s">
        <v>551</v>
      </c>
    </row>
    <row r="32" spans="1:8" ht="50" customHeight="1" x14ac:dyDescent="0.2">
      <c r="A32" s="126"/>
      <c r="C32" s="381" t="s">
        <v>564</v>
      </c>
      <c r="D32" s="383" t="s">
        <v>28</v>
      </c>
      <c r="E32" s="385" t="s">
        <v>565</v>
      </c>
      <c r="F32" s="385"/>
      <c r="G32" s="385"/>
      <c r="H32" s="385"/>
    </row>
    <row r="33" spans="1:8" ht="31" customHeight="1" x14ac:dyDescent="0.2">
      <c r="A33" s="126"/>
      <c r="C33" s="388"/>
      <c r="D33" s="384"/>
      <c r="E33" s="128" t="s">
        <v>566</v>
      </c>
      <c r="F33" s="127" t="s">
        <v>490</v>
      </c>
      <c r="G33" s="127" t="s">
        <v>563</v>
      </c>
      <c r="H33" s="127" t="s">
        <v>491</v>
      </c>
    </row>
    <row r="34" spans="1:8" ht="31" customHeight="1" x14ac:dyDescent="0.2">
      <c r="A34" s="126"/>
      <c r="C34" s="4" t="s">
        <v>80</v>
      </c>
    </row>
    <row r="35" spans="1:8" x14ac:dyDescent="0.2">
      <c r="C35" s="18">
        <v>70000</v>
      </c>
      <c r="E35" s="72">
        <v>70000</v>
      </c>
      <c r="F35" s="18"/>
    </row>
    <row r="38" spans="1:8" x14ac:dyDescent="0.2">
      <c r="A38" s="126" t="s">
        <v>552</v>
      </c>
    </row>
    <row r="39" spans="1:8" ht="50" customHeight="1" x14ac:dyDescent="0.2">
      <c r="A39" s="126"/>
      <c r="C39" s="381" t="s">
        <v>564</v>
      </c>
      <c r="D39" s="383" t="s">
        <v>28</v>
      </c>
      <c r="E39" s="385" t="s">
        <v>565</v>
      </c>
      <c r="F39" s="385"/>
      <c r="G39" s="385"/>
      <c r="H39" s="385"/>
    </row>
    <row r="40" spans="1:8" ht="31" customHeight="1" x14ac:dyDescent="0.2">
      <c r="A40" s="126"/>
      <c r="C40" s="388"/>
      <c r="D40" s="384"/>
      <c r="E40" s="128" t="s">
        <v>566</v>
      </c>
      <c r="F40" s="127" t="s">
        <v>490</v>
      </c>
      <c r="G40" s="127" t="s">
        <v>563</v>
      </c>
      <c r="H40" s="127" t="s">
        <v>491</v>
      </c>
    </row>
    <row r="41" spans="1:8" ht="19" customHeight="1" x14ac:dyDescent="0.2">
      <c r="A41" s="126"/>
      <c r="C41" s="4" t="s">
        <v>80</v>
      </c>
    </row>
    <row r="42" spans="1:8" x14ac:dyDescent="0.2">
      <c r="C42" s="19">
        <v>-7000</v>
      </c>
      <c r="D42" s="19"/>
      <c r="E42" s="19"/>
      <c r="F42" s="19"/>
      <c r="G42" s="19"/>
      <c r="H42" s="19">
        <f>C42</f>
        <v>-7000</v>
      </c>
    </row>
    <row r="43" spans="1:8" x14ac:dyDescent="0.2">
      <c r="C43" s="18"/>
      <c r="E43" s="72"/>
      <c r="F43" s="18"/>
    </row>
    <row r="44" spans="1:8" x14ac:dyDescent="0.2">
      <c r="A44" s="1" t="s">
        <v>396</v>
      </c>
      <c r="B44" s="1" t="s">
        <v>567</v>
      </c>
      <c r="C44" s="18"/>
      <c r="E44" s="72"/>
      <c r="F44" s="18"/>
    </row>
    <row r="45" spans="1:8" x14ac:dyDescent="0.2">
      <c r="C45" s="18"/>
      <c r="E45" s="72"/>
      <c r="F45" s="18"/>
    </row>
    <row r="46" spans="1:8" x14ac:dyDescent="0.2">
      <c r="B46" s="1" t="s">
        <v>568</v>
      </c>
      <c r="C46" s="18"/>
      <c r="E46" s="72"/>
      <c r="F46" s="18"/>
    </row>
    <row r="47" spans="1:8" x14ac:dyDescent="0.2">
      <c r="B47" s="1" t="s">
        <v>569</v>
      </c>
      <c r="C47" s="18"/>
      <c r="E47" s="72"/>
      <c r="F47" s="18"/>
    </row>
    <row r="48" spans="1:8" x14ac:dyDescent="0.2">
      <c r="B48" s="1" t="s">
        <v>570</v>
      </c>
      <c r="C48" s="18"/>
      <c r="E48" s="72"/>
      <c r="F48" s="18"/>
    </row>
    <row r="49" spans="1:8" x14ac:dyDescent="0.2">
      <c r="B49" s="3" t="s">
        <v>571</v>
      </c>
      <c r="C49" s="18"/>
      <c r="E49" s="72"/>
      <c r="F49" s="18"/>
    </row>
    <row r="50" spans="1:8" x14ac:dyDescent="0.2">
      <c r="C50" s="18"/>
      <c r="E50" s="72"/>
      <c r="F50" s="18"/>
    </row>
    <row r="51" spans="1:8" x14ac:dyDescent="0.2">
      <c r="C51" s="18"/>
      <c r="E51" s="72"/>
      <c r="F51" s="18"/>
    </row>
    <row r="52" spans="1:8" x14ac:dyDescent="0.2">
      <c r="A52" s="126" t="s">
        <v>553</v>
      </c>
    </row>
    <row r="54" spans="1:8" ht="48" customHeight="1" x14ac:dyDescent="0.2">
      <c r="C54" s="381" t="s">
        <v>564</v>
      </c>
      <c r="D54" s="383" t="s">
        <v>28</v>
      </c>
      <c r="E54" s="385" t="s">
        <v>565</v>
      </c>
      <c r="F54" s="385"/>
      <c r="G54" s="385"/>
      <c r="H54" s="385"/>
    </row>
    <row r="55" spans="1:8" ht="27" customHeight="1" x14ac:dyDescent="0.2">
      <c r="C55" s="388"/>
      <c r="D55" s="384"/>
      <c r="E55" s="128" t="s">
        <v>572</v>
      </c>
      <c r="F55" s="127" t="s">
        <v>490</v>
      </c>
      <c r="G55" s="127" t="s">
        <v>563</v>
      </c>
      <c r="H55" s="127" t="s">
        <v>491</v>
      </c>
    </row>
    <row r="56" spans="1:8" x14ac:dyDescent="0.2">
      <c r="C56" s="129" t="s">
        <v>80</v>
      </c>
      <c r="E56" s="129" t="s">
        <v>220</v>
      </c>
      <c r="H56" s="130"/>
    </row>
    <row r="57" spans="1:8" x14ac:dyDescent="0.2">
      <c r="C57" s="131">
        <v>-10000</v>
      </c>
      <c r="E57" s="132">
        <v>30000</v>
      </c>
      <c r="H57" s="131">
        <v>-40000</v>
      </c>
    </row>
    <row r="59" spans="1:8" x14ac:dyDescent="0.2">
      <c r="A59" s="1" t="s">
        <v>573</v>
      </c>
    </row>
    <row r="60" spans="1:8" x14ac:dyDescent="0.2">
      <c r="A60" s="1" t="s">
        <v>574</v>
      </c>
    </row>
    <row r="61" spans="1:8" x14ac:dyDescent="0.2">
      <c r="A61" s="1" t="s">
        <v>575</v>
      </c>
    </row>
    <row r="63" spans="1:8" x14ac:dyDescent="0.2">
      <c r="A63" s="1" t="s">
        <v>576</v>
      </c>
    </row>
    <row r="65" spans="1:8" x14ac:dyDescent="0.2">
      <c r="A65" s="1" t="s">
        <v>577</v>
      </c>
    </row>
    <row r="66" spans="1:8" x14ac:dyDescent="0.2">
      <c r="A66" s="1" t="s">
        <v>578</v>
      </c>
    </row>
    <row r="69" spans="1:8" x14ac:dyDescent="0.2">
      <c r="A69" s="126" t="s">
        <v>554</v>
      </c>
    </row>
    <row r="71" spans="1:8" ht="34" customHeight="1" x14ac:dyDescent="0.2">
      <c r="B71" s="381" t="s">
        <v>564</v>
      </c>
      <c r="C71" s="381"/>
      <c r="D71" s="383" t="s">
        <v>28</v>
      </c>
      <c r="E71" s="385" t="s">
        <v>565</v>
      </c>
      <c r="F71" s="385"/>
      <c r="G71" s="385"/>
      <c r="H71" s="385"/>
    </row>
    <row r="72" spans="1:8" ht="17" x14ac:dyDescent="0.2">
      <c r="B72" s="382"/>
      <c r="C72" s="382"/>
      <c r="D72" s="384"/>
      <c r="E72" s="128" t="s">
        <v>572</v>
      </c>
      <c r="F72" s="127" t="s">
        <v>490</v>
      </c>
      <c r="G72" s="127" t="s">
        <v>563</v>
      </c>
      <c r="H72" s="127" t="s">
        <v>491</v>
      </c>
    </row>
    <row r="73" spans="1:8" x14ac:dyDescent="0.2">
      <c r="B73" s="129" t="s">
        <v>80</v>
      </c>
      <c r="C73" s="129" t="s">
        <v>76</v>
      </c>
      <c r="E73" s="129"/>
      <c r="H73" s="130"/>
    </row>
    <row r="74" spans="1:8" x14ac:dyDescent="0.2">
      <c r="B74" s="132">
        <v>44000</v>
      </c>
      <c r="C74" s="131">
        <v>56000</v>
      </c>
      <c r="E74" s="132"/>
      <c r="G74" s="132">
        <v>100000</v>
      </c>
      <c r="H74" s="131"/>
    </row>
    <row r="76" spans="1:8" x14ac:dyDescent="0.2">
      <c r="A76" s="1" t="s">
        <v>579</v>
      </c>
    </row>
    <row r="77" spans="1:8" x14ac:dyDescent="0.2">
      <c r="A77" s="1" t="s">
        <v>580</v>
      </c>
    </row>
    <row r="79" spans="1:8" x14ac:dyDescent="0.2">
      <c r="A79" s="1" t="s">
        <v>581</v>
      </c>
      <c r="E79" s="72">
        <v>100000</v>
      </c>
    </row>
    <row r="80" spans="1:8" x14ac:dyDescent="0.2">
      <c r="A80" s="1" t="s">
        <v>582</v>
      </c>
      <c r="E80" s="72">
        <v>44000</v>
      </c>
    </row>
    <row r="81" spans="1:8" x14ac:dyDescent="0.2">
      <c r="A81" s="1" t="s">
        <v>583</v>
      </c>
      <c r="E81" s="133">
        <f>E79-E80</f>
        <v>56000</v>
      </c>
      <c r="G81" s="1" t="s">
        <v>584</v>
      </c>
    </row>
    <row r="84" spans="1:8" x14ac:dyDescent="0.2">
      <c r="A84" s="126" t="s">
        <v>555</v>
      </c>
    </row>
    <row r="86" spans="1:8" ht="34" customHeight="1" x14ac:dyDescent="0.2">
      <c r="B86" s="381" t="s">
        <v>564</v>
      </c>
      <c r="C86" s="381"/>
      <c r="D86" s="383" t="s">
        <v>28</v>
      </c>
      <c r="E86" s="385" t="s">
        <v>565</v>
      </c>
      <c r="F86" s="385"/>
      <c r="G86" s="385"/>
      <c r="H86" s="385"/>
    </row>
    <row r="87" spans="1:8" ht="17" x14ac:dyDescent="0.2">
      <c r="B87" s="382"/>
      <c r="C87" s="382"/>
      <c r="D87" s="384"/>
      <c r="E87" s="128" t="s">
        <v>572</v>
      </c>
      <c r="F87" s="127" t="s">
        <v>490</v>
      </c>
      <c r="G87" s="127" t="s">
        <v>563</v>
      </c>
      <c r="H87" s="127" t="s">
        <v>491</v>
      </c>
    </row>
    <row r="88" spans="1:8" x14ac:dyDescent="0.2">
      <c r="B88" s="129" t="s">
        <v>80</v>
      </c>
      <c r="C88" s="129"/>
      <c r="E88" s="129"/>
      <c r="H88" s="130"/>
    </row>
    <row r="89" spans="1:8" x14ac:dyDescent="0.2">
      <c r="B89" s="131">
        <v>-15000</v>
      </c>
      <c r="C89" s="131"/>
      <c r="E89" s="132"/>
      <c r="G89" s="132"/>
      <c r="H89" s="131">
        <f>B89</f>
        <v>-15000</v>
      </c>
    </row>
    <row r="92" spans="1:8" x14ac:dyDescent="0.2">
      <c r="A92" s="126" t="s">
        <v>556</v>
      </c>
    </row>
    <row r="94" spans="1:8" ht="34" customHeight="1" x14ac:dyDescent="0.2">
      <c r="B94" s="381" t="s">
        <v>564</v>
      </c>
      <c r="C94" s="381"/>
      <c r="D94" s="383" t="s">
        <v>28</v>
      </c>
      <c r="E94" s="385" t="s">
        <v>565</v>
      </c>
      <c r="F94" s="385"/>
      <c r="G94" s="385"/>
      <c r="H94" s="385"/>
    </row>
    <row r="95" spans="1:8" ht="17" x14ac:dyDescent="0.2">
      <c r="B95" s="382"/>
      <c r="C95" s="382"/>
      <c r="D95" s="384"/>
      <c r="E95" s="128" t="s">
        <v>572</v>
      </c>
      <c r="F95" s="127" t="s">
        <v>490</v>
      </c>
      <c r="G95" s="127" t="s">
        <v>563</v>
      </c>
      <c r="H95" s="127" t="s">
        <v>491</v>
      </c>
    </row>
    <row r="96" spans="1:8" x14ac:dyDescent="0.2">
      <c r="B96" s="129" t="s">
        <v>80</v>
      </c>
      <c r="C96" s="129"/>
      <c r="E96" s="129"/>
      <c r="H96" s="130"/>
    </row>
    <row r="97" spans="1:9" x14ac:dyDescent="0.2">
      <c r="B97" s="131">
        <v>-4000</v>
      </c>
      <c r="C97" s="131"/>
      <c r="E97" s="132"/>
      <c r="G97" s="132"/>
      <c r="H97" s="131">
        <f>B97</f>
        <v>-4000</v>
      </c>
    </row>
    <row r="99" spans="1:9" x14ac:dyDescent="0.2">
      <c r="A99" s="126" t="s">
        <v>585</v>
      </c>
      <c r="B99" s="126"/>
      <c r="C99" s="126"/>
      <c r="D99" s="126"/>
    </row>
    <row r="101" spans="1:9" ht="57" customHeight="1" x14ac:dyDescent="0.2">
      <c r="B101" s="381" t="s">
        <v>564</v>
      </c>
      <c r="C101" s="381"/>
      <c r="D101" s="383" t="s">
        <v>28</v>
      </c>
      <c r="E101" s="385" t="s">
        <v>565</v>
      </c>
      <c r="F101" s="385"/>
      <c r="G101" s="385"/>
      <c r="H101" s="385"/>
    </row>
    <row r="102" spans="1:9" ht="33" customHeight="1" x14ac:dyDescent="0.2">
      <c r="B102" s="382"/>
      <c r="C102" s="382"/>
      <c r="D102" s="384"/>
      <c r="E102" s="134" t="s">
        <v>572</v>
      </c>
      <c r="F102" s="127" t="s">
        <v>490</v>
      </c>
      <c r="G102" s="127" t="s">
        <v>563</v>
      </c>
      <c r="H102" s="127" t="s">
        <v>491</v>
      </c>
    </row>
    <row r="103" spans="1:9" x14ac:dyDescent="0.2">
      <c r="B103" s="129" t="s">
        <v>80</v>
      </c>
      <c r="C103" s="129" t="s">
        <v>213</v>
      </c>
      <c r="E103" s="129" t="s">
        <v>220</v>
      </c>
      <c r="H103" s="130"/>
    </row>
    <row r="104" spans="1:9" x14ac:dyDescent="0.2">
      <c r="B104" s="131">
        <v>-5000</v>
      </c>
      <c r="C104" s="131">
        <v>8000</v>
      </c>
      <c r="E104" s="132">
        <v>3000</v>
      </c>
      <c r="G104" s="132"/>
      <c r="H104" s="131"/>
    </row>
    <row r="106" spans="1:9" x14ac:dyDescent="0.2">
      <c r="A106" s="1" t="s">
        <v>396</v>
      </c>
      <c r="B106" s="1" t="s">
        <v>586</v>
      </c>
    </row>
    <row r="108" spans="1:9" x14ac:dyDescent="0.2">
      <c r="A108" s="1" t="s">
        <v>587</v>
      </c>
      <c r="E108" s="131">
        <v>-5000</v>
      </c>
    </row>
    <row r="109" spans="1:9" x14ac:dyDescent="0.2">
      <c r="A109" s="1" t="s">
        <v>588</v>
      </c>
    </row>
    <row r="110" spans="1:9" x14ac:dyDescent="0.2">
      <c r="A110" s="1" t="s">
        <v>589</v>
      </c>
      <c r="I110" s="1" t="s">
        <v>590</v>
      </c>
    </row>
    <row r="112" spans="1:9" x14ac:dyDescent="0.2">
      <c r="A112" s="126" t="s">
        <v>558</v>
      </c>
    </row>
    <row r="114" spans="1:8" ht="57" customHeight="1" x14ac:dyDescent="0.2">
      <c r="B114" s="381" t="s">
        <v>564</v>
      </c>
      <c r="C114" s="381"/>
      <c r="D114" s="383" t="s">
        <v>28</v>
      </c>
      <c r="E114" s="385" t="s">
        <v>565</v>
      </c>
      <c r="F114" s="385"/>
      <c r="G114" s="385"/>
      <c r="H114" s="385"/>
    </row>
    <row r="115" spans="1:8" ht="33" customHeight="1" x14ac:dyDescent="0.2">
      <c r="B115" s="382"/>
      <c r="C115" s="382"/>
      <c r="D115" s="384"/>
      <c r="E115" s="134" t="s">
        <v>572</v>
      </c>
      <c r="F115" s="127" t="s">
        <v>490</v>
      </c>
      <c r="G115" s="127" t="s">
        <v>563</v>
      </c>
      <c r="H115" s="127" t="s">
        <v>491</v>
      </c>
    </row>
    <row r="116" spans="1:8" ht="34" x14ac:dyDescent="0.2">
      <c r="B116" s="129" t="s">
        <v>80</v>
      </c>
      <c r="C116" s="129"/>
      <c r="E116" s="135" t="s">
        <v>591</v>
      </c>
      <c r="H116" s="130"/>
    </row>
    <row r="117" spans="1:8" x14ac:dyDescent="0.2">
      <c r="B117" s="131">
        <v>10000</v>
      </c>
      <c r="C117" s="131"/>
      <c r="E117" s="132">
        <f>B117</f>
        <v>10000</v>
      </c>
      <c r="G117" s="132"/>
      <c r="H117" s="131"/>
    </row>
    <row r="119" spans="1:8" x14ac:dyDescent="0.2">
      <c r="A119" s="126" t="s">
        <v>559</v>
      </c>
    </row>
    <row r="121" spans="1:8" ht="57" customHeight="1" x14ac:dyDescent="0.2">
      <c r="B121" s="381" t="s">
        <v>564</v>
      </c>
      <c r="C121" s="381"/>
      <c r="D121" s="383" t="s">
        <v>28</v>
      </c>
      <c r="E121" s="385" t="s">
        <v>565</v>
      </c>
      <c r="F121" s="385"/>
      <c r="G121" s="385"/>
      <c r="H121" s="385"/>
    </row>
    <row r="122" spans="1:8" ht="33" customHeight="1" x14ac:dyDescent="0.2">
      <c r="B122" s="382"/>
      <c r="C122" s="382"/>
      <c r="D122" s="384"/>
      <c r="E122" s="134" t="s">
        <v>572</v>
      </c>
      <c r="F122" s="127" t="s">
        <v>490</v>
      </c>
      <c r="G122" s="127" t="s">
        <v>563</v>
      </c>
      <c r="H122" s="127" t="s">
        <v>491</v>
      </c>
    </row>
    <row r="123" spans="1:8" x14ac:dyDescent="0.2">
      <c r="B123" s="129" t="s">
        <v>80</v>
      </c>
      <c r="C123" s="129"/>
      <c r="E123" s="135"/>
      <c r="H123" s="130"/>
    </row>
    <row r="124" spans="1:8" x14ac:dyDescent="0.2">
      <c r="B124" s="131">
        <v>-20000</v>
      </c>
      <c r="C124" s="131"/>
      <c r="E124" s="132"/>
      <c r="G124" s="132"/>
      <c r="H124" s="131">
        <f>B124</f>
        <v>-20000</v>
      </c>
    </row>
  </sheetData>
  <mergeCells count="31">
    <mergeCell ref="B71:C72"/>
    <mergeCell ref="D71:D72"/>
    <mergeCell ref="E71:H71"/>
    <mergeCell ref="F19:H19"/>
    <mergeCell ref="C24:C25"/>
    <mergeCell ref="D24:D25"/>
    <mergeCell ref="F24:H24"/>
    <mergeCell ref="C32:C33"/>
    <mergeCell ref="D32:D33"/>
    <mergeCell ref="E32:H32"/>
    <mergeCell ref="C39:C40"/>
    <mergeCell ref="D39:D40"/>
    <mergeCell ref="E39:H39"/>
    <mergeCell ref="C54:C55"/>
    <mergeCell ref="D54:D55"/>
    <mergeCell ref="E54:H54"/>
    <mergeCell ref="B121:C122"/>
    <mergeCell ref="D121:D122"/>
    <mergeCell ref="E121:H121"/>
    <mergeCell ref="B86:C87"/>
    <mergeCell ref="D86:D87"/>
    <mergeCell ref="E86:H86"/>
    <mergeCell ref="B101:C102"/>
    <mergeCell ref="D101:D102"/>
    <mergeCell ref="E101:H101"/>
    <mergeCell ref="B94:C95"/>
    <mergeCell ref="D94:D95"/>
    <mergeCell ref="E94:H94"/>
    <mergeCell ref="B114:C115"/>
    <mergeCell ref="D114:D115"/>
    <mergeCell ref="E114:H1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D97F-4A86-B84B-B9F3-C6493D4634D3}">
  <dimension ref="A1:J389"/>
  <sheetViews>
    <sheetView showGridLines="0" rightToLeft="1" topLeftCell="A15" zoomScale="339" workbookViewId="0">
      <selection activeCell="A239" sqref="A239:XFD379"/>
    </sheetView>
  </sheetViews>
  <sheetFormatPr baseColWidth="10" defaultRowHeight="16" x14ac:dyDescent="0.2"/>
  <cols>
    <col min="1" max="16384" width="10.83203125" style="1"/>
  </cols>
  <sheetData>
    <row r="1" spans="1:8" x14ac:dyDescent="0.2">
      <c r="A1" s="389" t="s">
        <v>623</v>
      </c>
      <c r="B1" s="389"/>
      <c r="C1" s="389"/>
      <c r="D1" s="389"/>
      <c r="E1" s="389"/>
      <c r="F1" s="389"/>
      <c r="G1" s="389"/>
      <c r="H1" s="389"/>
    </row>
    <row r="3" spans="1:8" x14ac:dyDescent="0.2">
      <c r="A3" s="149" t="s">
        <v>624</v>
      </c>
      <c r="B3" s="149"/>
      <c r="C3" s="149"/>
      <c r="D3" s="149"/>
      <c r="E3" s="149"/>
      <c r="F3" s="149"/>
      <c r="G3" s="149"/>
      <c r="H3" s="149"/>
    </row>
    <row r="4" spans="1:8" x14ac:dyDescent="0.2">
      <c r="A4" s="1" t="s">
        <v>625</v>
      </c>
    </row>
    <row r="5" spans="1:8" x14ac:dyDescent="0.2">
      <c r="A5" s="1" t="s">
        <v>626</v>
      </c>
    </row>
    <row r="6" spans="1:8" x14ac:dyDescent="0.2">
      <c r="A6" s="1" t="s">
        <v>627</v>
      </c>
    </row>
    <row r="7" spans="1:8" x14ac:dyDescent="0.2">
      <c r="A7" s="1" t="s">
        <v>628</v>
      </c>
    </row>
    <row r="8" spans="1:8" x14ac:dyDescent="0.2">
      <c r="A8" s="1" t="s">
        <v>629</v>
      </c>
    </row>
    <row r="9" spans="1:8" x14ac:dyDescent="0.2">
      <c r="A9" s="1" t="s">
        <v>630</v>
      </c>
    </row>
    <row r="11" spans="1:8" ht="17" thickBot="1" x14ac:dyDescent="0.25">
      <c r="C11" s="153" t="s">
        <v>33</v>
      </c>
      <c r="D11" s="153"/>
      <c r="E11" s="153"/>
      <c r="F11" s="153" t="s">
        <v>275</v>
      </c>
      <c r="G11" s="153"/>
      <c r="H11" s="153"/>
    </row>
    <row r="12" spans="1:8" ht="17" thickBot="1" x14ac:dyDescent="0.25"/>
    <row r="13" spans="1:8" x14ac:dyDescent="0.2">
      <c r="C13" s="142" t="s">
        <v>523</v>
      </c>
      <c r="D13" s="143"/>
      <c r="F13" s="45" t="s">
        <v>525</v>
      </c>
      <c r="G13" s="46"/>
      <c r="H13" s="47"/>
    </row>
    <row r="14" spans="1:8" x14ac:dyDescent="0.2">
      <c r="C14" s="144"/>
      <c r="D14" s="145"/>
      <c r="F14" s="48"/>
      <c r="H14" s="49"/>
    </row>
    <row r="15" spans="1:8" ht="17" thickBot="1" x14ac:dyDescent="0.25">
      <c r="C15" s="146" t="s">
        <v>632</v>
      </c>
      <c r="D15" s="145"/>
      <c r="F15" s="50"/>
      <c r="G15" s="51"/>
      <c r="H15" s="79"/>
    </row>
    <row r="16" spans="1:8" ht="17" thickBot="1" x14ac:dyDescent="0.25">
      <c r="C16" s="147" t="s">
        <v>633</v>
      </c>
      <c r="D16" s="148"/>
    </row>
    <row r="17" spans="1:8" ht="17" thickBot="1" x14ac:dyDescent="0.25"/>
    <row r="18" spans="1:8" x14ac:dyDescent="0.2">
      <c r="C18" s="45" t="s">
        <v>524</v>
      </c>
      <c r="D18" s="47"/>
      <c r="F18" s="45" t="s">
        <v>526</v>
      </c>
      <c r="G18" s="46"/>
      <c r="H18" s="47"/>
    </row>
    <row r="19" spans="1:8" x14ac:dyDescent="0.2">
      <c r="C19" s="48"/>
      <c r="D19" s="49"/>
      <c r="F19" s="48"/>
      <c r="H19" s="49"/>
    </row>
    <row r="20" spans="1:8" ht="17" thickBot="1" x14ac:dyDescent="0.25">
      <c r="C20" s="48"/>
      <c r="D20" s="49"/>
      <c r="F20" s="50"/>
      <c r="G20" s="51"/>
      <c r="H20" s="79"/>
    </row>
    <row r="21" spans="1:8" ht="17" thickBot="1" x14ac:dyDescent="0.25">
      <c r="C21" s="48"/>
      <c r="D21" s="49"/>
    </row>
    <row r="22" spans="1:8" x14ac:dyDescent="0.2">
      <c r="C22" s="48"/>
      <c r="D22" s="49"/>
      <c r="F22" s="45" t="s">
        <v>36</v>
      </c>
      <c r="G22" s="46"/>
      <c r="H22" s="47"/>
    </row>
    <row r="23" spans="1:8" ht="17" thickBot="1" x14ac:dyDescent="0.25">
      <c r="C23" s="50"/>
      <c r="D23" s="79"/>
      <c r="F23" s="50"/>
      <c r="G23" s="51"/>
      <c r="H23" s="79"/>
    </row>
    <row r="24" spans="1:8" ht="17" thickBot="1" x14ac:dyDescent="0.25"/>
    <row r="25" spans="1:8" ht="17" thickBot="1" x14ac:dyDescent="0.25">
      <c r="C25" s="56" t="s">
        <v>278</v>
      </c>
      <c r="D25" s="141"/>
      <c r="F25" s="56" t="s">
        <v>631</v>
      </c>
      <c r="G25" s="57"/>
      <c r="H25" s="141"/>
    </row>
    <row r="27" spans="1:8" x14ac:dyDescent="0.2">
      <c r="A27" s="149" t="s">
        <v>642</v>
      </c>
      <c r="B27" s="149"/>
      <c r="C27" s="149"/>
      <c r="D27" s="149"/>
      <c r="E27" s="149"/>
      <c r="F27" s="149"/>
      <c r="G27" s="149"/>
      <c r="H27" s="149"/>
    </row>
    <row r="28" spans="1:8" x14ac:dyDescent="0.2">
      <c r="A28" s="1" t="s">
        <v>634</v>
      </c>
    </row>
    <row r="29" spans="1:8" x14ac:dyDescent="0.2">
      <c r="A29" s="1" t="s">
        <v>635</v>
      </c>
    </row>
    <row r="30" spans="1:8" x14ac:dyDescent="0.2">
      <c r="A30" s="1" t="s">
        <v>636</v>
      </c>
    </row>
    <row r="31" spans="1:8" x14ac:dyDescent="0.2">
      <c r="A31" s="1" t="s">
        <v>637</v>
      </c>
    </row>
    <row r="32" spans="1:8" x14ac:dyDescent="0.2">
      <c r="A32" s="1" t="s">
        <v>714</v>
      </c>
    </row>
    <row r="33" spans="1:8" x14ac:dyDescent="0.2">
      <c r="A33" s="1" t="s">
        <v>638</v>
      </c>
    </row>
    <row r="34" spans="1:8" x14ac:dyDescent="0.2">
      <c r="A34" s="1" t="s">
        <v>639</v>
      </c>
    </row>
    <row r="35" spans="1:8" x14ac:dyDescent="0.2">
      <c r="A35" s="1" t="s">
        <v>640</v>
      </c>
    </row>
    <row r="36" spans="1:8" x14ac:dyDescent="0.2">
      <c r="A36" s="1" t="s">
        <v>641</v>
      </c>
    </row>
    <row r="38" spans="1:8" x14ac:dyDescent="0.2">
      <c r="A38" s="149" t="s">
        <v>643</v>
      </c>
      <c r="B38" s="149"/>
      <c r="C38" s="149"/>
      <c r="D38" s="149"/>
      <c r="E38" s="149"/>
      <c r="F38" s="149"/>
      <c r="G38" s="149"/>
      <c r="H38" s="149"/>
    </row>
    <row r="39" spans="1:8" x14ac:dyDescent="0.2">
      <c r="A39" s="1" t="s">
        <v>644</v>
      </c>
    </row>
    <row r="40" spans="1:8" x14ac:dyDescent="0.2">
      <c r="A40" s="1" t="s">
        <v>645</v>
      </c>
    </row>
    <row r="41" spans="1:8" x14ac:dyDescent="0.2">
      <c r="A41" s="1" t="s">
        <v>646</v>
      </c>
    </row>
    <row r="42" spans="1:8" x14ac:dyDescent="0.2">
      <c r="A42" s="1" t="s">
        <v>647</v>
      </c>
    </row>
    <row r="43" spans="1:8" x14ac:dyDescent="0.2">
      <c r="A43" s="1" t="s">
        <v>648</v>
      </c>
    </row>
    <row r="44" spans="1:8" x14ac:dyDescent="0.2">
      <c r="A44" s="1" t="s">
        <v>649</v>
      </c>
    </row>
    <row r="45" spans="1:8" x14ac:dyDescent="0.2">
      <c r="A45" s="1" t="s">
        <v>650</v>
      </c>
    </row>
    <row r="46" spans="1:8" x14ac:dyDescent="0.2">
      <c r="A46" s="1" t="s">
        <v>651</v>
      </c>
    </row>
    <row r="48" spans="1:8" x14ac:dyDescent="0.2">
      <c r="A48" s="149" t="s">
        <v>666</v>
      </c>
      <c r="B48" s="149"/>
      <c r="C48" s="149"/>
      <c r="D48" s="149"/>
      <c r="E48" s="149"/>
      <c r="F48" s="149"/>
      <c r="G48" s="149"/>
      <c r="H48" s="149"/>
    </row>
    <row r="49" spans="1:8" x14ac:dyDescent="0.2">
      <c r="B49" s="3" t="s">
        <v>658</v>
      </c>
    </row>
    <row r="50" spans="1:8" x14ac:dyDescent="0.2">
      <c r="C50" s="1" t="s">
        <v>659</v>
      </c>
    </row>
    <row r="51" spans="1:8" x14ac:dyDescent="0.2">
      <c r="B51" s="3" t="s">
        <v>663</v>
      </c>
    </row>
    <row r="52" spans="1:8" x14ac:dyDescent="0.2">
      <c r="C52" s="1" t="s">
        <v>660</v>
      </c>
    </row>
    <row r="53" spans="1:8" x14ac:dyDescent="0.2">
      <c r="C53" s="1" t="s">
        <v>661</v>
      </c>
    </row>
    <row r="54" spans="1:8" x14ac:dyDescent="0.2">
      <c r="B54" s="3" t="s">
        <v>662</v>
      </c>
    </row>
    <row r="55" spans="1:8" x14ac:dyDescent="0.2">
      <c r="C55" s="1" t="s">
        <v>664</v>
      </c>
    </row>
    <row r="56" spans="1:8" x14ac:dyDescent="0.2">
      <c r="C56" s="1" t="s">
        <v>665</v>
      </c>
    </row>
    <row r="58" spans="1:8" x14ac:dyDescent="0.2">
      <c r="A58" s="155" t="s">
        <v>655</v>
      </c>
      <c r="B58" s="150"/>
      <c r="C58" s="150"/>
      <c r="D58" s="150"/>
      <c r="E58" s="150"/>
      <c r="F58" s="150"/>
      <c r="G58" s="150"/>
      <c r="H58" s="150"/>
    </row>
    <row r="59" spans="1:8" x14ac:dyDescent="0.2">
      <c r="A59" s="1" t="s">
        <v>652</v>
      </c>
    </row>
    <row r="60" spans="1:8" x14ac:dyDescent="0.2">
      <c r="A60" s="1" t="s">
        <v>653</v>
      </c>
    </row>
    <row r="61" spans="1:8" x14ac:dyDescent="0.2">
      <c r="A61" s="1" t="s">
        <v>654</v>
      </c>
    </row>
    <row r="63" spans="1:8" x14ac:dyDescent="0.2">
      <c r="A63" s="1" t="s">
        <v>715</v>
      </c>
    </row>
    <row r="65" spans="1:8" x14ac:dyDescent="0.2">
      <c r="E65" s="152">
        <v>44196</v>
      </c>
    </row>
    <row r="66" spans="1:8" x14ac:dyDescent="0.2">
      <c r="A66" s="1" t="s">
        <v>716</v>
      </c>
      <c r="E66" s="72">
        <v>400000</v>
      </c>
    </row>
    <row r="67" spans="1:8" ht="17" thickBot="1" x14ac:dyDescent="0.25">
      <c r="A67" s="1" t="s">
        <v>718</v>
      </c>
      <c r="E67" s="72">
        <f>5%*400000</f>
        <v>20000</v>
      </c>
      <c r="G67" s="1" t="s">
        <v>717</v>
      </c>
    </row>
    <row r="68" spans="1:8" ht="17" thickBot="1" x14ac:dyDescent="0.25">
      <c r="A68" s="1" t="s">
        <v>719</v>
      </c>
      <c r="E68" s="154">
        <f>E66-E67</f>
        <v>380000</v>
      </c>
      <c r="G68" s="1" t="s">
        <v>720</v>
      </c>
    </row>
    <row r="70" spans="1:8" x14ac:dyDescent="0.2">
      <c r="A70" s="1" t="s">
        <v>721</v>
      </c>
    </row>
    <row r="71" spans="1:8" x14ac:dyDescent="0.2">
      <c r="A71" s="1" t="s">
        <v>722</v>
      </c>
    </row>
    <row r="72" spans="1:8" x14ac:dyDescent="0.2">
      <c r="A72" s="1" t="s">
        <v>723</v>
      </c>
    </row>
    <row r="74" spans="1:8" x14ac:dyDescent="0.2">
      <c r="A74" s="155" t="s">
        <v>656</v>
      </c>
      <c r="B74" s="150"/>
      <c r="C74" s="150"/>
      <c r="D74" s="150"/>
      <c r="E74" s="150"/>
      <c r="F74" s="150"/>
      <c r="G74" s="150"/>
      <c r="H74" s="150"/>
    </row>
    <row r="75" spans="1:8" x14ac:dyDescent="0.2">
      <c r="A75" s="1" t="s">
        <v>657</v>
      </c>
    </row>
    <row r="76" spans="1:8" x14ac:dyDescent="0.2">
      <c r="A76" s="1" t="s">
        <v>667</v>
      </c>
    </row>
    <row r="77" spans="1:8" x14ac:dyDescent="0.2">
      <c r="A77" s="1" t="s">
        <v>668</v>
      </c>
    </row>
    <row r="78" spans="1:8" x14ac:dyDescent="0.2">
      <c r="A78" s="1" t="s">
        <v>669</v>
      </c>
    </row>
    <row r="79" spans="1:8" x14ac:dyDescent="0.2">
      <c r="A79" s="1" t="s">
        <v>670</v>
      </c>
    </row>
    <row r="80" spans="1:8" x14ac:dyDescent="0.2">
      <c r="A80" s="1" t="s">
        <v>671</v>
      </c>
    </row>
    <row r="82" spans="1:8" x14ac:dyDescent="0.2">
      <c r="A82" s="6" t="s">
        <v>726</v>
      </c>
      <c r="B82" s="6"/>
      <c r="C82" s="6"/>
      <c r="D82" s="152">
        <v>44196</v>
      </c>
      <c r="E82" s="152">
        <v>44561</v>
      </c>
    </row>
    <row r="83" spans="1:8" x14ac:dyDescent="0.2">
      <c r="A83" s="1" t="s">
        <v>716</v>
      </c>
      <c r="D83" s="72">
        <v>1000000</v>
      </c>
      <c r="E83" s="72">
        <v>1800000</v>
      </c>
    </row>
    <row r="84" spans="1:8" x14ac:dyDescent="0.2">
      <c r="A84" s="1" t="s">
        <v>724</v>
      </c>
      <c r="D84" s="72">
        <f>5%*D83</f>
        <v>50000</v>
      </c>
      <c r="E84" s="72">
        <f>4%*1800000</f>
        <v>72000</v>
      </c>
    </row>
    <row r="85" spans="1:8" x14ac:dyDescent="0.2">
      <c r="A85" s="3" t="s">
        <v>725</v>
      </c>
      <c r="B85" s="3"/>
      <c r="C85" s="3"/>
      <c r="D85" s="159">
        <f>D83-D84</f>
        <v>950000</v>
      </c>
      <c r="E85" s="159">
        <f>E83-E84</f>
        <v>1728000</v>
      </c>
    </row>
    <row r="87" spans="1:8" x14ac:dyDescent="0.2">
      <c r="A87" s="6" t="s">
        <v>727</v>
      </c>
      <c r="B87" s="6"/>
      <c r="C87" s="6"/>
      <c r="D87" s="6" t="s">
        <v>729</v>
      </c>
    </row>
    <row r="88" spans="1:8" x14ac:dyDescent="0.2">
      <c r="A88" s="1" t="s">
        <v>728</v>
      </c>
      <c r="D88" s="72">
        <f>D84</f>
        <v>50000</v>
      </c>
    </row>
    <row r="89" spans="1:8" x14ac:dyDescent="0.2">
      <c r="A89" s="1" t="s">
        <v>734</v>
      </c>
      <c r="D89" s="158">
        <f>D90-D88</f>
        <v>22000</v>
      </c>
      <c r="E89" s="4" t="s">
        <v>731</v>
      </c>
    </row>
    <row r="90" spans="1:8" x14ac:dyDescent="0.2">
      <c r="A90" s="1" t="s">
        <v>730</v>
      </c>
      <c r="D90" s="156">
        <f>E84</f>
        <v>72000</v>
      </c>
    </row>
    <row r="92" spans="1:8" x14ac:dyDescent="0.2">
      <c r="A92" s="1" t="s">
        <v>732</v>
      </c>
    </row>
    <row r="93" spans="1:8" x14ac:dyDescent="0.2">
      <c r="A93" s="1" t="s">
        <v>733</v>
      </c>
    </row>
    <row r="95" spans="1:8" x14ac:dyDescent="0.2">
      <c r="A95" s="150" t="s">
        <v>672</v>
      </c>
      <c r="B95" s="150"/>
      <c r="C95" s="150"/>
      <c r="D95" s="150"/>
      <c r="E95" s="150"/>
      <c r="F95" s="150"/>
      <c r="G95" s="150"/>
      <c r="H95" s="150"/>
    </row>
    <row r="96" spans="1:8" x14ac:dyDescent="0.2">
      <c r="A96" s="1" t="s">
        <v>673</v>
      </c>
    </row>
    <row r="98" spans="1:7" x14ac:dyDescent="0.2">
      <c r="E98" s="152">
        <v>44561</v>
      </c>
      <c r="F98" s="152">
        <v>44926</v>
      </c>
      <c r="G98" s="152">
        <v>45291</v>
      </c>
    </row>
    <row r="99" spans="1:7" x14ac:dyDescent="0.2">
      <c r="C99" s="1" t="s">
        <v>674</v>
      </c>
      <c r="E99" s="72">
        <v>100000</v>
      </c>
      <c r="F99" s="72">
        <v>120000</v>
      </c>
      <c r="G99" s="72">
        <v>180000</v>
      </c>
    </row>
    <row r="101" spans="1:7" x14ac:dyDescent="0.2">
      <c r="A101" s="1" t="s">
        <v>675</v>
      </c>
    </row>
    <row r="102" spans="1:7" x14ac:dyDescent="0.2">
      <c r="A102" s="1" t="s">
        <v>676</v>
      </c>
    </row>
    <row r="104" spans="1:7" x14ac:dyDescent="0.2">
      <c r="A104" s="1" t="s">
        <v>670</v>
      </c>
    </row>
    <row r="105" spans="1:7" x14ac:dyDescent="0.2">
      <c r="A105" s="1" t="s">
        <v>677</v>
      </c>
    </row>
    <row r="107" spans="1:7" x14ac:dyDescent="0.2">
      <c r="A107" s="3" t="s">
        <v>715</v>
      </c>
    </row>
    <row r="108" spans="1:7" x14ac:dyDescent="0.2">
      <c r="A108" s="1" t="s">
        <v>735</v>
      </c>
    </row>
    <row r="109" spans="1:7" x14ac:dyDescent="0.2">
      <c r="A109" s="3"/>
    </row>
    <row r="110" spans="1:7" x14ac:dyDescent="0.2">
      <c r="B110" s="5" t="s">
        <v>725</v>
      </c>
      <c r="C110" s="5"/>
      <c r="D110" s="163">
        <v>44561</v>
      </c>
      <c r="E110" s="163">
        <v>44926</v>
      </c>
      <c r="F110" s="163">
        <v>45291</v>
      </c>
    </row>
    <row r="111" spans="1:7" x14ac:dyDescent="0.2">
      <c r="B111" s="1" t="s">
        <v>674</v>
      </c>
      <c r="D111" s="72">
        <v>100000</v>
      </c>
      <c r="E111" s="72">
        <v>120000</v>
      </c>
      <c r="F111" s="72">
        <v>180000</v>
      </c>
    </row>
    <row r="112" spans="1:7" ht="17" thickBot="1" x14ac:dyDescent="0.25">
      <c r="B112" s="1" t="s">
        <v>729</v>
      </c>
      <c r="D112" s="72">
        <f>5%*100000</f>
        <v>5000</v>
      </c>
      <c r="E112" s="72">
        <f>5%*120000</f>
        <v>6000</v>
      </c>
      <c r="F112" s="72">
        <f>8%*180000</f>
        <v>14400</v>
      </c>
    </row>
    <row r="113" spans="1:8" ht="17" thickBot="1" x14ac:dyDescent="0.25">
      <c r="B113" s="1" t="s">
        <v>725</v>
      </c>
      <c r="D113" s="160">
        <f>D111-D112</f>
        <v>95000</v>
      </c>
      <c r="E113" s="161">
        <f>E111-E112</f>
        <v>114000</v>
      </c>
      <c r="F113" s="162">
        <f>F111-F112</f>
        <v>165600</v>
      </c>
    </row>
    <row r="115" spans="1:8" x14ac:dyDescent="0.2">
      <c r="A115" s="1" t="s">
        <v>736</v>
      </c>
      <c r="D115" s="6" t="s">
        <v>729</v>
      </c>
    </row>
    <row r="116" spans="1:8" x14ac:dyDescent="0.2">
      <c r="B116" s="164">
        <v>44561</v>
      </c>
      <c r="C116" s="3"/>
      <c r="D116" s="165">
        <f>D112</f>
        <v>5000</v>
      </c>
    </row>
    <row r="117" spans="1:8" x14ac:dyDescent="0.2">
      <c r="B117" s="1" t="s">
        <v>738</v>
      </c>
      <c r="D117" s="158">
        <f>D118-D116</f>
        <v>1000</v>
      </c>
    </row>
    <row r="118" spans="1:8" x14ac:dyDescent="0.2">
      <c r="B118" s="164">
        <v>44926</v>
      </c>
      <c r="C118" s="3"/>
      <c r="D118" s="157">
        <f>E112</f>
        <v>6000</v>
      </c>
    </row>
    <row r="119" spans="1:8" x14ac:dyDescent="0.2">
      <c r="B119" s="1" t="s">
        <v>739</v>
      </c>
      <c r="D119" s="158">
        <f>D120-D118</f>
        <v>8400</v>
      </c>
    </row>
    <row r="120" spans="1:8" x14ac:dyDescent="0.2">
      <c r="B120" s="164">
        <v>45291</v>
      </c>
      <c r="C120" s="3"/>
      <c r="D120" s="157">
        <f>F112</f>
        <v>14400</v>
      </c>
    </row>
    <row r="122" spans="1:8" x14ac:dyDescent="0.2">
      <c r="A122" s="150" t="s">
        <v>690</v>
      </c>
      <c r="B122" s="150"/>
      <c r="C122" s="150"/>
      <c r="D122" s="150"/>
      <c r="E122" s="150"/>
      <c r="F122" s="150"/>
      <c r="G122" s="150"/>
      <c r="H122" s="150"/>
    </row>
    <row r="123" spans="1:8" x14ac:dyDescent="0.2">
      <c r="A123" s="1" t="s">
        <v>678</v>
      </c>
    </row>
    <row r="124" spans="1:8" x14ac:dyDescent="0.2">
      <c r="A124" s="1" t="s">
        <v>679</v>
      </c>
    </row>
    <row r="125" spans="1:8" x14ac:dyDescent="0.2">
      <c r="A125" s="1" t="s">
        <v>680</v>
      </c>
    </row>
    <row r="126" spans="1:8" x14ac:dyDescent="0.2">
      <c r="A126" s="1" t="s">
        <v>681</v>
      </c>
    </row>
    <row r="127" spans="1:8" x14ac:dyDescent="0.2">
      <c r="A127" s="1" t="s">
        <v>682</v>
      </c>
    </row>
    <row r="128" spans="1:8" x14ac:dyDescent="0.2">
      <c r="A128" s="1" t="s">
        <v>683</v>
      </c>
    </row>
    <row r="129" spans="1:10" x14ac:dyDescent="0.2">
      <c r="A129" s="1" t="s">
        <v>684</v>
      </c>
    </row>
    <row r="130" spans="1:10" x14ac:dyDescent="0.2">
      <c r="A130" s="1" t="s">
        <v>685</v>
      </c>
    </row>
    <row r="131" spans="1:10" x14ac:dyDescent="0.2">
      <c r="A131" s="1" t="s">
        <v>687</v>
      </c>
    </row>
    <row r="132" spans="1:10" x14ac:dyDescent="0.2">
      <c r="A132" s="1" t="s">
        <v>686</v>
      </c>
    </row>
    <row r="133" spans="1:10" hidden="1" x14ac:dyDescent="0.2">
      <c r="A133" s="1" t="s">
        <v>560</v>
      </c>
    </row>
    <row r="134" spans="1:10" hidden="1" x14ac:dyDescent="0.2">
      <c r="A134" s="1" t="s">
        <v>688</v>
      </c>
    </row>
    <row r="135" spans="1:10" hidden="1" x14ac:dyDescent="0.2">
      <c r="A135" s="1" t="s">
        <v>689</v>
      </c>
    </row>
    <row r="136" spans="1:10" hidden="1" x14ac:dyDescent="0.2"/>
    <row r="137" spans="1:10" x14ac:dyDescent="0.2">
      <c r="A137" s="1" t="s">
        <v>715</v>
      </c>
    </row>
    <row r="138" spans="1:10" x14ac:dyDescent="0.2">
      <c r="A138" s="1" t="s">
        <v>740</v>
      </c>
    </row>
    <row r="139" spans="1:10" x14ac:dyDescent="0.2">
      <c r="A139" s="1" t="s">
        <v>741</v>
      </c>
    </row>
    <row r="141" spans="1:10" x14ac:dyDescent="0.2">
      <c r="A141" s="6" t="s">
        <v>743</v>
      </c>
      <c r="B141" s="6" t="s">
        <v>744</v>
      </c>
      <c r="C141" s="6"/>
      <c r="D141" s="17" t="s">
        <v>742</v>
      </c>
      <c r="E141" s="17"/>
      <c r="F141" s="17" t="s">
        <v>729</v>
      </c>
    </row>
    <row r="142" spans="1:10" x14ac:dyDescent="0.2">
      <c r="A142" s="151">
        <v>43831</v>
      </c>
      <c r="B142" s="1" t="s">
        <v>745</v>
      </c>
      <c r="D142" s="4">
        <v>0</v>
      </c>
      <c r="E142" s="4"/>
      <c r="F142" s="4">
        <v>0</v>
      </c>
    </row>
    <row r="143" spans="1:10" x14ac:dyDescent="0.2">
      <c r="A143" s="1">
        <v>2020</v>
      </c>
      <c r="B143" s="1" t="s">
        <v>746</v>
      </c>
      <c r="D143" s="18">
        <v>100000</v>
      </c>
      <c r="E143" s="4"/>
      <c r="F143" s="4"/>
      <c r="J143" s="3" t="s">
        <v>754</v>
      </c>
    </row>
    <row r="144" spans="1:10" x14ac:dyDescent="0.2">
      <c r="A144" s="1">
        <v>2020</v>
      </c>
      <c r="B144" s="1" t="s">
        <v>737</v>
      </c>
      <c r="D144" s="4"/>
      <c r="E144" s="4"/>
      <c r="F144" s="19">
        <f>F145-F142</f>
        <v>2000</v>
      </c>
      <c r="J144" s="3" t="s">
        <v>753</v>
      </c>
    </row>
    <row r="145" spans="1:8" x14ac:dyDescent="0.2">
      <c r="A145" s="151">
        <v>44196</v>
      </c>
      <c r="B145" s="1" t="s">
        <v>747</v>
      </c>
      <c r="D145" s="71">
        <f>D142+D143</f>
        <v>100000</v>
      </c>
      <c r="E145" s="71"/>
      <c r="F145" s="71">
        <f>100000*2%</f>
        <v>2000</v>
      </c>
      <c r="H145" s="1" t="s">
        <v>748</v>
      </c>
    </row>
    <row r="146" spans="1:8" x14ac:dyDescent="0.2">
      <c r="A146" s="1">
        <v>2021</v>
      </c>
      <c r="B146" s="1" t="s">
        <v>746</v>
      </c>
      <c r="D146" s="18">
        <v>300000</v>
      </c>
      <c r="E146" s="4"/>
      <c r="F146" s="4"/>
    </row>
    <row r="147" spans="1:8" x14ac:dyDescent="0.2">
      <c r="A147" s="1">
        <v>2021</v>
      </c>
      <c r="B147" s="1" t="s">
        <v>749</v>
      </c>
      <c r="D147" s="19">
        <v>-230000</v>
      </c>
    </row>
    <row r="148" spans="1:8" x14ac:dyDescent="0.2">
      <c r="A148" s="1">
        <v>2021</v>
      </c>
      <c r="B148" s="1" t="s">
        <v>737</v>
      </c>
      <c r="F148" s="19">
        <f>F149-F145</f>
        <v>3100</v>
      </c>
    </row>
    <row r="149" spans="1:8" x14ac:dyDescent="0.2">
      <c r="A149" s="151">
        <v>44561</v>
      </c>
      <c r="B149" s="1" t="s">
        <v>747</v>
      </c>
      <c r="D149" s="71">
        <f>SUM(D145:D148)</f>
        <v>170000</v>
      </c>
      <c r="E149" s="71"/>
      <c r="F149" s="71">
        <f>3%*D149</f>
        <v>5100</v>
      </c>
    </row>
    <row r="150" spans="1:8" x14ac:dyDescent="0.2">
      <c r="A150" s="1">
        <v>2022</v>
      </c>
      <c r="B150" s="1" t="s">
        <v>746</v>
      </c>
      <c r="D150" s="18">
        <v>600000</v>
      </c>
    </row>
    <row r="151" spans="1:8" x14ac:dyDescent="0.2">
      <c r="A151" s="1">
        <v>2022</v>
      </c>
      <c r="B151" s="1" t="s">
        <v>749</v>
      </c>
      <c r="D151" s="19">
        <v>-620000</v>
      </c>
    </row>
    <row r="152" spans="1:8" x14ac:dyDescent="0.2">
      <c r="A152" s="1">
        <v>2022</v>
      </c>
      <c r="B152" s="1" t="s">
        <v>750</v>
      </c>
      <c r="D152" s="19">
        <v>-20000</v>
      </c>
    </row>
    <row r="153" spans="1:8" x14ac:dyDescent="0.2">
      <c r="A153" s="1">
        <v>2022</v>
      </c>
      <c r="B153" s="1" t="s">
        <v>737</v>
      </c>
      <c r="F153" s="19">
        <f>F154-F149</f>
        <v>100</v>
      </c>
    </row>
    <row r="154" spans="1:8" x14ac:dyDescent="0.2">
      <c r="A154" s="151">
        <v>44926</v>
      </c>
      <c r="B154" s="1" t="s">
        <v>747</v>
      </c>
      <c r="D154" s="71">
        <f>SUM(D149:D153)</f>
        <v>130000</v>
      </c>
      <c r="E154" s="71"/>
      <c r="F154" s="71">
        <f>D154*4%</f>
        <v>5200</v>
      </c>
    </row>
    <row r="156" spans="1:8" x14ac:dyDescent="0.2">
      <c r="A156" s="1" t="s">
        <v>751</v>
      </c>
    </row>
    <row r="157" spans="1:8" x14ac:dyDescent="0.2">
      <c r="D157" s="166">
        <v>44196</v>
      </c>
      <c r="E157" s="166">
        <v>44561</v>
      </c>
      <c r="F157" s="166">
        <v>44926</v>
      </c>
    </row>
    <row r="158" spans="1:8" x14ac:dyDescent="0.2">
      <c r="B158" s="1" t="s">
        <v>674</v>
      </c>
      <c r="D158" s="19">
        <f>D145</f>
        <v>100000</v>
      </c>
      <c r="E158" s="19">
        <f>D149</f>
        <v>170000</v>
      </c>
      <c r="F158" s="19">
        <f>D154</f>
        <v>130000</v>
      </c>
    </row>
    <row r="159" spans="1:8" x14ac:dyDescent="0.2">
      <c r="B159" s="1" t="s">
        <v>729</v>
      </c>
      <c r="D159" s="19">
        <f>F145</f>
        <v>2000</v>
      </c>
      <c r="E159" s="19">
        <f>F149</f>
        <v>5100</v>
      </c>
      <c r="F159" s="19">
        <f>F154</f>
        <v>5200</v>
      </c>
    </row>
    <row r="160" spans="1:8" x14ac:dyDescent="0.2">
      <c r="B160" s="1" t="s">
        <v>752</v>
      </c>
      <c r="D160" s="71">
        <f>D158-D159</f>
        <v>98000</v>
      </c>
      <c r="E160" s="71">
        <f>E158-E159</f>
        <v>164900</v>
      </c>
      <c r="F160" s="71">
        <f>F158-F159</f>
        <v>124800</v>
      </c>
    </row>
    <row r="162" spans="1:9" x14ac:dyDescent="0.2">
      <c r="A162" s="150" t="s">
        <v>691</v>
      </c>
      <c r="B162" s="150"/>
      <c r="C162" s="150"/>
      <c r="D162" s="150"/>
      <c r="E162" s="150"/>
      <c r="F162" s="150"/>
      <c r="G162" s="150"/>
      <c r="H162" s="150"/>
    </row>
    <row r="163" spans="1:9" x14ac:dyDescent="0.2">
      <c r="A163" s="1" t="s">
        <v>692</v>
      </c>
    </row>
    <row r="164" spans="1:9" x14ac:dyDescent="0.2">
      <c r="A164" s="1" t="s">
        <v>693</v>
      </c>
    </row>
    <row r="165" spans="1:9" x14ac:dyDescent="0.2">
      <c r="A165" s="1" t="s">
        <v>694</v>
      </c>
    </row>
    <row r="166" spans="1:9" x14ac:dyDescent="0.2">
      <c r="A166" s="1" t="s">
        <v>755</v>
      </c>
    </row>
    <row r="167" spans="1:9" x14ac:dyDescent="0.2">
      <c r="A167" s="1" t="s">
        <v>695</v>
      </c>
    </row>
    <row r="168" spans="1:9" x14ac:dyDescent="0.2">
      <c r="A168" s="1" t="s">
        <v>756</v>
      </c>
    </row>
    <row r="169" spans="1:9" x14ac:dyDescent="0.2">
      <c r="A169" s="1" t="s">
        <v>560</v>
      </c>
    </row>
    <row r="170" spans="1:9" x14ac:dyDescent="0.2">
      <c r="A170" s="1" t="s">
        <v>688</v>
      </c>
    </row>
    <row r="171" spans="1:9" x14ac:dyDescent="0.2">
      <c r="A171" s="1" t="s">
        <v>689</v>
      </c>
    </row>
    <row r="173" spans="1:9" x14ac:dyDescent="0.2">
      <c r="A173" s="1" t="s">
        <v>715</v>
      </c>
    </row>
    <row r="175" spans="1:9" x14ac:dyDescent="0.2">
      <c r="D175" s="6" t="s">
        <v>76</v>
      </c>
      <c r="E175" s="6" t="s">
        <v>729</v>
      </c>
      <c r="G175" s="6" t="s">
        <v>725</v>
      </c>
      <c r="H175" s="152">
        <v>44926</v>
      </c>
      <c r="I175" s="152">
        <v>45291</v>
      </c>
    </row>
    <row r="176" spans="1:9" x14ac:dyDescent="0.2">
      <c r="A176" s="151">
        <v>44562</v>
      </c>
      <c r="B176" s="1" t="s">
        <v>745</v>
      </c>
      <c r="D176" s="30">
        <v>0</v>
      </c>
      <c r="E176" s="30">
        <v>0</v>
      </c>
      <c r="G176" s="1" t="s">
        <v>674</v>
      </c>
      <c r="H176" s="30">
        <f>D179</f>
        <v>150000</v>
      </c>
      <c r="I176" s="30">
        <f>D183</f>
        <v>190000</v>
      </c>
    </row>
    <row r="177" spans="1:9" x14ac:dyDescent="0.2">
      <c r="A177" s="1">
        <v>2022</v>
      </c>
      <c r="B177" s="1" t="s">
        <v>746</v>
      </c>
      <c r="D177" s="30">
        <f>800000-650000</f>
        <v>150000</v>
      </c>
      <c r="E177" s="30"/>
      <c r="G177" s="1" t="s">
        <v>729</v>
      </c>
      <c r="H177" s="30">
        <f>-E179</f>
        <v>-7500</v>
      </c>
      <c r="I177" s="30">
        <f>-E183</f>
        <v>-13300.000000000002</v>
      </c>
    </row>
    <row r="178" spans="1:9" x14ac:dyDescent="0.2">
      <c r="A178" s="1">
        <v>2022</v>
      </c>
      <c r="B178" s="1" t="s">
        <v>737</v>
      </c>
      <c r="D178" s="30"/>
      <c r="E178" s="30">
        <f>E179-E176</f>
        <v>7500</v>
      </c>
      <c r="G178" s="1" t="s">
        <v>725</v>
      </c>
      <c r="H178" s="61">
        <f>H176+H177</f>
        <v>142500</v>
      </c>
      <c r="I178" s="61">
        <f>I176+I177</f>
        <v>176700</v>
      </c>
    </row>
    <row r="179" spans="1:9" x14ac:dyDescent="0.2">
      <c r="A179" s="151">
        <v>44926</v>
      </c>
      <c r="B179" s="1" t="s">
        <v>757</v>
      </c>
      <c r="D179" s="61">
        <f>D176+D177+D178</f>
        <v>150000</v>
      </c>
      <c r="E179" s="61">
        <f>D179*5%</f>
        <v>7500</v>
      </c>
    </row>
    <row r="180" spans="1:9" x14ac:dyDescent="0.2">
      <c r="A180" s="1">
        <v>2023</v>
      </c>
      <c r="B180" s="1" t="s">
        <v>746</v>
      </c>
      <c r="D180" s="30">
        <v>440000</v>
      </c>
      <c r="E180" s="30"/>
    </row>
    <row r="181" spans="1:9" x14ac:dyDescent="0.2">
      <c r="A181" s="1">
        <v>2023</v>
      </c>
      <c r="B181" s="1" t="s">
        <v>749</v>
      </c>
      <c r="D181" s="30">
        <v>-400000</v>
      </c>
      <c r="E181" s="30"/>
    </row>
    <row r="182" spans="1:9" x14ac:dyDescent="0.2">
      <c r="A182" s="1">
        <v>2023</v>
      </c>
      <c r="B182" s="1" t="s">
        <v>737</v>
      </c>
      <c r="D182" s="30"/>
      <c r="E182" s="30">
        <f>E183-E179</f>
        <v>5800.0000000000018</v>
      </c>
    </row>
    <row r="183" spans="1:9" x14ac:dyDescent="0.2">
      <c r="A183" s="151">
        <v>45291</v>
      </c>
      <c r="B183" s="1" t="s">
        <v>757</v>
      </c>
      <c r="D183" s="61">
        <f>SUM(D179:D182)</f>
        <v>190000</v>
      </c>
      <c r="E183" s="61">
        <f>D183*7%</f>
        <v>13300.000000000002</v>
      </c>
    </row>
    <row r="185" spans="1:9" x14ac:dyDescent="0.2">
      <c r="A185" s="150" t="s">
        <v>696</v>
      </c>
      <c r="B185" s="150"/>
      <c r="C185" s="150"/>
      <c r="D185" s="150"/>
      <c r="E185" s="150"/>
      <c r="F185" s="150"/>
      <c r="G185" s="150"/>
      <c r="H185" s="150"/>
    </row>
    <row r="186" spans="1:9" x14ac:dyDescent="0.2">
      <c r="A186" s="1" t="s">
        <v>697</v>
      </c>
    </row>
    <row r="187" spans="1:9" x14ac:dyDescent="0.2">
      <c r="A187" s="1" t="s">
        <v>698</v>
      </c>
    </row>
    <row r="188" spans="1:9" x14ac:dyDescent="0.2">
      <c r="A188" s="1" t="s">
        <v>680</v>
      </c>
    </row>
    <row r="189" spans="1:9" x14ac:dyDescent="0.2">
      <c r="A189" s="1" t="s">
        <v>699</v>
      </c>
    </row>
    <row r="190" spans="1:9" x14ac:dyDescent="0.2">
      <c r="A190" s="1" t="s">
        <v>700</v>
      </c>
    </row>
    <row r="191" spans="1:9" x14ac:dyDescent="0.2">
      <c r="A191" s="1" t="s">
        <v>683</v>
      </c>
    </row>
    <row r="192" spans="1:9" x14ac:dyDescent="0.2">
      <c r="A192" s="1" t="s">
        <v>701</v>
      </c>
    </row>
    <row r="193" spans="1:6" x14ac:dyDescent="0.2">
      <c r="A193" s="1" t="s">
        <v>702</v>
      </c>
    </row>
    <row r="194" spans="1:6" x14ac:dyDescent="0.2">
      <c r="A194" s="1" t="s">
        <v>703</v>
      </c>
    </row>
    <row r="195" spans="1:6" x14ac:dyDescent="0.2">
      <c r="A195" s="1" t="s">
        <v>704</v>
      </c>
    </row>
    <row r="196" spans="1:6" x14ac:dyDescent="0.2">
      <c r="A196" s="1" t="s">
        <v>686</v>
      </c>
    </row>
    <row r="197" spans="1:6" x14ac:dyDescent="0.2">
      <c r="A197" s="1" t="s">
        <v>560</v>
      </c>
    </row>
    <row r="198" spans="1:6" x14ac:dyDescent="0.2">
      <c r="A198" s="1" t="s">
        <v>688</v>
      </c>
    </row>
    <row r="199" spans="1:6" x14ac:dyDescent="0.2">
      <c r="A199" s="1" t="s">
        <v>689</v>
      </c>
    </row>
    <row r="201" spans="1:6" x14ac:dyDescent="0.2">
      <c r="A201" s="6" t="s">
        <v>743</v>
      </c>
      <c r="B201" s="6" t="s">
        <v>744</v>
      </c>
      <c r="C201" s="6"/>
      <c r="D201" s="17" t="s">
        <v>742</v>
      </c>
      <c r="E201" s="17"/>
      <c r="F201" s="17" t="s">
        <v>729</v>
      </c>
    </row>
    <row r="202" spans="1:6" x14ac:dyDescent="0.2">
      <c r="A202" s="151">
        <v>43831</v>
      </c>
      <c r="B202" s="1" t="s">
        <v>745</v>
      </c>
      <c r="D202" s="4">
        <v>0</v>
      </c>
      <c r="E202" s="4"/>
      <c r="F202" s="4">
        <v>0</v>
      </c>
    </row>
    <row r="203" spans="1:6" x14ac:dyDescent="0.2">
      <c r="A203" s="1">
        <v>2020</v>
      </c>
      <c r="B203" s="1" t="s">
        <v>746</v>
      </c>
      <c r="D203" s="18">
        <f>660000-340000</f>
        <v>320000</v>
      </c>
      <c r="E203" s="4"/>
      <c r="F203" s="4"/>
    </row>
    <row r="204" spans="1:6" x14ac:dyDescent="0.2">
      <c r="A204" s="1">
        <v>2020</v>
      </c>
      <c r="B204" s="1" t="s">
        <v>737</v>
      </c>
      <c r="D204" s="4"/>
      <c r="E204" s="4"/>
      <c r="F204" s="19">
        <f>F205-F202</f>
        <v>6400</v>
      </c>
    </row>
    <row r="205" spans="1:6" x14ac:dyDescent="0.2">
      <c r="A205" s="151">
        <v>44196</v>
      </c>
      <c r="B205" s="1" t="s">
        <v>198</v>
      </c>
      <c r="D205" s="71">
        <f>D202+D203</f>
        <v>320000</v>
      </c>
      <c r="E205" s="71"/>
      <c r="F205" s="71">
        <f>D205*2%</f>
        <v>6400</v>
      </c>
    </row>
    <row r="206" spans="1:6" x14ac:dyDescent="0.2">
      <c r="A206" s="1">
        <v>2021</v>
      </c>
      <c r="B206" s="1" t="s">
        <v>746</v>
      </c>
      <c r="D206" s="18">
        <v>200000</v>
      </c>
      <c r="E206" s="4"/>
      <c r="F206" s="4"/>
    </row>
    <row r="207" spans="1:6" x14ac:dyDescent="0.2">
      <c r="A207" s="1">
        <v>2021</v>
      </c>
      <c r="B207" s="1" t="s">
        <v>749</v>
      </c>
      <c r="D207" s="19">
        <v>-220000</v>
      </c>
    </row>
    <row r="208" spans="1:6" x14ac:dyDescent="0.2">
      <c r="A208" s="1">
        <v>2021</v>
      </c>
      <c r="B208" s="1" t="s">
        <v>737</v>
      </c>
      <c r="F208" s="19">
        <f>F209-F205</f>
        <v>2600</v>
      </c>
    </row>
    <row r="209" spans="1:7" x14ac:dyDescent="0.2">
      <c r="A209" s="151">
        <v>44561</v>
      </c>
      <c r="B209" s="1" t="s">
        <v>198</v>
      </c>
      <c r="D209" s="71">
        <f>SUM(D205:D208)</f>
        <v>300000</v>
      </c>
      <c r="E209" s="71"/>
      <c r="F209" s="71">
        <f>D209*3%</f>
        <v>9000</v>
      </c>
    </row>
    <row r="210" spans="1:7" x14ac:dyDescent="0.2">
      <c r="A210" s="1">
        <v>2022</v>
      </c>
      <c r="B210" s="1" t="s">
        <v>746</v>
      </c>
      <c r="D210" s="18">
        <v>800000</v>
      </c>
    </row>
    <row r="211" spans="1:7" x14ac:dyDescent="0.2">
      <c r="A211" s="1">
        <v>2022</v>
      </c>
      <c r="B211" s="1" t="s">
        <v>749</v>
      </c>
      <c r="D211" s="19">
        <v>-440000</v>
      </c>
    </row>
    <row r="212" spans="1:7" x14ac:dyDescent="0.2">
      <c r="A212" s="1">
        <v>2022</v>
      </c>
      <c r="B212" s="1" t="s">
        <v>758</v>
      </c>
      <c r="D212" s="19">
        <v>-90000</v>
      </c>
    </row>
    <row r="213" spans="1:7" x14ac:dyDescent="0.2">
      <c r="A213" s="1">
        <v>2022</v>
      </c>
      <c r="B213" s="1" t="s">
        <v>759</v>
      </c>
      <c r="D213" s="19">
        <v>-18000</v>
      </c>
      <c r="F213" s="19">
        <f>D213</f>
        <v>-18000</v>
      </c>
    </row>
    <row r="214" spans="1:7" x14ac:dyDescent="0.2">
      <c r="A214" s="1">
        <v>2022</v>
      </c>
      <c r="B214" s="1" t="s">
        <v>737</v>
      </c>
      <c r="F214" s="75">
        <f>F215-F213-F209</f>
        <v>31080</v>
      </c>
      <c r="G214" s="4" t="s">
        <v>731</v>
      </c>
    </row>
    <row r="215" spans="1:7" x14ac:dyDescent="0.2">
      <c r="A215" s="151">
        <v>44926</v>
      </c>
      <c r="B215" s="1" t="s">
        <v>198</v>
      </c>
      <c r="D215" s="71">
        <f>SUM(D209:D214)</f>
        <v>552000</v>
      </c>
      <c r="E215" s="71"/>
      <c r="F215" s="71">
        <f>D215*4%</f>
        <v>22080</v>
      </c>
    </row>
    <row r="216" spans="1:7" s="38" customFormat="1" x14ac:dyDescent="0.2"/>
    <row r="217" spans="1:7" s="38" customFormat="1" x14ac:dyDescent="0.2"/>
    <row r="218" spans="1:7" s="38" customFormat="1" x14ac:dyDescent="0.2"/>
    <row r="219" spans="1:7" s="38" customFormat="1" x14ac:dyDescent="0.2"/>
    <row r="220" spans="1:7" s="38" customFormat="1" x14ac:dyDescent="0.2"/>
    <row r="221" spans="1:7" s="38" customFormat="1" x14ac:dyDescent="0.2"/>
    <row r="222" spans="1:7" s="38" customFormat="1" x14ac:dyDescent="0.2"/>
    <row r="223" spans="1:7" s="38" customFormat="1" x14ac:dyDescent="0.2"/>
    <row r="224" spans="1:7"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380" s="38" customFormat="1" x14ac:dyDescent="0.2"/>
    <row r="381" s="38" customFormat="1" x14ac:dyDescent="0.2"/>
    <row r="382" s="38" customFormat="1" x14ac:dyDescent="0.2"/>
    <row r="383" s="38" customFormat="1" x14ac:dyDescent="0.2"/>
    <row r="384" s="38" customFormat="1" x14ac:dyDescent="0.2"/>
    <row r="385" s="38" customFormat="1" x14ac:dyDescent="0.2"/>
    <row r="386" s="38" customFormat="1" x14ac:dyDescent="0.2"/>
    <row r="387" s="38" customFormat="1" x14ac:dyDescent="0.2"/>
    <row r="388" s="38" customFormat="1" x14ac:dyDescent="0.2"/>
    <row r="389" s="38" customFormat="1" x14ac:dyDescent="0.2"/>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9287-B4CD-1C47-AF54-AAB8B95F5933}">
  <dimension ref="A1:AA243"/>
  <sheetViews>
    <sheetView rightToLeft="1" topLeftCell="A178" zoomScale="250" workbookViewId="0">
      <selection activeCell="E142" sqref="E142"/>
    </sheetView>
  </sheetViews>
  <sheetFormatPr baseColWidth="10" defaultRowHeight="16" x14ac:dyDescent="0.2"/>
  <cols>
    <col min="1" max="16384" width="10.83203125" style="1"/>
  </cols>
  <sheetData>
    <row r="1" spans="1:11" x14ac:dyDescent="0.2">
      <c r="A1" s="2" t="s">
        <v>618</v>
      </c>
      <c r="B1" s="94"/>
      <c r="C1" s="94"/>
      <c r="D1" s="94"/>
      <c r="E1" s="94"/>
      <c r="F1" s="94"/>
      <c r="G1" s="94"/>
      <c r="H1" s="94"/>
      <c r="I1" s="94"/>
    </row>
    <row r="3" spans="1:11" x14ac:dyDescent="0.2">
      <c r="A3" s="139" t="s">
        <v>619</v>
      </c>
      <c r="B3" s="139"/>
      <c r="C3" s="136"/>
      <c r="D3" s="188" t="s">
        <v>833</v>
      </c>
      <c r="E3" s="136"/>
      <c r="F3" s="136"/>
      <c r="G3" s="136"/>
      <c r="H3" s="136"/>
      <c r="I3" s="136"/>
      <c r="J3" s="136"/>
      <c r="K3" s="136"/>
    </row>
    <row r="4" spans="1:11" x14ac:dyDescent="0.2">
      <c r="A4" s="139"/>
      <c r="B4" s="139"/>
      <c r="C4" s="136"/>
      <c r="D4" s="136"/>
      <c r="E4" s="136"/>
      <c r="F4" s="136"/>
      <c r="G4" s="136"/>
      <c r="H4" s="136"/>
      <c r="I4" s="136"/>
      <c r="J4" s="136"/>
      <c r="K4" s="136"/>
    </row>
    <row r="5" spans="1:11" x14ac:dyDescent="0.2">
      <c r="A5" s="140" t="s">
        <v>832</v>
      </c>
      <c r="B5" s="139"/>
      <c r="C5" s="136"/>
      <c r="D5" s="136"/>
      <c r="E5" s="136"/>
      <c r="F5" s="136"/>
      <c r="G5" s="136"/>
      <c r="H5" s="136"/>
      <c r="I5" s="136"/>
      <c r="J5" s="136"/>
      <c r="K5" s="136"/>
    </row>
    <row r="6" spans="1:11" x14ac:dyDescent="0.2">
      <c r="A6" s="140" t="s">
        <v>620</v>
      </c>
      <c r="B6" s="139"/>
      <c r="C6" s="136"/>
      <c r="D6" s="136"/>
      <c r="E6" s="136"/>
      <c r="F6" s="136"/>
      <c r="G6" s="136"/>
      <c r="H6" s="136"/>
      <c r="I6" s="136"/>
      <c r="J6" s="136"/>
      <c r="K6" s="136"/>
    </row>
    <row r="7" spans="1:11" x14ac:dyDescent="0.2">
      <c r="A7" s="139"/>
      <c r="B7" s="139"/>
      <c r="C7" s="139"/>
      <c r="D7" s="139"/>
      <c r="E7" s="139"/>
      <c r="F7" s="139"/>
      <c r="G7" s="139"/>
      <c r="H7" s="139"/>
      <c r="I7" s="139"/>
      <c r="J7" s="136"/>
      <c r="K7" s="136"/>
    </row>
    <row r="8" spans="1:11" x14ac:dyDescent="0.2">
      <c r="A8" s="137" t="s">
        <v>260</v>
      </c>
      <c r="B8" s="59" t="s">
        <v>621</v>
      </c>
      <c r="C8" s="59"/>
      <c r="D8" s="59"/>
      <c r="E8" s="59"/>
      <c r="F8" s="59"/>
      <c r="G8" s="136"/>
      <c r="H8" s="136"/>
      <c r="I8" s="136"/>
      <c r="J8" s="136"/>
      <c r="K8" s="136"/>
    </row>
    <row r="9" spans="1:11" x14ac:dyDescent="0.2">
      <c r="A9" s="137" t="s">
        <v>163</v>
      </c>
      <c r="B9" s="59" t="s">
        <v>593</v>
      </c>
      <c r="C9" s="59"/>
      <c r="D9" s="59"/>
      <c r="E9" s="136"/>
      <c r="F9" s="136"/>
      <c r="G9" s="136"/>
      <c r="H9" s="136"/>
      <c r="I9" s="136"/>
      <c r="J9" s="136"/>
      <c r="K9" s="136"/>
    </row>
    <row r="10" spans="1:11" x14ac:dyDescent="0.2">
      <c r="A10" s="137" t="s">
        <v>594</v>
      </c>
      <c r="B10" s="59" t="s">
        <v>595</v>
      </c>
      <c r="C10" s="59"/>
      <c r="D10" s="59"/>
      <c r="E10" s="59"/>
      <c r="F10" s="59"/>
      <c r="G10" s="59"/>
      <c r="H10" s="136"/>
      <c r="I10" s="136"/>
      <c r="J10" s="136"/>
      <c r="K10" s="136"/>
    </row>
    <row r="11" spans="1:11" x14ac:dyDescent="0.2">
      <c r="A11" s="138"/>
      <c r="B11" s="59" t="s">
        <v>596</v>
      </c>
      <c r="C11" s="59"/>
      <c r="D11" s="59"/>
      <c r="E11" s="136"/>
      <c r="F11" s="136"/>
      <c r="G11" s="136"/>
      <c r="H11" s="136"/>
      <c r="I11" s="136"/>
      <c r="J11" s="136"/>
      <c r="K11" s="136"/>
    </row>
    <row r="12" spans="1:11" x14ac:dyDescent="0.2">
      <c r="A12" s="137" t="s">
        <v>181</v>
      </c>
      <c r="B12" s="59" t="s">
        <v>597</v>
      </c>
      <c r="C12" s="59"/>
      <c r="D12" s="59"/>
      <c r="E12" s="59"/>
      <c r="F12" s="59"/>
      <c r="G12" s="59"/>
      <c r="H12" s="136"/>
      <c r="I12" s="136"/>
      <c r="J12" s="136"/>
      <c r="K12" s="136"/>
    </row>
    <row r="13" spans="1:11" x14ac:dyDescent="0.2">
      <c r="A13" s="137" t="s">
        <v>173</v>
      </c>
      <c r="B13" s="59" t="s">
        <v>598</v>
      </c>
      <c r="C13" s="59"/>
      <c r="D13" s="59"/>
      <c r="E13" s="59"/>
      <c r="F13" s="59"/>
      <c r="G13" s="136"/>
      <c r="H13" s="136"/>
      <c r="I13" s="136"/>
      <c r="J13" s="136"/>
      <c r="K13" s="136"/>
    </row>
    <row r="14" spans="1:11" x14ac:dyDescent="0.2">
      <c r="A14" s="136"/>
      <c r="B14" s="59" t="s">
        <v>599</v>
      </c>
      <c r="C14" s="59"/>
      <c r="D14" s="59"/>
      <c r="E14" s="136"/>
      <c r="F14" s="136"/>
      <c r="G14" s="136"/>
      <c r="H14" s="136"/>
      <c r="I14" s="136"/>
      <c r="J14" s="136"/>
      <c r="K14" s="136"/>
    </row>
    <row r="15" spans="1:11" x14ac:dyDescent="0.2">
      <c r="A15" s="137" t="s">
        <v>600</v>
      </c>
      <c r="B15" s="59" t="s">
        <v>601</v>
      </c>
      <c r="C15" s="59"/>
      <c r="D15" s="59"/>
      <c r="E15" s="59"/>
      <c r="F15" s="59"/>
      <c r="G15" s="59"/>
      <c r="H15" s="136"/>
      <c r="I15" s="136"/>
      <c r="J15" s="136"/>
      <c r="K15" s="136"/>
    </row>
    <row r="16" spans="1:11" x14ac:dyDescent="0.2">
      <c r="A16" s="137" t="s">
        <v>602</v>
      </c>
      <c r="B16" s="59" t="s">
        <v>603</v>
      </c>
      <c r="C16" s="59"/>
      <c r="D16" s="59"/>
      <c r="E16" s="59"/>
      <c r="F16" s="136"/>
      <c r="G16" s="136"/>
      <c r="H16" s="136"/>
      <c r="I16" s="136"/>
      <c r="J16" s="136"/>
      <c r="K16" s="136"/>
    </row>
    <row r="17" spans="1:15" x14ac:dyDescent="0.2">
      <c r="A17" s="137" t="s">
        <v>604</v>
      </c>
      <c r="B17" s="59" t="s">
        <v>605</v>
      </c>
      <c r="C17" s="59"/>
      <c r="D17" s="59"/>
      <c r="E17" s="59"/>
      <c r="F17" s="59"/>
      <c r="G17" s="59"/>
      <c r="H17" s="136"/>
      <c r="I17" s="136"/>
      <c r="J17" s="136"/>
      <c r="K17" s="136"/>
    </row>
    <row r="18" spans="1:15" x14ac:dyDescent="0.2">
      <c r="A18" s="136"/>
      <c r="B18" s="59" t="s">
        <v>606</v>
      </c>
      <c r="C18" s="59"/>
      <c r="D18" s="59"/>
      <c r="E18" s="136"/>
      <c r="F18" s="136"/>
      <c r="G18" s="136"/>
      <c r="H18" s="136"/>
      <c r="I18" s="136"/>
      <c r="J18" s="136"/>
      <c r="K18" s="136"/>
    </row>
    <row r="19" spans="1:15" x14ac:dyDescent="0.2">
      <c r="A19" s="137" t="s">
        <v>607</v>
      </c>
      <c r="B19" s="59" t="s">
        <v>608</v>
      </c>
      <c r="C19" s="59"/>
      <c r="D19" s="59"/>
      <c r="E19" s="59"/>
      <c r="F19" s="59"/>
      <c r="G19" s="59"/>
      <c r="H19" s="136"/>
      <c r="I19" s="136"/>
      <c r="J19" s="136"/>
      <c r="K19" s="136"/>
    </row>
    <row r="20" spans="1:15" x14ac:dyDescent="0.2">
      <c r="A20" s="136"/>
      <c r="B20" s="59" t="s">
        <v>609</v>
      </c>
      <c r="C20" s="59"/>
      <c r="D20" s="59"/>
      <c r="E20" s="59"/>
      <c r="F20" s="136"/>
      <c r="G20" s="136"/>
      <c r="H20" s="136"/>
      <c r="I20" s="136"/>
      <c r="J20" s="136"/>
      <c r="K20" s="136"/>
    </row>
    <row r="21" spans="1:15" x14ac:dyDescent="0.2">
      <c r="A21" s="137" t="s">
        <v>610</v>
      </c>
      <c r="B21" s="59" t="s">
        <v>611</v>
      </c>
      <c r="C21" s="59"/>
      <c r="D21" s="59"/>
      <c r="E21" s="59"/>
      <c r="F21" s="59"/>
      <c r="G21" s="136"/>
      <c r="H21" s="136"/>
      <c r="I21" s="136"/>
      <c r="J21" s="136"/>
      <c r="K21" s="136"/>
    </row>
    <row r="22" spans="1:15" x14ac:dyDescent="0.2">
      <c r="A22" s="137" t="s">
        <v>612</v>
      </c>
      <c r="B22" s="59" t="s">
        <v>613</v>
      </c>
      <c r="C22" s="59"/>
      <c r="D22" s="59"/>
      <c r="E22" s="136"/>
      <c r="F22" s="136"/>
      <c r="G22" s="136"/>
      <c r="H22" s="136"/>
      <c r="I22" s="136"/>
      <c r="J22" s="136"/>
      <c r="K22" s="136"/>
    </row>
    <row r="23" spans="1:15" x14ac:dyDescent="0.2">
      <c r="A23" s="137" t="s">
        <v>614</v>
      </c>
      <c r="B23" s="59" t="s">
        <v>615</v>
      </c>
      <c r="C23" s="59"/>
      <c r="D23" s="59"/>
      <c r="E23" s="59"/>
      <c r="F23" s="59"/>
      <c r="G23" s="136"/>
      <c r="H23" s="136"/>
      <c r="I23" s="136"/>
      <c r="J23" s="136"/>
      <c r="K23" s="136"/>
    </row>
    <row r="24" spans="1:15" x14ac:dyDescent="0.2">
      <c r="A24" s="137" t="s">
        <v>616</v>
      </c>
      <c r="B24" s="59" t="s">
        <v>617</v>
      </c>
      <c r="C24" s="59"/>
      <c r="D24" s="59"/>
      <c r="E24" s="59"/>
      <c r="F24" s="59"/>
      <c r="G24" s="136"/>
      <c r="H24" s="136"/>
      <c r="I24" s="136"/>
      <c r="J24" s="136"/>
      <c r="K24" s="136"/>
    </row>
    <row r="26" spans="1:15" x14ac:dyDescent="0.2">
      <c r="A26" s="1" t="s">
        <v>763</v>
      </c>
    </row>
    <row r="27" spans="1:15" x14ac:dyDescent="0.2">
      <c r="A27" s="1" t="s">
        <v>622</v>
      </c>
    </row>
    <row r="29" spans="1:15" ht="17" thickBot="1" x14ac:dyDescent="0.25">
      <c r="A29" s="190" t="s">
        <v>842</v>
      </c>
    </row>
    <row r="30" spans="1:15" ht="17" thickBot="1" x14ac:dyDescent="0.25">
      <c r="A30" s="4" t="s">
        <v>834</v>
      </c>
      <c r="B30" s="88" t="s">
        <v>744</v>
      </c>
      <c r="C30" s="88"/>
      <c r="D30" s="192" t="s">
        <v>33</v>
      </c>
      <c r="E30" s="193"/>
      <c r="F30" s="193"/>
      <c r="G30" s="141"/>
      <c r="H30" s="193" t="s">
        <v>35</v>
      </c>
      <c r="I30" s="193"/>
      <c r="J30" s="193"/>
      <c r="K30" s="194"/>
      <c r="L30" s="192" t="s">
        <v>36</v>
      </c>
      <c r="M30" s="193"/>
      <c r="N30" s="193"/>
      <c r="O30" s="141"/>
    </row>
    <row r="31" spans="1:15" ht="68" x14ac:dyDescent="0.2">
      <c r="C31" s="88"/>
      <c r="D31" s="4" t="s">
        <v>80</v>
      </c>
      <c r="E31" s="189" t="s">
        <v>864</v>
      </c>
      <c r="F31" s="189" t="s">
        <v>892</v>
      </c>
      <c r="G31" s="1" t="s">
        <v>76</v>
      </c>
      <c r="H31" s="4"/>
      <c r="I31" s="189" t="s">
        <v>854</v>
      </c>
      <c r="J31" s="4"/>
      <c r="K31" s="189" t="s">
        <v>906</v>
      </c>
      <c r="L31" s="189" t="s">
        <v>836</v>
      </c>
      <c r="M31" s="4" t="s">
        <v>72</v>
      </c>
      <c r="N31" s="4" t="s">
        <v>93</v>
      </c>
      <c r="O31" s="195" t="s">
        <v>907</v>
      </c>
    </row>
    <row r="32" spans="1:15" x14ac:dyDescent="0.2">
      <c r="A32" s="4" t="s">
        <v>260</v>
      </c>
      <c r="B32" s="88" t="s">
        <v>835</v>
      </c>
      <c r="C32" s="4"/>
      <c r="D32" s="18">
        <v>125000</v>
      </c>
      <c r="E32" s="4"/>
      <c r="F32" s="4"/>
      <c r="H32" s="4"/>
      <c r="I32" s="4"/>
      <c r="J32" s="4"/>
      <c r="K32" s="4"/>
      <c r="L32" s="18">
        <f>D32</f>
        <v>125000</v>
      </c>
      <c r="M32" s="4"/>
      <c r="N32" s="4"/>
    </row>
    <row r="33" spans="1:15" x14ac:dyDescent="0.2">
      <c r="A33" s="4" t="s">
        <v>163</v>
      </c>
      <c r="B33" s="191" t="s">
        <v>843</v>
      </c>
      <c r="C33" s="4"/>
      <c r="D33" s="4"/>
      <c r="E33" s="4"/>
      <c r="F33" s="4"/>
      <c r="H33" s="4"/>
      <c r="I33" s="4"/>
      <c r="J33" s="4"/>
      <c r="K33" s="4"/>
      <c r="L33" s="4"/>
      <c r="M33" s="4"/>
      <c r="N33" s="4"/>
    </row>
    <row r="34" spans="1:15" x14ac:dyDescent="0.2">
      <c r="A34" s="4" t="s">
        <v>594</v>
      </c>
      <c r="B34" s="88" t="s">
        <v>844</v>
      </c>
      <c r="C34" s="4"/>
      <c r="D34" s="19"/>
      <c r="E34" s="19"/>
      <c r="F34" s="19"/>
      <c r="H34" s="19"/>
      <c r="I34" s="19">
        <f>-N34</f>
        <v>30000</v>
      </c>
      <c r="J34" s="19"/>
      <c r="K34" s="19"/>
      <c r="L34" s="19"/>
      <c r="M34" s="19"/>
      <c r="N34" s="19">
        <f>-10%*300000</f>
        <v>-30000</v>
      </c>
    </row>
    <row r="35" spans="1:15" x14ac:dyDescent="0.2">
      <c r="A35" s="4" t="s">
        <v>181</v>
      </c>
      <c r="B35" s="88" t="s">
        <v>855</v>
      </c>
      <c r="C35" s="4"/>
      <c r="D35" s="19">
        <v>-90000</v>
      </c>
      <c r="E35" s="19">
        <f>N35-D35</f>
        <v>60000</v>
      </c>
      <c r="F35" s="4"/>
      <c r="H35" s="4"/>
      <c r="I35" s="4"/>
      <c r="J35" s="4"/>
      <c r="K35" s="4"/>
      <c r="L35" s="4"/>
      <c r="M35" s="4"/>
      <c r="N35" s="19">
        <f>-90000/3</f>
        <v>-30000</v>
      </c>
    </row>
    <row r="36" spans="1:15" x14ac:dyDescent="0.2">
      <c r="A36" s="4" t="s">
        <v>173</v>
      </c>
      <c r="B36" s="88" t="s">
        <v>869</v>
      </c>
      <c r="C36" s="4"/>
      <c r="D36" s="19">
        <v>-12000</v>
      </c>
      <c r="E36" s="19"/>
      <c r="F36" s="4"/>
      <c r="H36" s="4"/>
      <c r="I36" s="4"/>
      <c r="J36" s="4"/>
      <c r="K36" s="4"/>
      <c r="L36" s="4"/>
      <c r="M36" s="4"/>
      <c r="N36" s="19">
        <f>D36</f>
        <v>-12000</v>
      </c>
    </row>
    <row r="37" spans="1:15" x14ac:dyDescent="0.2">
      <c r="A37" s="4" t="s">
        <v>600</v>
      </c>
      <c r="B37" s="88" t="s">
        <v>880</v>
      </c>
      <c r="C37" s="4"/>
      <c r="D37" s="19"/>
      <c r="E37" s="19"/>
      <c r="F37" s="4"/>
      <c r="H37" s="4"/>
      <c r="I37" s="4"/>
      <c r="J37" s="4"/>
      <c r="K37" s="4"/>
      <c r="L37" s="4"/>
      <c r="M37" s="4"/>
      <c r="N37" s="19"/>
    </row>
    <row r="38" spans="1:15" x14ac:dyDescent="0.2">
      <c r="A38" s="4" t="s">
        <v>602</v>
      </c>
      <c r="B38" s="88" t="s">
        <v>881</v>
      </c>
      <c r="C38" s="4"/>
      <c r="D38" s="19">
        <v>-70000</v>
      </c>
      <c r="E38" s="19"/>
      <c r="F38" s="19">
        <f>-D38</f>
        <v>70000</v>
      </c>
      <c r="H38" s="4"/>
      <c r="I38" s="4"/>
      <c r="J38" s="4"/>
      <c r="K38" s="4"/>
      <c r="L38" s="4"/>
      <c r="M38" s="4"/>
      <c r="N38" s="19"/>
    </row>
    <row r="39" spans="1:15" x14ac:dyDescent="0.2">
      <c r="A39" s="4" t="s">
        <v>604</v>
      </c>
      <c r="B39" s="88" t="s">
        <v>893</v>
      </c>
      <c r="C39" s="4"/>
      <c r="D39" s="19">
        <f>60%*700000</f>
        <v>420000</v>
      </c>
      <c r="E39" s="19"/>
      <c r="F39" s="19"/>
      <c r="G39" s="30">
        <f>M39-D39</f>
        <v>280000</v>
      </c>
      <c r="H39" s="4"/>
      <c r="I39" s="4"/>
      <c r="J39" s="4"/>
      <c r="K39" s="4"/>
      <c r="L39" s="4"/>
      <c r="M39" s="19">
        <v>700000</v>
      </c>
      <c r="N39" s="19"/>
    </row>
    <row r="40" spans="1:15" x14ac:dyDescent="0.2">
      <c r="A40" s="4" t="s">
        <v>616</v>
      </c>
      <c r="B40" s="88" t="s">
        <v>905</v>
      </c>
      <c r="C40" s="4"/>
      <c r="D40" s="19">
        <v>-40000</v>
      </c>
      <c r="E40" s="19"/>
      <c r="F40" s="19"/>
      <c r="G40" s="30"/>
      <c r="H40" s="4"/>
      <c r="I40" s="4"/>
      <c r="J40" s="4"/>
      <c r="K40" s="19">
        <f>D40-O40</f>
        <v>20000</v>
      </c>
      <c r="L40" s="4"/>
      <c r="M40" s="19"/>
      <c r="N40" s="19"/>
      <c r="O40" s="19">
        <v>-60000</v>
      </c>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51" spans="1:10" x14ac:dyDescent="0.2">
      <c r="A51" s="4" t="s">
        <v>260</v>
      </c>
      <c r="B51" s="1" t="s">
        <v>837</v>
      </c>
      <c r="I51" s="1" t="s">
        <v>594</v>
      </c>
      <c r="J51" s="1" t="s">
        <v>845</v>
      </c>
    </row>
    <row r="52" spans="1:10" x14ac:dyDescent="0.2">
      <c r="B52" s="1" t="s">
        <v>838</v>
      </c>
      <c r="J52" s="1" t="s">
        <v>846</v>
      </c>
    </row>
    <row r="53" spans="1:10" x14ac:dyDescent="0.2">
      <c r="B53" s="1" t="s">
        <v>839</v>
      </c>
      <c r="J53" s="1" t="s">
        <v>847</v>
      </c>
    </row>
    <row r="54" spans="1:10" x14ac:dyDescent="0.2">
      <c r="B54" s="1" t="s">
        <v>840</v>
      </c>
      <c r="J54" s="1" t="s">
        <v>848</v>
      </c>
    </row>
    <row r="55" spans="1:10" x14ac:dyDescent="0.2">
      <c r="B55" s="1" t="s">
        <v>841</v>
      </c>
      <c r="J55" s="1" t="s">
        <v>849</v>
      </c>
    </row>
    <row r="56" spans="1:10" x14ac:dyDescent="0.2">
      <c r="J56" s="1" t="s">
        <v>850</v>
      </c>
    </row>
    <row r="57" spans="1:10" x14ac:dyDescent="0.2">
      <c r="A57" s="1" t="s">
        <v>181</v>
      </c>
      <c r="B57" s="1" t="s">
        <v>856</v>
      </c>
      <c r="J57" s="1" t="s">
        <v>851</v>
      </c>
    </row>
    <row r="58" spans="1:10" x14ac:dyDescent="0.2">
      <c r="B58" s="1" t="s">
        <v>857</v>
      </c>
      <c r="J58" s="1" t="s">
        <v>852</v>
      </c>
    </row>
    <row r="59" spans="1:10" x14ac:dyDescent="0.2">
      <c r="B59" s="1" t="s">
        <v>858</v>
      </c>
      <c r="J59" s="1" t="s">
        <v>853</v>
      </c>
    </row>
    <row r="60" spans="1:10" x14ac:dyDescent="0.2">
      <c r="B60" s="1" t="s">
        <v>859</v>
      </c>
    </row>
    <row r="61" spans="1:10" x14ac:dyDescent="0.2">
      <c r="B61" s="1" t="s">
        <v>860</v>
      </c>
      <c r="I61" s="1" t="s">
        <v>173</v>
      </c>
      <c r="J61" s="1" t="s">
        <v>870</v>
      </c>
    </row>
    <row r="62" spans="1:10" x14ac:dyDescent="0.2">
      <c r="B62" s="1" t="s">
        <v>861</v>
      </c>
      <c r="J62" s="1" t="s">
        <v>871</v>
      </c>
    </row>
    <row r="63" spans="1:10" x14ac:dyDescent="0.2">
      <c r="B63" s="1" t="s">
        <v>862</v>
      </c>
      <c r="F63" s="1" t="s">
        <v>863</v>
      </c>
      <c r="J63" s="3" t="s">
        <v>872</v>
      </c>
    </row>
    <row r="64" spans="1:10" x14ac:dyDescent="0.2">
      <c r="B64" s="1" t="s">
        <v>865</v>
      </c>
      <c r="J64" s="1" t="s">
        <v>873</v>
      </c>
    </row>
    <row r="65" spans="1:13" x14ac:dyDescent="0.2">
      <c r="B65" s="1" t="s">
        <v>866</v>
      </c>
      <c r="J65" s="1" t="s">
        <v>874</v>
      </c>
    </row>
    <row r="66" spans="1:13" x14ac:dyDescent="0.2">
      <c r="B66" s="1" t="s">
        <v>867</v>
      </c>
      <c r="J66" s="1" t="s">
        <v>875</v>
      </c>
    </row>
    <row r="67" spans="1:13" x14ac:dyDescent="0.2">
      <c r="B67" s="3" t="s">
        <v>868</v>
      </c>
      <c r="J67" s="1" t="s">
        <v>876</v>
      </c>
    </row>
    <row r="68" spans="1:13" x14ac:dyDescent="0.2">
      <c r="J68" s="1" t="s">
        <v>877</v>
      </c>
    </row>
    <row r="69" spans="1:13" x14ac:dyDescent="0.2">
      <c r="A69" s="1" t="s">
        <v>602</v>
      </c>
      <c r="B69" s="1" t="s">
        <v>882</v>
      </c>
      <c r="J69" s="1" t="s">
        <v>878</v>
      </c>
    </row>
    <row r="70" spans="1:13" x14ac:dyDescent="0.2">
      <c r="B70" s="1" t="s">
        <v>883</v>
      </c>
      <c r="J70" s="1" t="s">
        <v>879</v>
      </c>
    </row>
    <row r="71" spans="1:13" x14ac:dyDescent="0.2">
      <c r="B71" s="1" t="s">
        <v>884</v>
      </c>
    </row>
    <row r="72" spans="1:13" x14ac:dyDescent="0.2">
      <c r="B72" s="1" t="s">
        <v>885</v>
      </c>
      <c r="I72" s="1" t="s">
        <v>604</v>
      </c>
      <c r="J72" s="1" t="s">
        <v>894</v>
      </c>
    </row>
    <row r="73" spans="1:13" x14ac:dyDescent="0.2">
      <c r="B73" s="1" t="s">
        <v>886</v>
      </c>
      <c r="J73" s="1" t="s">
        <v>895</v>
      </c>
    </row>
    <row r="74" spans="1:13" x14ac:dyDescent="0.2">
      <c r="B74" s="1" t="s">
        <v>887</v>
      </c>
      <c r="J74" s="1" t="s">
        <v>896</v>
      </c>
    </row>
    <row r="75" spans="1:13" x14ac:dyDescent="0.2">
      <c r="B75" s="1" t="s">
        <v>888</v>
      </c>
      <c r="J75" s="1" t="s">
        <v>897</v>
      </c>
    </row>
    <row r="76" spans="1:13" x14ac:dyDescent="0.2">
      <c r="B76" s="1" t="s">
        <v>889</v>
      </c>
      <c r="J76" s="1" t="s">
        <v>898</v>
      </c>
    </row>
    <row r="77" spans="1:13" x14ac:dyDescent="0.2">
      <c r="B77" s="1" t="s">
        <v>890</v>
      </c>
      <c r="J77" s="1" t="s">
        <v>899</v>
      </c>
    </row>
    <row r="78" spans="1:13" x14ac:dyDescent="0.2">
      <c r="B78" s="3" t="s">
        <v>891</v>
      </c>
      <c r="J78" s="1" t="s">
        <v>900</v>
      </c>
    </row>
    <row r="79" spans="1:13" x14ac:dyDescent="0.2">
      <c r="K79" s="72">
        <v>280000</v>
      </c>
      <c r="M79" s="1" t="s">
        <v>901</v>
      </c>
    </row>
    <row r="80" spans="1:13" x14ac:dyDescent="0.2">
      <c r="A80" s="137" t="s">
        <v>616</v>
      </c>
      <c r="B80" s="1" t="s">
        <v>908</v>
      </c>
      <c r="C80" s="59"/>
      <c r="J80" s="3" t="s">
        <v>902</v>
      </c>
    </row>
    <row r="81" spans="1:10" x14ac:dyDescent="0.2">
      <c r="B81" s="59" t="s">
        <v>617</v>
      </c>
      <c r="J81" s="3" t="s">
        <v>903</v>
      </c>
    </row>
    <row r="82" spans="1:10" x14ac:dyDescent="0.2">
      <c r="J82" s="3" t="s">
        <v>904</v>
      </c>
    </row>
    <row r="83" spans="1:10" x14ac:dyDescent="0.2">
      <c r="B83" s="1" t="s">
        <v>909</v>
      </c>
    </row>
    <row r="84" spans="1:10" x14ac:dyDescent="0.2">
      <c r="B84" s="1" t="s">
        <v>910</v>
      </c>
    </row>
    <row r="85" spans="1:10" x14ac:dyDescent="0.2">
      <c r="B85" s="1" t="s">
        <v>911</v>
      </c>
    </row>
    <row r="86" spans="1:10" x14ac:dyDescent="0.2">
      <c r="B86" s="1" t="s">
        <v>913</v>
      </c>
    </row>
    <row r="87" spans="1:10" x14ac:dyDescent="0.2">
      <c r="B87" s="1" t="s">
        <v>912</v>
      </c>
    </row>
    <row r="88" spans="1:10" x14ac:dyDescent="0.2">
      <c r="B88" s="1" t="s">
        <v>914</v>
      </c>
    </row>
    <row r="95" spans="1:10" x14ac:dyDescent="0.2">
      <c r="A95" s="1" t="s">
        <v>1403</v>
      </c>
    </row>
    <row r="101" spans="1:27" s="276" customFormat="1" x14ac:dyDescent="0.2">
      <c r="A101" s="1" t="s">
        <v>834</v>
      </c>
      <c r="B101" s="272" t="s">
        <v>33</v>
      </c>
      <c r="C101" s="273"/>
      <c r="D101" s="273"/>
      <c r="E101" s="273"/>
      <c r="F101" s="273"/>
      <c r="G101" s="274" t="s">
        <v>35</v>
      </c>
      <c r="H101" s="275"/>
      <c r="I101" s="275"/>
      <c r="J101" s="274" t="s">
        <v>36</v>
      </c>
      <c r="K101" s="275"/>
      <c r="L101" s="275"/>
      <c r="M101" s="275"/>
      <c r="N101" s="275"/>
      <c r="O101" s="1"/>
      <c r="P101" s="1"/>
      <c r="Q101" s="1"/>
      <c r="R101" s="1"/>
      <c r="S101" s="1"/>
      <c r="T101" s="1"/>
      <c r="U101" s="1"/>
      <c r="V101" s="1"/>
      <c r="W101" s="1"/>
      <c r="X101" s="1"/>
      <c r="Y101" s="1"/>
      <c r="Z101" s="1"/>
      <c r="AA101" s="1"/>
    </row>
    <row r="102" spans="1:27" s="276" customFormat="1" ht="68" x14ac:dyDescent="0.2">
      <c r="A102" s="1"/>
      <c r="B102" s="273" t="s">
        <v>80</v>
      </c>
      <c r="C102" s="277" t="s">
        <v>1272</v>
      </c>
      <c r="D102" s="277" t="s">
        <v>1273</v>
      </c>
      <c r="E102" s="277" t="s">
        <v>1274</v>
      </c>
      <c r="F102" s="273" t="s">
        <v>76</v>
      </c>
      <c r="G102" s="278" t="s">
        <v>1275</v>
      </c>
      <c r="H102" s="278" t="s">
        <v>1276</v>
      </c>
      <c r="I102" s="278" t="s">
        <v>1277</v>
      </c>
      <c r="J102" s="275" t="s">
        <v>490</v>
      </c>
      <c r="K102" s="275" t="s">
        <v>1278</v>
      </c>
      <c r="L102" s="278" t="s">
        <v>1279</v>
      </c>
      <c r="M102" s="279" t="s">
        <v>1280</v>
      </c>
      <c r="N102" s="279" t="s">
        <v>1281</v>
      </c>
      <c r="O102" s="1"/>
      <c r="P102" s="1"/>
      <c r="Q102" s="1"/>
      <c r="R102" s="1"/>
      <c r="S102" s="1"/>
      <c r="T102" s="1"/>
      <c r="U102" s="1"/>
      <c r="V102" s="1"/>
      <c r="W102" s="1"/>
      <c r="X102" s="1"/>
      <c r="Y102" s="1"/>
      <c r="Z102" s="1"/>
      <c r="AA102" s="1"/>
    </row>
    <row r="103" spans="1:27" s="276" customFormat="1" x14ac:dyDescent="0.2">
      <c r="A103" s="1" t="s">
        <v>260</v>
      </c>
      <c r="B103" s="72">
        <v>125000</v>
      </c>
      <c r="C103" s="1"/>
      <c r="D103" s="1"/>
      <c r="E103" s="1"/>
      <c r="F103" s="1"/>
      <c r="G103" s="1"/>
      <c r="H103" s="1"/>
      <c r="I103" s="1"/>
      <c r="J103" s="72">
        <f>30000*2</f>
        <v>60000</v>
      </c>
      <c r="K103" s="72">
        <f>B103-J103</f>
        <v>65000</v>
      </c>
      <c r="M103" s="280"/>
      <c r="N103" s="280"/>
      <c r="O103" s="1"/>
      <c r="P103" s="1"/>
      <c r="Q103" s="1"/>
      <c r="R103" s="1"/>
      <c r="S103" s="1"/>
      <c r="T103" s="1"/>
      <c r="U103" s="1"/>
      <c r="V103" s="1"/>
      <c r="W103" s="1"/>
      <c r="X103" s="1"/>
      <c r="Y103" s="1"/>
      <c r="Z103" s="1"/>
      <c r="AA103" s="1"/>
    </row>
    <row r="104" spans="1:27" s="276" customFormat="1" x14ac:dyDescent="0.2">
      <c r="A104" s="1" t="s">
        <v>163</v>
      </c>
      <c r="B104" s="72">
        <v>300000</v>
      </c>
      <c r="C104" s="1"/>
      <c r="D104" s="1"/>
      <c r="E104" s="1"/>
      <c r="F104" s="1"/>
      <c r="G104" s="72">
        <f>B104</f>
        <v>300000</v>
      </c>
      <c r="H104" s="1"/>
      <c r="I104" s="1"/>
      <c r="J104" s="1"/>
      <c r="K104" s="1"/>
      <c r="M104" s="280"/>
      <c r="N104" s="280"/>
      <c r="O104" s="1"/>
      <c r="P104" s="1"/>
      <c r="Q104" s="1"/>
      <c r="R104" s="1"/>
      <c r="S104" s="1"/>
      <c r="T104" s="1"/>
      <c r="U104" s="1"/>
      <c r="V104" s="1"/>
      <c r="W104" s="1"/>
      <c r="X104" s="1"/>
      <c r="Y104" s="1"/>
      <c r="Z104" s="1"/>
      <c r="AA104" s="1"/>
    </row>
    <row r="105" spans="1:27" s="276" customFormat="1" x14ac:dyDescent="0.2">
      <c r="A105" s="281" t="s">
        <v>594</v>
      </c>
      <c r="B105" s="281"/>
      <c r="C105" s="281"/>
      <c r="D105" s="281"/>
      <c r="E105" s="281"/>
      <c r="F105" s="281"/>
      <c r="G105" s="281"/>
      <c r="H105" s="282">
        <f>10%*300000</f>
        <v>30000</v>
      </c>
      <c r="I105" s="281"/>
      <c r="J105" s="281"/>
      <c r="K105" s="281"/>
      <c r="M105" s="280"/>
      <c r="N105" s="283">
        <f>-H105</f>
        <v>-30000</v>
      </c>
      <c r="O105" s="281" t="s">
        <v>1282</v>
      </c>
      <c r="P105" s="281"/>
      <c r="Q105" s="281"/>
      <c r="R105" s="281"/>
      <c r="S105" s="281"/>
      <c r="T105" s="281"/>
      <c r="U105" s="281"/>
      <c r="V105" s="281"/>
      <c r="W105" s="281"/>
      <c r="X105" s="281"/>
      <c r="Y105" s="281"/>
      <c r="Z105" s="281"/>
      <c r="AA105" s="281"/>
    </row>
    <row r="106" spans="1:27" s="276" customFormat="1" x14ac:dyDescent="0.2">
      <c r="A106" s="1" t="s">
        <v>181</v>
      </c>
      <c r="B106" s="284">
        <v>-90000</v>
      </c>
      <c r="C106" s="285">
        <v>60000</v>
      </c>
      <c r="D106" s="1"/>
      <c r="E106" s="1"/>
      <c r="F106" s="1"/>
      <c r="G106" s="1"/>
      <c r="H106" s="1"/>
      <c r="I106" s="1"/>
      <c r="J106" s="1"/>
      <c r="K106" s="1"/>
      <c r="M106" s="280"/>
      <c r="N106" s="283">
        <f>-30000</f>
        <v>-30000</v>
      </c>
      <c r="O106" s="1" t="s">
        <v>1283</v>
      </c>
      <c r="P106" s="1"/>
      <c r="Q106" s="1"/>
      <c r="R106" s="1"/>
      <c r="S106" s="1"/>
      <c r="T106" s="1"/>
      <c r="U106" s="1"/>
      <c r="V106" s="1"/>
      <c r="W106" s="1"/>
      <c r="X106" s="1"/>
      <c r="Y106" s="1"/>
      <c r="Z106" s="1"/>
      <c r="AA106" s="1"/>
    </row>
    <row r="107" spans="1:27" s="276" customFormat="1" x14ac:dyDescent="0.2">
      <c r="A107" s="1" t="s">
        <v>173</v>
      </c>
      <c r="B107" s="285">
        <v>-12000</v>
      </c>
      <c r="C107" s="1"/>
      <c r="D107" s="1"/>
      <c r="E107" s="1"/>
      <c r="F107" s="1"/>
      <c r="G107" s="1"/>
      <c r="H107" s="1"/>
      <c r="I107" s="1"/>
      <c r="J107" s="1"/>
      <c r="K107" s="1"/>
      <c r="M107" s="280"/>
      <c r="N107" s="283">
        <v>-12000</v>
      </c>
      <c r="O107" s="1" t="s">
        <v>1284</v>
      </c>
      <c r="P107" s="1"/>
      <c r="Q107" s="1"/>
      <c r="R107" s="1"/>
      <c r="S107" s="1"/>
      <c r="T107" s="1"/>
      <c r="U107" s="1"/>
      <c r="V107" s="1"/>
      <c r="W107" s="1"/>
      <c r="X107" s="1"/>
      <c r="Y107" s="1"/>
      <c r="Z107" s="1"/>
      <c r="AA107" s="1"/>
    </row>
    <row r="108" spans="1:27" s="276" customFormat="1" x14ac:dyDescent="0.2">
      <c r="A108" s="281" t="s">
        <v>600</v>
      </c>
      <c r="B108" s="284">
        <f>-85000</f>
        <v>-85000</v>
      </c>
      <c r="C108" s="281"/>
      <c r="D108" s="284">
        <f>-B108</f>
        <v>85000</v>
      </c>
      <c r="E108" s="190"/>
      <c r="F108" s="190"/>
      <c r="G108" s="190"/>
      <c r="H108" s="190"/>
      <c r="I108" s="190"/>
      <c r="J108" s="190"/>
      <c r="K108" s="190"/>
      <c r="L108" s="286"/>
      <c r="M108" s="280"/>
      <c r="N108" s="280"/>
      <c r="O108" s="190"/>
      <c r="P108" s="190"/>
      <c r="Q108" s="190"/>
      <c r="R108" s="190"/>
      <c r="S108" s="190"/>
      <c r="T108" s="190"/>
      <c r="U108" s="190"/>
      <c r="V108" s="190"/>
      <c r="W108" s="190"/>
      <c r="X108" s="190"/>
      <c r="Y108" s="190"/>
      <c r="Z108" s="190"/>
      <c r="AA108" s="190"/>
    </row>
    <row r="109" spans="1:27" s="276" customFormat="1" x14ac:dyDescent="0.2">
      <c r="A109" s="1" t="s">
        <v>602</v>
      </c>
      <c r="B109" s="285">
        <v>-70000</v>
      </c>
      <c r="C109" s="1"/>
      <c r="D109" s="1"/>
      <c r="E109" s="285">
        <f>-B109</f>
        <v>70000</v>
      </c>
      <c r="F109" s="1"/>
      <c r="G109" s="1"/>
      <c r="H109" s="1"/>
      <c r="I109" s="1"/>
      <c r="J109" s="1"/>
      <c r="K109" s="1"/>
      <c r="M109" s="280"/>
      <c r="N109" s="280"/>
      <c r="O109" s="1"/>
      <c r="P109" s="1"/>
      <c r="Q109" s="1"/>
      <c r="R109" s="1"/>
      <c r="S109" s="1"/>
      <c r="T109" s="1"/>
      <c r="U109" s="1"/>
      <c r="V109" s="1"/>
      <c r="W109" s="1"/>
      <c r="X109" s="1"/>
      <c r="Y109" s="1"/>
      <c r="Z109" s="1"/>
      <c r="AA109" s="1"/>
    </row>
    <row r="110" spans="1:27" s="276" customFormat="1" x14ac:dyDescent="0.2">
      <c r="A110" s="1" t="s">
        <v>604</v>
      </c>
      <c r="B110" s="284">
        <v>420000</v>
      </c>
      <c r="C110" s="281"/>
      <c r="D110" s="281"/>
      <c r="E110" s="281"/>
      <c r="F110" s="284">
        <v>280000</v>
      </c>
      <c r="G110" s="281"/>
      <c r="H110" s="281"/>
      <c r="I110" s="281"/>
      <c r="J110" s="281"/>
      <c r="K110" s="281"/>
      <c r="M110" s="283">
        <v>700000</v>
      </c>
      <c r="N110" s="280"/>
      <c r="O110" s="1" t="s">
        <v>1285</v>
      </c>
      <c r="P110" s="1"/>
      <c r="Q110" s="1"/>
      <c r="R110" s="1"/>
      <c r="S110" s="1"/>
      <c r="T110" s="1"/>
      <c r="U110" s="1"/>
      <c r="V110" s="1"/>
      <c r="W110" s="1"/>
      <c r="X110" s="1"/>
      <c r="Y110" s="1"/>
      <c r="Z110" s="1"/>
      <c r="AA110" s="1"/>
    </row>
    <row r="111" spans="1:27" s="276" customFormat="1" x14ac:dyDescent="0.2">
      <c r="A111" s="1" t="s">
        <v>1286</v>
      </c>
      <c r="B111" s="285">
        <f>-14000</f>
        <v>-14000</v>
      </c>
      <c r="C111" s="1"/>
      <c r="D111" s="1"/>
      <c r="E111" s="1"/>
      <c r="F111" s="1"/>
      <c r="G111" s="1"/>
      <c r="H111" s="1"/>
      <c r="I111" s="1"/>
      <c r="J111" s="1"/>
      <c r="K111" s="1"/>
      <c r="M111" s="280"/>
      <c r="N111" s="283">
        <f>B111</f>
        <v>-14000</v>
      </c>
      <c r="O111" s="1" t="s">
        <v>1287</v>
      </c>
      <c r="P111" s="1"/>
      <c r="Q111" s="1"/>
      <c r="R111" s="1"/>
      <c r="S111" s="1"/>
      <c r="T111" s="1"/>
      <c r="U111" s="1"/>
      <c r="V111" s="1"/>
      <c r="W111" s="1"/>
      <c r="X111" s="1"/>
      <c r="Y111" s="1"/>
      <c r="Z111" s="1"/>
      <c r="AA111" s="1"/>
    </row>
    <row r="112" spans="1:27" s="276" customFormat="1" x14ac:dyDescent="0.2">
      <c r="A112" s="1" t="s">
        <v>1288</v>
      </c>
      <c r="B112" s="285">
        <f>-22000</f>
        <v>-22000</v>
      </c>
      <c r="C112" s="1"/>
      <c r="D112" s="1"/>
      <c r="E112" s="1"/>
      <c r="F112" s="1"/>
      <c r="G112" s="1"/>
      <c r="H112" s="1"/>
      <c r="I112" s="1"/>
      <c r="J112" s="1"/>
      <c r="K112" s="1"/>
      <c r="M112" s="280"/>
      <c r="N112" s="283">
        <f>B112</f>
        <v>-22000</v>
      </c>
      <c r="O112" s="1" t="s">
        <v>1289</v>
      </c>
      <c r="P112" s="1"/>
      <c r="Q112" s="1"/>
      <c r="R112" s="1"/>
      <c r="S112" s="1"/>
      <c r="T112" s="1"/>
      <c r="U112" s="1"/>
      <c r="V112" s="1"/>
      <c r="W112" s="1"/>
      <c r="X112" s="1"/>
      <c r="Y112" s="1"/>
      <c r="Z112" s="1"/>
      <c r="AA112" s="1"/>
    </row>
    <row r="113" spans="1:27" s="276" customFormat="1" x14ac:dyDescent="0.2">
      <c r="A113" s="1" t="s">
        <v>1290</v>
      </c>
      <c r="B113" s="285">
        <v>-34000</v>
      </c>
      <c r="C113" s="1"/>
      <c r="D113" s="1"/>
      <c r="E113" s="1"/>
      <c r="F113" s="1"/>
      <c r="G113" s="1"/>
      <c r="H113" s="1"/>
      <c r="I113" s="1"/>
      <c r="J113" s="1"/>
      <c r="K113" s="1"/>
      <c r="M113" s="280"/>
      <c r="N113" s="283">
        <f>B113</f>
        <v>-34000</v>
      </c>
      <c r="O113" s="1" t="s">
        <v>1291</v>
      </c>
      <c r="P113" s="1"/>
      <c r="Q113" s="1"/>
      <c r="R113" s="1"/>
      <c r="S113" s="1"/>
      <c r="T113" s="1"/>
      <c r="U113" s="1"/>
      <c r="V113" s="1"/>
      <c r="W113" s="1"/>
      <c r="X113" s="1"/>
      <c r="Y113" s="1"/>
      <c r="Z113" s="1"/>
      <c r="AA113" s="1"/>
    </row>
    <row r="114" spans="1:27" s="276" customFormat="1" x14ac:dyDescent="0.2">
      <c r="A114" s="1" t="s">
        <v>610</v>
      </c>
      <c r="B114" s="285">
        <v>44000</v>
      </c>
      <c r="C114" s="1"/>
      <c r="D114" s="1"/>
      <c r="E114" s="1"/>
      <c r="F114" s="285">
        <f>-B114</f>
        <v>-44000</v>
      </c>
      <c r="G114" s="1"/>
      <c r="H114" s="1"/>
      <c r="I114" s="1"/>
      <c r="J114" s="1"/>
      <c r="K114" s="1"/>
      <c r="M114" s="280"/>
      <c r="N114" s="280"/>
      <c r="O114" s="1"/>
      <c r="P114" s="1"/>
      <c r="Q114" s="1"/>
      <c r="R114" s="1"/>
      <c r="S114" s="1"/>
      <c r="T114" s="1"/>
      <c r="U114" s="1"/>
      <c r="V114" s="1"/>
      <c r="W114" s="1"/>
      <c r="X114" s="1"/>
      <c r="Y114" s="1"/>
      <c r="Z114" s="1"/>
      <c r="AA114" s="1"/>
    </row>
    <row r="115" spans="1:27" s="276" customFormat="1" x14ac:dyDescent="0.2">
      <c r="A115" s="1" t="s">
        <v>612</v>
      </c>
      <c r="B115" s="285">
        <f>-14000</f>
        <v>-14000</v>
      </c>
      <c r="C115" s="1"/>
      <c r="D115" s="1"/>
      <c r="E115" s="1"/>
      <c r="F115" s="1"/>
      <c r="G115" s="1"/>
      <c r="H115" s="1"/>
      <c r="I115" s="1"/>
      <c r="J115" s="1"/>
      <c r="K115" s="1"/>
      <c r="M115" s="280"/>
      <c r="N115" s="283">
        <f>B115</f>
        <v>-14000</v>
      </c>
      <c r="O115" s="1" t="s">
        <v>1282</v>
      </c>
      <c r="P115" s="1"/>
      <c r="Q115" s="1"/>
      <c r="R115" s="1"/>
      <c r="S115" s="1"/>
      <c r="T115" s="1"/>
      <c r="U115" s="1"/>
      <c r="V115" s="1"/>
      <c r="W115" s="1"/>
      <c r="X115" s="1"/>
      <c r="Y115" s="1"/>
      <c r="Z115" s="1"/>
      <c r="AA115" s="1"/>
    </row>
    <row r="116" spans="1:27" s="276" customFormat="1" x14ac:dyDescent="0.2">
      <c r="A116" s="1" t="s">
        <v>1292</v>
      </c>
      <c r="B116" s="285">
        <f>-19000</f>
        <v>-19000</v>
      </c>
      <c r="C116" s="1"/>
      <c r="D116" s="1"/>
      <c r="E116" s="1"/>
      <c r="F116" s="1"/>
      <c r="G116" s="1"/>
      <c r="H116" s="1"/>
      <c r="I116" s="1"/>
      <c r="J116" s="1"/>
      <c r="K116" s="1"/>
      <c r="M116" s="280"/>
      <c r="N116" s="283">
        <f>B116</f>
        <v>-19000</v>
      </c>
      <c r="O116" s="1" t="s">
        <v>1293</v>
      </c>
      <c r="P116" s="1"/>
      <c r="Q116" s="1"/>
      <c r="R116" s="1"/>
      <c r="S116" s="1"/>
      <c r="T116" s="1"/>
      <c r="U116" s="1"/>
      <c r="V116" s="1"/>
      <c r="W116" s="1"/>
      <c r="X116" s="1"/>
      <c r="Y116" s="1"/>
      <c r="Z116" s="1"/>
      <c r="AA116" s="1"/>
    </row>
    <row r="117" spans="1:27" s="276" customFormat="1" x14ac:dyDescent="0.2">
      <c r="A117" s="1" t="s">
        <v>1294</v>
      </c>
      <c r="B117" s="285">
        <v>-38000</v>
      </c>
      <c r="C117" s="1"/>
      <c r="D117" s="1"/>
      <c r="E117" s="1"/>
      <c r="F117" s="1"/>
      <c r="G117" s="1"/>
      <c r="H117" s="1"/>
      <c r="I117" s="1"/>
      <c r="J117" s="1"/>
      <c r="K117" s="1"/>
      <c r="M117" s="280"/>
      <c r="N117" s="283">
        <f>B117</f>
        <v>-38000</v>
      </c>
      <c r="O117" s="1" t="s">
        <v>257</v>
      </c>
      <c r="P117" s="1"/>
      <c r="Q117" s="1"/>
      <c r="R117" s="1"/>
      <c r="S117" s="1"/>
      <c r="T117" s="1"/>
      <c r="U117" s="1"/>
      <c r="V117" s="1"/>
      <c r="W117" s="1"/>
      <c r="X117" s="1"/>
      <c r="Y117" s="1"/>
      <c r="Z117" s="1"/>
      <c r="AA117" s="1"/>
    </row>
    <row r="118" spans="1:27" s="276" customFormat="1" x14ac:dyDescent="0.2">
      <c r="A118" s="1" t="s">
        <v>616</v>
      </c>
      <c r="B118" s="285">
        <v>-40000</v>
      </c>
      <c r="C118" s="1"/>
      <c r="D118" s="1"/>
      <c r="E118" s="1"/>
      <c r="F118" s="1"/>
      <c r="G118" s="1"/>
      <c r="H118" s="1"/>
      <c r="I118" s="285">
        <v>20000</v>
      </c>
      <c r="J118" s="1"/>
      <c r="K118" s="1"/>
      <c r="L118" s="285">
        <v>-60000</v>
      </c>
      <c r="M118" s="280"/>
      <c r="N118" s="280"/>
      <c r="O118" s="1"/>
      <c r="P118" s="1"/>
      <c r="Q118" s="1"/>
      <c r="R118" s="1"/>
      <c r="S118" s="1"/>
      <c r="T118" s="1"/>
      <c r="U118" s="1"/>
      <c r="V118" s="1"/>
      <c r="W118" s="1"/>
      <c r="X118" s="1"/>
      <c r="Y118" s="1"/>
      <c r="Z118" s="1"/>
      <c r="AA118" s="1"/>
    </row>
    <row r="119" spans="1:27" s="276" customFormat="1" x14ac:dyDescent="0.2">
      <c r="A119" s="1" t="s">
        <v>1295</v>
      </c>
      <c r="B119" s="287">
        <f t="shared" ref="B119:N119" si="0">SUM(B103:B118)</f>
        <v>451000</v>
      </c>
      <c r="C119" s="288">
        <f t="shared" si="0"/>
        <v>60000</v>
      </c>
      <c r="D119" s="287">
        <f t="shared" si="0"/>
        <v>85000</v>
      </c>
      <c r="E119" s="287">
        <f t="shared" si="0"/>
        <v>70000</v>
      </c>
      <c r="F119" s="287">
        <f t="shared" si="0"/>
        <v>236000</v>
      </c>
      <c r="G119" s="289">
        <f t="shared" si="0"/>
        <v>300000</v>
      </c>
      <c r="H119" s="289">
        <f t="shared" si="0"/>
        <v>30000</v>
      </c>
      <c r="I119" s="289">
        <f t="shared" si="0"/>
        <v>20000</v>
      </c>
      <c r="J119" s="289">
        <f t="shared" si="0"/>
        <v>60000</v>
      </c>
      <c r="K119" s="289">
        <f t="shared" si="0"/>
        <v>65000</v>
      </c>
      <c r="L119" s="289">
        <f t="shared" si="0"/>
        <v>-60000</v>
      </c>
      <c r="M119" s="289">
        <f t="shared" si="0"/>
        <v>700000</v>
      </c>
      <c r="N119" s="289">
        <f t="shared" si="0"/>
        <v>-213000</v>
      </c>
      <c r="O119" s="1"/>
      <c r="P119" s="1"/>
      <c r="Q119" s="1"/>
      <c r="R119" s="1"/>
      <c r="S119" s="1"/>
      <c r="T119" s="1"/>
      <c r="U119" s="1"/>
      <c r="V119" s="1"/>
      <c r="W119" s="1"/>
      <c r="X119" s="1"/>
      <c r="Y119" s="1"/>
      <c r="Z119" s="1"/>
      <c r="AA119" s="1"/>
    </row>
    <row r="120" spans="1:27" s="276" customForma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s="276" customFormat="1" x14ac:dyDescent="0.2">
      <c r="A121" s="1"/>
      <c r="B121" s="1" t="s">
        <v>1296</v>
      </c>
      <c r="D121" s="285">
        <f>SUM(B119:F119)</f>
        <v>902000</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s="276" customFormat="1" x14ac:dyDescent="0.2">
      <c r="A122" s="1"/>
      <c r="B122" s="1" t="s">
        <v>1297</v>
      </c>
      <c r="C122" s="1"/>
      <c r="D122" s="285">
        <f>SUM(G119:N119)</f>
        <v>902000</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s="276" customFormat="1" x14ac:dyDescent="0.2">
      <c r="A123" s="1"/>
      <c r="B123" s="1"/>
      <c r="C123" s="1"/>
      <c r="D123" s="1"/>
      <c r="E123" s="1"/>
      <c r="F123" s="1"/>
      <c r="G123" s="1"/>
      <c r="H123" s="1"/>
      <c r="I123" s="1"/>
      <c r="J123" s="290" t="s">
        <v>1298</v>
      </c>
      <c r="K123" s="291"/>
      <c r="L123" s="291"/>
      <c r="M123" s="291"/>
      <c r="N123" s="291"/>
      <c r="O123" s="1"/>
      <c r="P123" s="1"/>
      <c r="Q123" s="1"/>
      <c r="R123" s="1"/>
      <c r="S123" s="1"/>
      <c r="T123" s="1"/>
      <c r="U123" s="1"/>
      <c r="V123" s="1"/>
      <c r="W123" s="1"/>
      <c r="X123" s="1"/>
      <c r="Y123" s="1"/>
      <c r="Z123" s="1"/>
      <c r="AA123" s="1"/>
    </row>
    <row r="124" spans="1:27" s="276" customFormat="1" x14ac:dyDescent="0.2">
      <c r="A124" s="1"/>
      <c r="B124" s="292" t="s">
        <v>1299</v>
      </c>
      <c r="C124" s="293"/>
      <c r="D124" s="293"/>
      <c r="E124" s="293"/>
      <c r="F124" s="294" t="s">
        <v>1300</v>
      </c>
      <c r="G124" s="293"/>
      <c r="H124" s="293"/>
      <c r="I124" s="1"/>
      <c r="J124" s="290" t="s">
        <v>1301</v>
      </c>
      <c r="K124" s="291"/>
      <c r="L124" s="290" t="s">
        <v>1300</v>
      </c>
      <c r="M124" s="291"/>
      <c r="N124" s="291"/>
      <c r="O124" s="1"/>
      <c r="P124" s="1"/>
      <c r="Q124" s="1"/>
      <c r="R124" s="1"/>
      <c r="S124" s="1"/>
      <c r="T124" s="1"/>
      <c r="U124" s="1"/>
      <c r="V124" s="1"/>
      <c r="W124" s="1"/>
      <c r="X124" s="1"/>
      <c r="Y124" s="1"/>
      <c r="Z124" s="1"/>
      <c r="AA124" s="1"/>
    </row>
    <row r="125" spans="1:27" s="276" customFormat="1" x14ac:dyDescent="0.2">
      <c r="A125" s="1"/>
      <c r="B125" s="293"/>
      <c r="C125" s="293"/>
      <c r="D125" s="293"/>
      <c r="E125" s="293"/>
      <c r="F125" s="293"/>
      <c r="G125" s="293"/>
      <c r="H125" s="293"/>
      <c r="I125" s="1"/>
      <c r="J125" s="291" t="s">
        <v>1302</v>
      </c>
      <c r="K125" s="291"/>
      <c r="L125" s="291">
        <v>0</v>
      </c>
      <c r="M125" s="291" t="s">
        <v>1303</v>
      </c>
      <c r="N125" s="291"/>
      <c r="O125" s="1"/>
      <c r="P125" s="1"/>
      <c r="Q125" s="1"/>
      <c r="R125" s="1"/>
      <c r="S125" s="1"/>
      <c r="T125" s="1"/>
      <c r="U125" s="1"/>
      <c r="V125" s="1"/>
      <c r="W125" s="1"/>
      <c r="X125" s="1"/>
      <c r="Y125" s="1"/>
      <c r="Z125" s="1"/>
      <c r="AA125" s="1"/>
    </row>
    <row r="126" spans="1:27" s="276" customFormat="1" x14ac:dyDescent="0.2">
      <c r="A126" s="1"/>
      <c r="B126" s="295" t="s">
        <v>33</v>
      </c>
      <c r="C126" s="293"/>
      <c r="D126" s="293"/>
      <c r="E126" s="293"/>
      <c r="F126" s="295" t="s">
        <v>275</v>
      </c>
      <c r="G126" s="293"/>
      <c r="H126" s="293"/>
      <c r="I126" s="1"/>
      <c r="J126" s="291" t="s">
        <v>1304</v>
      </c>
      <c r="K126" s="291"/>
      <c r="L126" s="296">
        <f>M119+N119</f>
        <v>487000</v>
      </c>
      <c r="M126" s="297"/>
      <c r="N126" s="297" t="s">
        <v>1305</v>
      </c>
      <c r="O126" s="281"/>
      <c r="P126" s="1"/>
      <c r="Q126" s="1"/>
      <c r="R126" s="1"/>
      <c r="S126" s="1"/>
      <c r="T126" s="1"/>
      <c r="U126" s="1"/>
      <c r="V126" s="1"/>
      <c r="W126" s="1"/>
      <c r="X126" s="1"/>
      <c r="Y126" s="1"/>
      <c r="Z126" s="1"/>
      <c r="AA126" s="1"/>
    </row>
    <row r="127" spans="1:27" s="276" customFormat="1" x14ac:dyDescent="0.2">
      <c r="A127" s="1"/>
      <c r="B127" s="293"/>
      <c r="C127" s="293"/>
      <c r="D127" s="293"/>
      <c r="E127" s="293"/>
      <c r="F127" s="293"/>
      <c r="G127" s="293"/>
      <c r="H127" s="293"/>
      <c r="I127" s="1"/>
      <c r="J127" s="291" t="s">
        <v>1306</v>
      </c>
      <c r="K127" s="291"/>
      <c r="L127" s="296">
        <v>-60000</v>
      </c>
      <c r="M127" s="298"/>
      <c r="N127" s="298"/>
      <c r="O127" s="1"/>
      <c r="P127" s="1"/>
      <c r="Q127" s="1"/>
      <c r="R127" s="1"/>
      <c r="S127" s="1"/>
      <c r="T127" s="1"/>
      <c r="U127" s="1"/>
      <c r="V127" s="1"/>
      <c r="W127" s="1"/>
      <c r="X127" s="1"/>
      <c r="Y127" s="1"/>
      <c r="Z127" s="1"/>
      <c r="AA127" s="1"/>
    </row>
    <row r="128" spans="1:27" s="276" customFormat="1" x14ac:dyDescent="0.2">
      <c r="A128" s="1"/>
      <c r="B128" s="292" t="s">
        <v>523</v>
      </c>
      <c r="C128" s="293"/>
      <c r="D128" s="293"/>
      <c r="E128" s="293"/>
      <c r="F128" s="299" t="s">
        <v>525</v>
      </c>
      <c r="G128" s="300"/>
      <c r="H128" s="300"/>
      <c r="I128" s="1"/>
      <c r="J128" s="291" t="s">
        <v>1307</v>
      </c>
      <c r="K128" s="291"/>
      <c r="L128" s="301">
        <f>SUM(L125:L127)</f>
        <v>427000</v>
      </c>
      <c r="M128" s="298"/>
      <c r="N128" s="298"/>
      <c r="O128" s="1"/>
      <c r="P128" s="1"/>
      <c r="Q128" s="1"/>
      <c r="R128" s="1"/>
      <c r="S128" s="1"/>
      <c r="T128" s="1"/>
      <c r="U128" s="1"/>
      <c r="V128" s="1"/>
      <c r="W128" s="1"/>
      <c r="X128" s="1"/>
      <c r="Y128" s="1"/>
      <c r="Z128" s="1"/>
      <c r="AA128" s="1"/>
    </row>
    <row r="129" spans="1:27" s="276" customFormat="1" x14ac:dyDescent="0.2">
      <c r="A129" s="1"/>
      <c r="B129" s="293" t="s">
        <v>80</v>
      </c>
      <c r="C129" s="302">
        <f>B119</f>
        <v>451000</v>
      </c>
      <c r="D129" s="293"/>
      <c r="E129" s="293"/>
      <c r="F129" s="300" t="s">
        <v>1308</v>
      </c>
      <c r="G129" s="303"/>
      <c r="H129" s="304">
        <f>H119+I119</f>
        <v>50000</v>
      </c>
      <c r="I129" s="1"/>
      <c r="J129" s="1"/>
      <c r="K129" s="1"/>
      <c r="L129" s="1"/>
      <c r="M129" s="1"/>
      <c r="N129" s="1"/>
      <c r="O129" s="1"/>
      <c r="P129" s="1"/>
      <c r="Q129" s="1"/>
      <c r="R129" s="1"/>
      <c r="S129" s="1"/>
      <c r="T129" s="1"/>
      <c r="U129" s="1"/>
      <c r="V129" s="1"/>
      <c r="W129" s="1"/>
      <c r="X129" s="1"/>
      <c r="Y129" s="1"/>
      <c r="Z129" s="1"/>
      <c r="AA129" s="1"/>
    </row>
    <row r="130" spans="1:27" s="276" customFormat="1" x14ac:dyDescent="0.2">
      <c r="A130" s="1"/>
      <c r="B130" s="293" t="s">
        <v>76</v>
      </c>
      <c r="C130" s="302">
        <f>F119</f>
        <v>236000</v>
      </c>
      <c r="D130" s="293"/>
      <c r="E130" s="293"/>
      <c r="F130" s="300"/>
      <c r="G130" s="300"/>
      <c r="H130" s="300"/>
      <c r="I130" s="1"/>
      <c r="J130" s="390" t="s">
        <v>1309</v>
      </c>
      <c r="K130" s="391"/>
      <c r="L130" s="391"/>
      <c r="M130" s="391"/>
      <c r="N130" s="292"/>
      <c r="O130" s="1"/>
      <c r="P130" s="1"/>
      <c r="Q130" s="1"/>
      <c r="R130" s="1"/>
      <c r="S130" s="1"/>
      <c r="T130" s="1"/>
      <c r="U130" s="1"/>
      <c r="V130" s="1"/>
      <c r="W130" s="1"/>
      <c r="X130" s="1"/>
      <c r="Y130" s="1"/>
      <c r="Z130" s="1"/>
      <c r="AA130" s="1"/>
    </row>
    <row r="131" spans="1:27" s="276" customFormat="1" x14ac:dyDescent="0.2">
      <c r="A131" s="1"/>
      <c r="B131" s="305" t="s">
        <v>1310</v>
      </c>
      <c r="C131" s="306">
        <v>30000</v>
      </c>
      <c r="D131" s="293"/>
      <c r="E131" s="293"/>
      <c r="F131" s="299" t="s">
        <v>526</v>
      </c>
      <c r="G131" s="300"/>
      <c r="H131" s="300"/>
      <c r="I131" s="1"/>
      <c r="J131" s="293"/>
      <c r="K131" s="293"/>
      <c r="L131" s="293"/>
      <c r="M131" s="293"/>
      <c r="N131" s="293"/>
      <c r="O131" s="1"/>
      <c r="P131" s="1"/>
      <c r="Q131" s="1"/>
      <c r="R131" s="1"/>
      <c r="S131" s="1"/>
      <c r="T131" s="1"/>
      <c r="U131" s="1"/>
      <c r="V131" s="1"/>
      <c r="W131" s="1"/>
      <c r="X131" s="1"/>
      <c r="Y131" s="1"/>
      <c r="Z131" s="1"/>
      <c r="AA131" s="1"/>
    </row>
    <row r="132" spans="1:27" s="276" customFormat="1" x14ac:dyDescent="0.2">
      <c r="A132" s="1"/>
      <c r="B132" s="293" t="s">
        <v>1295</v>
      </c>
      <c r="C132" s="307">
        <f>SUM(C129:C131)</f>
        <v>717000</v>
      </c>
      <c r="D132" s="293"/>
      <c r="E132" s="293"/>
      <c r="F132" s="300" t="s">
        <v>1311</v>
      </c>
      <c r="G132" s="303"/>
      <c r="H132" s="304">
        <f>G119</f>
        <v>300000</v>
      </c>
      <c r="I132" s="1"/>
      <c r="J132" s="293" t="s">
        <v>1312</v>
      </c>
      <c r="K132" s="293"/>
      <c r="L132" s="304">
        <f>M110</f>
        <v>700000</v>
      </c>
      <c r="M132" s="293"/>
      <c r="N132" s="293"/>
      <c r="O132" s="1"/>
      <c r="P132" s="1"/>
      <c r="Q132" s="1"/>
      <c r="R132" s="1"/>
      <c r="S132" s="1"/>
      <c r="T132" s="1"/>
      <c r="U132" s="1"/>
      <c r="V132" s="1"/>
      <c r="W132" s="1"/>
      <c r="X132" s="1"/>
      <c r="Y132" s="1"/>
      <c r="Z132" s="1"/>
      <c r="AA132" s="1"/>
    </row>
    <row r="133" spans="1:27" s="276" customFormat="1" x14ac:dyDescent="0.2">
      <c r="A133" s="1"/>
      <c r="B133" s="293"/>
      <c r="C133" s="293"/>
      <c r="D133" s="293"/>
      <c r="E133" s="293"/>
      <c r="F133" s="300"/>
      <c r="G133" s="300"/>
      <c r="H133" s="300"/>
      <c r="I133" s="1"/>
      <c r="J133" s="293" t="s">
        <v>1313</v>
      </c>
      <c r="K133" s="293"/>
      <c r="L133" s="304">
        <f>-L149</f>
        <v>-131000</v>
      </c>
      <c r="M133" s="293"/>
      <c r="N133" s="293"/>
      <c r="O133" s="1"/>
      <c r="P133" s="1"/>
      <c r="Q133" s="1"/>
      <c r="R133" s="1"/>
      <c r="S133" s="1"/>
      <c r="T133" s="1"/>
      <c r="U133" s="1"/>
      <c r="V133" s="1"/>
      <c r="W133" s="1"/>
      <c r="X133" s="1"/>
      <c r="Y133" s="1"/>
      <c r="Z133" s="1"/>
      <c r="AA133" s="1"/>
    </row>
    <row r="134" spans="1:27" s="276" customFormat="1" x14ac:dyDescent="0.2">
      <c r="A134" s="1"/>
      <c r="B134" s="292" t="s">
        <v>524</v>
      </c>
      <c r="C134" s="293"/>
      <c r="D134" s="293"/>
      <c r="E134" s="293"/>
      <c r="F134" s="299" t="s">
        <v>36</v>
      </c>
      <c r="G134" s="300"/>
      <c r="H134" s="300"/>
      <c r="I134" s="1"/>
      <c r="J134" s="293" t="s">
        <v>253</v>
      </c>
      <c r="K134" s="293"/>
      <c r="L134" s="308">
        <f>L132+L133</f>
        <v>569000</v>
      </c>
      <c r="M134" s="293"/>
      <c r="N134" s="293"/>
      <c r="O134" s="1"/>
      <c r="P134" s="1"/>
      <c r="Q134" s="1"/>
      <c r="R134" s="1"/>
      <c r="S134" s="1"/>
      <c r="T134" s="1"/>
      <c r="U134" s="1"/>
      <c r="V134" s="1"/>
      <c r="W134" s="1"/>
      <c r="X134" s="1"/>
      <c r="Y134" s="1"/>
      <c r="Z134" s="1"/>
      <c r="AA134" s="1"/>
    </row>
    <row r="135" spans="1:27" s="276" customFormat="1" x14ac:dyDescent="0.2">
      <c r="A135" s="1"/>
      <c r="B135" s="293" t="s">
        <v>1314</v>
      </c>
      <c r="C135" s="302">
        <f>D119</f>
        <v>85000</v>
      </c>
      <c r="D135" s="293"/>
      <c r="E135" s="293"/>
      <c r="F135" s="300" t="s">
        <v>490</v>
      </c>
      <c r="G135" s="300"/>
      <c r="H135" s="304">
        <f>J119</f>
        <v>60000</v>
      </c>
      <c r="I135" s="1"/>
      <c r="J135" s="293" t="s">
        <v>1315</v>
      </c>
      <c r="K135" s="293"/>
      <c r="L135" s="304">
        <f>N105+N115</f>
        <v>-44000</v>
      </c>
      <c r="M135" s="293"/>
      <c r="N135" s="293"/>
      <c r="O135" s="1"/>
      <c r="P135" s="1"/>
      <c r="Q135" s="1"/>
      <c r="R135" s="1"/>
      <c r="S135" s="1"/>
      <c r="T135" s="1"/>
      <c r="U135" s="1"/>
      <c r="V135" s="1"/>
      <c r="W135" s="1"/>
      <c r="X135" s="1"/>
      <c r="Y135" s="1"/>
      <c r="Z135" s="1"/>
      <c r="AA135" s="1"/>
    </row>
    <row r="136" spans="1:27" s="276" customFormat="1" x14ac:dyDescent="0.2">
      <c r="A136" s="1"/>
      <c r="B136" s="293" t="s">
        <v>1274</v>
      </c>
      <c r="C136" s="302">
        <f>E119</f>
        <v>70000</v>
      </c>
      <c r="D136" s="293"/>
      <c r="E136" s="293"/>
      <c r="F136" s="300" t="s">
        <v>1278</v>
      </c>
      <c r="G136" s="300"/>
      <c r="H136" s="304">
        <f>K119</f>
        <v>65000</v>
      </c>
      <c r="I136" s="1"/>
      <c r="J136" s="293" t="s">
        <v>256</v>
      </c>
      <c r="K136" s="293"/>
      <c r="L136" s="308">
        <f>L134+L135</f>
        <v>525000</v>
      </c>
      <c r="M136" s="293" t="s">
        <v>1316</v>
      </c>
      <c r="N136" s="293"/>
      <c r="O136" s="1"/>
      <c r="P136" s="1"/>
      <c r="Q136" s="1"/>
      <c r="R136" s="1"/>
      <c r="S136" s="1"/>
      <c r="T136" s="1"/>
      <c r="U136" s="1"/>
      <c r="V136" s="1"/>
      <c r="W136" s="1"/>
      <c r="X136" s="1"/>
      <c r="Y136" s="1"/>
      <c r="Z136" s="1"/>
      <c r="AA136" s="1"/>
    </row>
    <row r="137" spans="1:27" s="276" customFormat="1" x14ac:dyDescent="0.2">
      <c r="A137" s="1"/>
      <c r="B137" s="305" t="s">
        <v>1310</v>
      </c>
      <c r="C137" s="306">
        <v>30000</v>
      </c>
      <c r="D137" s="293"/>
      <c r="E137" s="293"/>
      <c r="F137" s="300" t="s">
        <v>1317</v>
      </c>
      <c r="G137" s="300"/>
      <c r="H137" s="304">
        <f>L128</f>
        <v>427000</v>
      </c>
      <c r="I137" s="1"/>
      <c r="J137" s="293" t="s">
        <v>257</v>
      </c>
      <c r="K137" s="293"/>
      <c r="L137" s="304">
        <f>N117</f>
        <v>-38000</v>
      </c>
      <c r="M137" s="293"/>
      <c r="N137" s="293"/>
      <c r="O137" s="1"/>
      <c r="P137" s="1"/>
      <c r="Q137" s="1"/>
      <c r="R137" s="1"/>
      <c r="S137" s="1"/>
      <c r="T137" s="1"/>
      <c r="U137" s="1"/>
      <c r="V137" s="1"/>
      <c r="W137" s="1"/>
      <c r="X137" s="1"/>
      <c r="Y137" s="1"/>
      <c r="Z137" s="1"/>
      <c r="AA137" s="1"/>
    </row>
    <row r="138" spans="1:27" s="276" customFormat="1" x14ac:dyDescent="0.2">
      <c r="A138" s="1"/>
      <c r="B138" s="293" t="s">
        <v>1295</v>
      </c>
      <c r="C138" s="307">
        <f>SUM(C135:C137)</f>
        <v>185000</v>
      </c>
      <c r="D138" s="293"/>
      <c r="E138" s="293"/>
      <c r="F138" s="300" t="s">
        <v>1295</v>
      </c>
      <c r="G138" s="303"/>
      <c r="H138" s="308">
        <f>SUM(H135:H137)</f>
        <v>552000</v>
      </c>
      <c r="I138" s="1"/>
      <c r="J138" s="293" t="s">
        <v>258</v>
      </c>
      <c r="K138" s="293"/>
      <c r="L138" s="308">
        <f>L136+L137</f>
        <v>487000</v>
      </c>
      <c r="M138" s="293" t="s">
        <v>1318</v>
      </c>
      <c r="N138" s="293"/>
      <c r="O138" s="1"/>
      <c r="P138" s="1"/>
      <c r="Q138" s="1"/>
      <c r="R138" s="1"/>
      <c r="S138" s="1"/>
      <c r="T138" s="1"/>
      <c r="U138" s="1"/>
      <c r="V138" s="1"/>
      <c r="W138" s="1"/>
      <c r="X138" s="1"/>
      <c r="Y138" s="1"/>
      <c r="Z138" s="1"/>
      <c r="AA138" s="1"/>
    </row>
    <row r="139" spans="1:27" s="276" customFormat="1" x14ac:dyDescent="0.2">
      <c r="A139" s="1"/>
      <c r="B139" s="293"/>
      <c r="C139" s="293"/>
      <c r="D139" s="293"/>
      <c r="E139" s="293"/>
      <c r="F139" s="309"/>
      <c r="G139" s="293"/>
      <c r="H139" s="293"/>
      <c r="I139" s="1"/>
      <c r="J139" s="1"/>
      <c r="K139" s="1"/>
      <c r="L139" s="1"/>
      <c r="M139" s="1"/>
      <c r="N139" s="1"/>
      <c r="O139" s="1"/>
      <c r="P139" s="1"/>
      <c r="Q139" s="1"/>
      <c r="R139" s="1"/>
      <c r="S139" s="1"/>
      <c r="T139" s="1"/>
      <c r="U139" s="1"/>
      <c r="V139" s="1"/>
      <c r="W139" s="1"/>
      <c r="X139" s="1"/>
      <c r="Y139" s="1"/>
      <c r="Z139" s="1"/>
      <c r="AA139" s="1"/>
    </row>
    <row r="140" spans="1:27" s="276" customFormat="1" x14ac:dyDescent="0.2">
      <c r="A140" s="1"/>
      <c r="B140" s="293"/>
      <c r="C140" s="293"/>
      <c r="D140" s="293"/>
      <c r="E140" s="293"/>
      <c r="F140" s="293"/>
      <c r="G140" s="293"/>
      <c r="H140" s="293"/>
      <c r="I140" s="1"/>
      <c r="J140" s="1"/>
      <c r="K140" s="1"/>
      <c r="L140" s="1"/>
      <c r="M140" s="1"/>
      <c r="N140" s="1"/>
      <c r="O140" s="1"/>
      <c r="P140" s="1"/>
      <c r="Q140" s="1"/>
      <c r="R140" s="1"/>
      <c r="S140" s="1"/>
      <c r="T140" s="1"/>
      <c r="U140" s="1"/>
      <c r="V140" s="1"/>
      <c r="W140" s="1"/>
      <c r="X140" s="1"/>
      <c r="Y140" s="1"/>
      <c r="Z140" s="1"/>
      <c r="AA140" s="1"/>
    </row>
    <row r="141" spans="1:27" s="276" customFormat="1" x14ac:dyDescent="0.2">
      <c r="A141" s="1"/>
      <c r="B141" s="309"/>
      <c r="C141" s="293"/>
      <c r="D141" s="293"/>
      <c r="E141" s="293"/>
      <c r="F141" s="293"/>
      <c r="G141" s="293"/>
      <c r="H141" s="293"/>
      <c r="I141" s="1"/>
      <c r="J141" s="1"/>
      <c r="K141" s="1"/>
      <c r="L141" s="1"/>
      <c r="M141" s="1"/>
      <c r="N141" s="1"/>
      <c r="O141" s="1"/>
      <c r="P141" s="1"/>
      <c r="Q141" s="1"/>
      <c r="R141" s="1"/>
      <c r="S141" s="1"/>
      <c r="T141" s="1"/>
      <c r="U141" s="1"/>
      <c r="V141" s="1"/>
      <c r="W141" s="1"/>
      <c r="X141" s="1"/>
      <c r="Y141" s="1"/>
      <c r="Z141" s="1"/>
      <c r="AA141" s="1"/>
    </row>
    <row r="142" spans="1:27" s="276" customFormat="1" x14ac:dyDescent="0.2">
      <c r="A142" s="1"/>
      <c r="B142" s="293"/>
      <c r="C142" s="293"/>
      <c r="D142" s="293"/>
      <c r="E142" s="293"/>
      <c r="F142" s="293"/>
      <c r="G142" s="293"/>
      <c r="H142" s="293"/>
      <c r="I142" s="1"/>
      <c r="J142" s="1" t="s">
        <v>1319</v>
      </c>
      <c r="K142" s="1"/>
      <c r="L142" s="1"/>
      <c r="M142" s="1"/>
      <c r="N142" s="1"/>
      <c r="O142" s="1"/>
      <c r="P142" s="1"/>
      <c r="Q142" s="1"/>
      <c r="R142" s="1"/>
      <c r="S142" s="1"/>
      <c r="T142" s="1"/>
      <c r="U142" s="1"/>
      <c r="V142" s="1"/>
      <c r="W142" s="1"/>
      <c r="X142" s="1"/>
      <c r="Y142" s="1"/>
      <c r="Z142" s="1"/>
      <c r="AA142" s="1"/>
    </row>
    <row r="143" spans="1:27" s="276" customFormat="1" x14ac:dyDescent="0.2">
      <c r="A143" s="1"/>
      <c r="B143" s="293"/>
      <c r="C143" s="293"/>
      <c r="D143" s="293"/>
      <c r="E143" s="293"/>
      <c r="F143" s="293"/>
      <c r="G143" s="293"/>
      <c r="H143" s="293"/>
      <c r="I143" s="1"/>
      <c r="J143" s="1" t="s">
        <v>1320</v>
      </c>
      <c r="K143" s="1"/>
      <c r="L143" s="285">
        <f>-N106</f>
        <v>30000</v>
      </c>
      <c r="M143" s="1"/>
      <c r="N143" s="1"/>
      <c r="O143" s="1"/>
      <c r="P143" s="1"/>
      <c r="Q143" s="1"/>
      <c r="R143" s="1"/>
      <c r="S143" s="1"/>
      <c r="T143" s="1"/>
      <c r="U143" s="1"/>
      <c r="V143" s="1"/>
      <c r="W143" s="1"/>
      <c r="X143" s="1"/>
      <c r="Y143" s="1"/>
      <c r="Z143" s="1"/>
      <c r="AA143" s="1"/>
    </row>
    <row r="144" spans="1:27" s="276" customFormat="1" x14ac:dyDescent="0.2">
      <c r="A144" s="1"/>
      <c r="B144" s="292" t="s">
        <v>278</v>
      </c>
      <c r="C144" s="310">
        <f>C132+C138</f>
        <v>902000</v>
      </c>
      <c r="D144" s="293"/>
      <c r="E144" s="293"/>
      <c r="F144" s="292" t="s">
        <v>631</v>
      </c>
      <c r="G144" s="293"/>
      <c r="H144" s="310">
        <f>H129+H132+H138</f>
        <v>902000</v>
      </c>
      <c r="I144" s="1"/>
      <c r="J144" s="1" t="s">
        <v>1321</v>
      </c>
      <c r="K144" s="1"/>
      <c r="L144" s="285">
        <f>-N107</f>
        <v>12000</v>
      </c>
      <c r="M144" s="1"/>
      <c r="N144" s="1"/>
      <c r="O144" s="1"/>
      <c r="P144" s="1"/>
      <c r="Q144" s="1"/>
      <c r="R144" s="1"/>
      <c r="S144" s="1"/>
      <c r="T144" s="1"/>
      <c r="U144" s="1"/>
      <c r="V144" s="1"/>
      <c r="W144" s="1"/>
      <c r="X144" s="1"/>
      <c r="Y144" s="1"/>
      <c r="Z144" s="1"/>
      <c r="AA144" s="1"/>
    </row>
    <row r="145" spans="1:27" s="276" customFormat="1" x14ac:dyDescent="0.2">
      <c r="A145" s="1"/>
      <c r="B145" s="1"/>
      <c r="C145" s="1"/>
      <c r="D145" s="1"/>
      <c r="E145" s="1"/>
      <c r="F145" s="1"/>
      <c r="G145" s="1"/>
      <c r="H145" s="1"/>
      <c r="I145" s="1"/>
      <c r="J145" s="1" t="s">
        <v>105</v>
      </c>
      <c r="K145" s="1"/>
      <c r="L145" s="285">
        <f>-N111</f>
        <v>14000</v>
      </c>
      <c r="M145" s="1"/>
      <c r="N145" s="1"/>
      <c r="O145" s="1"/>
      <c r="P145" s="1"/>
      <c r="Q145" s="1"/>
      <c r="R145" s="1"/>
      <c r="S145" s="1"/>
      <c r="T145" s="1"/>
      <c r="U145" s="1"/>
      <c r="V145" s="1"/>
      <c r="W145" s="1"/>
      <c r="X145" s="1"/>
      <c r="Y145" s="1"/>
      <c r="Z145" s="1"/>
      <c r="AA145" s="1"/>
    </row>
    <row r="146" spans="1:27" s="276" customFormat="1" x14ac:dyDescent="0.2">
      <c r="A146" s="1"/>
      <c r="B146" s="1"/>
      <c r="C146" s="1"/>
      <c r="D146" s="1"/>
      <c r="E146" s="1"/>
      <c r="F146" s="1"/>
      <c r="G146" s="1"/>
      <c r="H146" s="1"/>
      <c r="I146" s="1"/>
      <c r="J146" s="1" t="s">
        <v>1322</v>
      </c>
      <c r="K146" s="1"/>
      <c r="L146" s="285">
        <f>-N112</f>
        <v>22000</v>
      </c>
      <c r="M146" s="1"/>
      <c r="N146" s="1"/>
      <c r="O146" s="1"/>
      <c r="P146" s="1"/>
      <c r="Q146" s="1"/>
      <c r="R146" s="1"/>
      <c r="S146" s="1"/>
      <c r="T146" s="1"/>
      <c r="U146" s="1"/>
      <c r="V146" s="1"/>
      <c r="W146" s="1"/>
      <c r="X146" s="1"/>
      <c r="Y146" s="1"/>
      <c r="Z146" s="1"/>
      <c r="AA146" s="1"/>
    </row>
    <row r="147" spans="1:27" s="276" customFormat="1" x14ac:dyDescent="0.2">
      <c r="A147" s="1"/>
      <c r="B147" s="1"/>
      <c r="C147" s="1"/>
      <c r="D147" s="1"/>
      <c r="E147" s="1"/>
      <c r="F147" s="1"/>
      <c r="G147" s="1"/>
      <c r="H147" s="1"/>
      <c r="I147" s="1"/>
      <c r="J147" s="1" t="s">
        <v>1323</v>
      </c>
      <c r="K147" s="1"/>
      <c r="L147" s="285">
        <f>-N113</f>
        <v>34000</v>
      </c>
      <c r="M147" s="1"/>
      <c r="N147" s="1"/>
      <c r="O147" s="1"/>
      <c r="P147" s="1"/>
      <c r="Q147" s="1"/>
      <c r="R147" s="1"/>
      <c r="S147" s="1"/>
      <c r="T147" s="1"/>
      <c r="U147" s="1"/>
      <c r="V147" s="1"/>
      <c r="W147" s="1"/>
      <c r="X147" s="1"/>
      <c r="Y147" s="1"/>
      <c r="Z147" s="1"/>
      <c r="AA147" s="1"/>
    </row>
    <row r="148" spans="1:27" s="276" customFormat="1" x14ac:dyDescent="0.2">
      <c r="A148" s="1"/>
      <c r="B148" s="1"/>
      <c r="C148" s="1"/>
      <c r="D148" s="1"/>
      <c r="E148" s="1"/>
      <c r="F148" s="1"/>
      <c r="G148" s="1"/>
      <c r="H148" s="1"/>
      <c r="I148" s="1"/>
      <c r="J148" s="1" t="s">
        <v>1293</v>
      </c>
      <c r="K148" s="1"/>
      <c r="L148" s="285">
        <f>-N116</f>
        <v>19000</v>
      </c>
      <c r="M148" s="1" t="s">
        <v>1324</v>
      </c>
      <c r="N148" s="1"/>
      <c r="O148" s="1"/>
      <c r="P148" s="1"/>
      <c r="Q148" s="1"/>
      <c r="R148" s="1"/>
      <c r="S148" s="1"/>
      <c r="T148" s="1"/>
      <c r="U148" s="1"/>
      <c r="V148" s="1"/>
      <c r="W148" s="1"/>
      <c r="X148" s="1"/>
      <c r="Y148" s="1"/>
      <c r="Z148" s="1"/>
      <c r="AA148" s="1"/>
    </row>
    <row r="149" spans="1:27" s="276" customFormat="1" x14ac:dyDescent="0.2">
      <c r="A149" s="1"/>
      <c r="B149" s="1"/>
      <c r="C149" s="1"/>
      <c r="D149" s="1"/>
      <c r="E149" s="1"/>
      <c r="F149" s="1"/>
      <c r="G149" s="1"/>
      <c r="H149" s="1"/>
      <c r="I149" s="1"/>
      <c r="J149" s="1" t="s">
        <v>1295</v>
      </c>
      <c r="K149" s="1"/>
      <c r="L149" s="311">
        <f>SUM(L143:L148)</f>
        <v>131000</v>
      </c>
      <c r="M149" s="1"/>
      <c r="N149" s="1"/>
      <c r="O149" s="1"/>
      <c r="P149" s="1"/>
      <c r="Q149" s="1"/>
      <c r="R149" s="1"/>
      <c r="S149" s="1"/>
      <c r="T149" s="1"/>
      <c r="U149" s="1"/>
      <c r="V149" s="1"/>
      <c r="W149" s="1"/>
      <c r="X149" s="1"/>
      <c r="Y149" s="1"/>
      <c r="Z149" s="1"/>
      <c r="AA149" s="1"/>
    </row>
    <row r="150" spans="1:27" s="276" customForma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76" customFormat="1" x14ac:dyDescent="0.2">
      <c r="A151" s="3"/>
      <c r="B151" s="1"/>
      <c r="C151" s="1"/>
      <c r="D151" s="1"/>
      <c r="E151" s="1"/>
      <c r="F151" s="1"/>
      <c r="G151" s="1"/>
      <c r="H151" s="1"/>
      <c r="I151" s="1"/>
      <c r="J151" s="3" t="s">
        <v>1325</v>
      </c>
      <c r="K151" s="1"/>
      <c r="L151" s="1"/>
      <c r="M151" s="1"/>
      <c r="N151" s="1"/>
      <c r="O151" s="1"/>
      <c r="P151" s="1"/>
      <c r="Q151" s="1"/>
      <c r="R151" s="1"/>
      <c r="S151" s="1"/>
      <c r="T151" s="1"/>
      <c r="U151" s="1"/>
      <c r="V151" s="1"/>
      <c r="W151" s="1"/>
      <c r="X151" s="1"/>
      <c r="Y151" s="1"/>
      <c r="Z151" s="1"/>
      <c r="AA151" s="1"/>
    </row>
    <row r="152" spans="1:27" s="276" customFormat="1" x14ac:dyDescent="0.2">
      <c r="A152" s="3"/>
      <c r="B152" s="1"/>
      <c r="C152" s="1"/>
      <c r="D152" s="1"/>
      <c r="E152" s="1"/>
      <c r="F152" s="1"/>
      <c r="G152" s="1"/>
      <c r="H152" s="1"/>
      <c r="I152" s="1"/>
      <c r="J152" s="1" t="s">
        <v>1326</v>
      </c>
      <c r="K152" s="1"/>
      <c r="L152" s="1"/>
      <c r="M152" s="1"/>
      <c r="N152" s="1"/>
      <c r="O152" s="1"/>
      <c r="P152" s="1"/>
      <c r="Q152" s="1"/>
      <c r="R152" s="1"/>
      <c r="S152" s="1"/>
      <c r="T152" s="1"/>
      <c r="U152" s="1"/>
      <c r="V152" s="1"/>
      <c r="W152" s="1"/>
      <c r="X152" s="1"/>
      <c r="Y152" s="1"/>
      <c r="Z152" s="1"/>
      <c r="AA152" s="1"/>
    </row>
    <row r="153" spans="1:27" s="276" customFormat="1" x14ac:dyDescent="0.2">
      <c r="A153" s="3"/>
      <c r="B153" s="1"/>
      <c r="C153" s="1"/>
      <c r="D153" s="1"/>
      <c r="E153" s="1"/>
      <c r="F153" s="1"/>
      <c r="G153" s="1"/>
      <c r="H153" s="1"/>
      <c r="I153" s="1"/>
      <c r="J153" s="1" t="s">
        <v>1327</v>
      </c>
      <c r="K153" s="1"/>
      <c r="L153" s="1"/>
      <c r="M153" s="1"/>
      <c r="N153" s="1"/>
      <c r="O153" s="1"/>
      <c r="P153" s="1"/>
      <c r="Q153" s="1"/>
      <c r="R153" s="1"/>
      <c r="S153" s="1"/>
      <c r="T153" s="1"/>
      <c r="U153" s="1"/>
      <c r="V153" s="1"/>
      <c r="W153" s="1"/>
      <c r="X153" s="1"/>
      <c r="Y153" s="1"/>
      <c r="Z153" s="1"/>
      <c r="AA153" s="1"/>
    </row>
    <row r="154" spans="1:27" s="276" customFormat="1" x14ac:dyDescent="0.2">
      <c r="A154" s="3"/>
      <c r="B154" s="1"/>
      <c r="C154" s="1"/>
      <c r="D154" s="1"/>
      <c r="E154" s="1"/>
      <c r="F154" s="1"/>
      <c r="G154" s="1"/>
      <c r="H154" s="1"/>
      <c r="I154" s="1"/>
      <c r="J154" s="3"/>
      <c r="K154" s="1"/>
      <c r="L154" s="1"/>
      <c r="M154" s="1"/>
      <c r="N154" s="1"/>
      <c r="O154" s="1"/>
      <c r="P154" s="1"/>
      <c r="Q154" s="1"/>
      <c r="R154" s="1"/>
      <c r="S154" s="1"/>
      <c r="T154" s="1"/>
      <c r="U154" s="1"/>
      <c r="V154" s="1"/>
      <c r="W154" s="1"/>
      <c r="X154" s="1"/>
      <c r="Y154" s="1"/>
      <c r="Z154" s="1"/>
      <c r="AA154" s="1"/>
    </row>
    <row r="155" spans="1:27" s="276" customFormat="1" x14ac:dyDescent="0.2">
      <c r="A155" s="3" t="s">
        <v>1328</v>
      </c>
      <c r="B155" s="1"/>
      <c r="C155" s="1"/>
      <c r="D155" s="1"/>
      <c r="E155" s="1"/>
      <c r="F155" s="1"/>
      <c r="G155" s="1"/>
      <c r="H155" s="1"/>
      <c r="I155" s="1"/>
      <c r="K155" s="1"/>
      <c r="L155" s="1"/>
      <c r="M155" s="1"/>
      <c r="N155" s="1"/>
      <c r="O155" s="1"/>
      <c r="P155" s="1"/>
      <c r="Q155" s="1"/>
      <c r="R155" s="1"/>
      <c r="S155" s="1"/>
      <c r="T155" s="1"/>
      <c r="U155" s="1"/>
      <c r="V155" s="1"/>
      <c r="W155" s="1"/>
      <c r="X155" s="1"/>
      <c r="Y155" s="1"/>
      <c r="Z155" s="1"/>
      <c r="AA155" s="1"/>
    </row>
    <row r="156" spans="1:27" s="276" customFormat="1" x14ac:dyDescent="0.2">
      <c r="A156" s="1" t="s">
        <v>1329</v>
      </c>
      <c r="B156" s="1"/>
      <c r="C156" s="1"/>
      <c r="D156" s="1"/>
      <c r="E156" s="1"/>
      <c r="F156" s="1"/>
      <c r="G156" s="1"/>
      <c r="H156" s="1"/>
      <c r="I156" s="1"/>
      <c r="K156" s="1"/>
      <c r="L156" s="1"/>
      <c r="M156" s="1"/>
      <c r="N156" s="1"/>
      <c r="O156" s="1"/>
      <c r="P156" s="1"/>
      <c r="Q156" s="1"/>
      <c r="R156" s="1"/>
      <c r="S156" s="1"/>
      <c r="T156" s="1"/>
      <c r="U156" s="1"/>
      <c r="V156" s="1"/>
      <c r="W156" s="1"/>
      <c r="X156" s="1"/>
      <c r="Y156" s="1"/>
      <c r="Z156" s="1"/>
      <c r="AA156" s="1"/>
    </row>
    <row r="157" spans="1:27" s="276" customFormat="1" x14ac:dyDescent="0.2">
      <c r="A157" s="1" t="s">
        <v>1330</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row>
    <row r="158" spans="1:27" s="276" customFormat="1" x14ac:dyDescent="0.2">
      <c r="A158" s="1"/>
      <c r="B158" s="1"/>
      <c r="C158" s="1"/>
      <c r="D158" s="1"/>
      <c r="E158" s="1"/>
      <c r="F158" s="1"/>
      <c r="G158" s="1"/>
      <c r="H158" s="1"/>
      <c r="I158" s="1"/>
      <c r="K158" s="1"/>
      <c r="L158" s="1"/>
      <c r="M158" s="1"/>
      <c r="N158" s="1"/>
      <c r="O158" s="1"/>
      <c r="P158" s="1"/>
      <c r="Q158" s="1"/>
      <c r="R158" s="1"/>
      <c r="S158" s="1"/>
      <c r="T158" s="1"/>
      <c r="U158" s="1"/>
      <c r="V158" s="1"/>
      <c r="W158" s="1"/>
      <c r="X158" s="1"/>
      <c r="Y158" s="1"/>
      <c r="Z158" s="1"/>
      <c r="AA158" s="1"/>
    </row>
    <row r="159" spans="1:27" s="276" customFormat="1" x14ac:dyDescent="0.2">
      <c r="A159" s="1" t="s">
        <v>1331</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row>
    <row r="160" spans="1:27" s="276" customFormat="1" x14ac:dyDescent="0.2">
      <c r="A160" s="1" t="s">
        <v>1332</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row>
    <row r="161" spans="1:27" s="276" customFormat="1" x14ac:dyDescent="0.2">
      <c r="A161" s="1"/>
      <c r="B161" s="1"/>
      <c r="C161" s="1"/>
      <c r="D161" s="1"/>
      <c r="E161" s="1"/>
      <c r="F161" s="1"/>
      <c r="G161" s="1"/>
      <c r="H161" s="1"/>
      <c r="I161" s="1"/>
      <c r="K161" s="1"/>
      <c r="L161" s="1"/>
      <c r="M161" s="1"/>
      <c r="N161" s="1"/>
      <c r="O161" s="1"/>
      <c r="P161" s="1"/>
      <c r="Q161" s="1"/>
      <c r="R161" s="1"/>
      <c r="S161" s="1"/>
      <c r="T161" s="1"/>
      <c r="U161" s="1"/>
      <c r="V161" s="1"/>
      <c r="W161" s="1"/>
      <c r="X161" s="1"/>
      <c r="Y161" s="1"/>
      <c r="Z161" s="1"/>
      <c r="AA161" s="1"/>
    </row>
    <row r="162" spans="1:27" s="276" customFormat="1" x14ac:dyDescent="0.2">
      <c r="A162" s="1" t="s">
        <v>1333</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row>
    <row r="163" spans="1:27" s="276" customFormat="1" x14ac:dyDescent="0.2">
      <c r="A163" s="1"/>
      <c r="B163" s="1"/>
      <c r="C163" s="1"/>
      <c r="D163" s="1"/>
      <c r="E163" s="1"/>
      <c r="F163" s="1"/>
      <c r="G163" s="1"/>
      <c r="H163" s="1"/>
      <c r="I163" s="1"/>
      <c r="K163" s="1"/>
      <c r="L163" s="1"/>
      <c r="M163" s="1"/>
      <c r="N163" s="1"/>
      <c r="O163" s="1"/>
      <c r="P163" s="1"/>
      <c r="Q163" s="1"/>
      <c r="R163" s="1"/>
      <c r="S163" s="1"/>
      <c r="T163" s="1"/>
      <c r="U163" s="1"/>
      <c r="V163" s="1"/>
      <c r="W163" s="1"/>
      <c r="X163" s="1"/>
      <c r="Y163" s="1"/>
      <c r="Z163" s="1"/>
      <c r="AA163" s="1"/>
    </row>
    <row r="164" spans="1:27" s="276" customFormat="1" x14ac:dyDescent="0.2">
      <c r="A164" s="1" t="s">
        <v>1176</v>
      </c>
      <c r="B164" s="1" t="s">
        <v>1334</v>
      </c>
      <c r="C164" s="1"/>
      <c r="D164" s="1"/>
      <c r="E164" s="1"/>
      <c r="F164" s="1"/>
      <c r="G164" s="72">
        <v>60000</v>
      </c>
      <c r="H164" s="1"/>
      <c r="I164" s="1"/>
      <c r="K164" s="1"/>
      <c r="L164" s="1"/>
      <c r="M164" s="1"/>
      <c r="N164" s="1"/>
      <c r="O164" s="1"/>
      <c r="P164" s="1"/>
      <c r="Q164" s="1"/>
      <c r="R164" s="1"/>
      <c r="S164" s="1"/>
      <c r="T164" s="1"/>
      <c r="U164" s="1"/>
      <c r="V164" s="1"/>
      <c r="W164" s="1"/>
      <c r="X164" s="1"/>
      <c r="Y164" s="1"/>
      <c r="Z164" s="1"/>
      <c r="AA164" s="1"/>
    </row>
    <row r="165" spans="1:27" s="276" customFormat="1" ht="17" thickBot="1" x14ac:dyDescent="0.25">
      <c r="A165" s="3"/>
      <c r="B165" s="1" t="s">
        <v>1335</v>
      </c>
      <c r="C165" s="1"/>
      <c r="D165" s="1"/>
      <c r="E165" s="1"/>
      <c r="F165" s="1"/>
      <c r="G165" s="72">
        <f>G166-G164</f>
        <v>65000</v>
      </c>
      <c r="H165" s="1"/>
      <c r="I165" s="1"/>
      <c r="K165" s="1"/>
      <c r="L165" s="1"/>
      <c r="M165" s="1"/>
      <c r="N165" s="1"/>
      <c r="O165" s="1"/>
      <c r="P165" s="1"/>
      <c r="Q165" s="1"/>
      <c r="R165" s="1"/>
      <c r="S165" s="1"/>
      <c r="T165" s="1"/>
      <c r="U165" s="1"/>
      <c r="V165" s="1"/>
      <c r="W165" s="1"/>
      <c r="X165" s="1"/>
      <c r="Y165" s="1"/>
      <c r="Z165" s="1"/>
      <c r="AA165" s="1"/>
    </row>
    <row r="166" spans="1:27" s="276" customFormat="1" ht="17" thickBot="1" x14ac:dyDescent="0.25">
      <c r="A166" s="3"/>
      <c r="B166" s="1" t="s">
        <v>1336</v>
      </c>
      <c r="C166" s="1"/>
      <c r="D166" s="1"/>
      <c r="E166" s="1"/>
      <c r="F166" s="1"/>
      <c r="G166" s="55">
        <v>125000</v>
      </c>
      <c r="H166" s="1"/>
      <c r="I166" s="1"/>
      <c r="K166" s="1"/>
      <c r="L166" s="1"/>
      <c r="M166" s="1"/>
      <c r="N166" s="1"/>
      <c r="O166" s="1"/>
      <c r="P166" s="1"/>
      <c r="Q166" s="1"/>
      <c r="R166" s="1"/>
      <c r="S166" s="1"/>
      <c r="T166" s="1"/>
      <c r="U166" s="1"/>
      <c r="V166" s="1"/>
      <c r="W166" s="1"/>
      <c r="X166" s="1"/>
      <c r="Y166" s="1"/>
      <c r="Z166" s="1"/>
      <c r="AA166" s="1"/>
    </row>
    <row r="167" spans="1:27" s="276" customFormat="1" x14ac:dyDescent="0.2">
      <c r="A167" s="3"/>
      <c r="B167" s="1"/>
      <c r="C167" s="1"/>
      <c r="D167" s="1"/>
      <c r="E167" s="1"/>
      <c r="F167" s="1"/>
      <c r="G167" s="1"/>
      <c r="H167" s="1"/>
      <c r="I167" s="1"/>
      <c r="K167" s="1"/>
      <c r="L167" s="1"/>
      <c r="M167" s="1"/>
      <c r="N167" s="1"/>
      <c r="O167" s="1"/>
      <c r="P167" s="1"/>
      <c r="Q167" s="1"/>
      <c r="R167" s="1"/>
      <c r="S167" s="1"/>
      <c r="T167" s="1"/>
      <c r="U167" s="1"/>
      <c r="V167" s="1"/>
      <c r="W167" s="1"/>
      <c r="X167" s="1"/>
      <c r="Y167" s="1"/>
      <c r="Z167" s="1"/>
      <c r="AA167" s="1"/>
    </row>
    <row r="168" spans="1:27" s="276" customFormat="1" x14ac:dyDescent="0.2">
      <c r="A168" s="1" t="s">
        <v>1337</v>
      </c>
      <c r="B168" s="1"/>
      <c r="C168" s="1"/>
      <c r="D168" s="1"/>
      <c r="E168" s="1"/>
      <c r="F168" s="1"/>
      <c r="G168" s="1"/>
      <c r="H168" s="1"/>
      <c r="I168" s="1"/>
      <c r="K168" s="1"/>
      <c r="L168" s="1"/>
      <c r="M168" s="1"/>
      <c r="N168" s="1"/>
      <c r="O168" s="1"/>
      <c r="P168" s="1"/>
      <c r="Q168" s="1"/>
      <c r="R168" s="1"/>
      <c r="S168" s="1"/>
      <c r="T168" s="1"/>
      <c r="U168" s="1"/>
      <c r="V168" s="1"/>
      <c r="W168" s="1"/>
      <c r="X168" s="1"/>
      <c r="Y168" s="1"/>
      <c r="Z168" s="1"/>
      <c r="AA168" s="1"/>
    </row>
    <row r="169" spans="1:27" s="276" customFormat="1" x14ac:dyDescent="0.2">
      <c r="A169" s="1" t="s">
        <v>1338</v>
      </c>
      <c r="B169" s="1"/>
      <c r="C169" s="1"/>
      <c r="D169" s="1"/>
      <c r="E169" s="1"/>
      <c r="F169" s="1"/>
      <c r="G169" s="1"/>
      <c r="H169" s="1"/>
      <c r="I169" s="1"/>
      <c r="K169" s="1"/>
      <c r="L169" s="1"/>
      <c r="M169" s="1"/>
      <c r="N169" s="1"/>
      <c r="O169" s="1"/>
      <c r="P169" s="1"/>
      <c r="Q169" s="1"/>
      <c r="R169" s="1"/>
      <c r="S169" s="1"/>
      <c r="T169" s="1"/>
      <c r="U169" s="1"/>
      <c r="V169" s="1"/>
      <c r="W169" s="1"/>
      <c r="X169" s="1"/>
      <c r="Y169" s="1"/>
      <c r="Z169" s="1"/>
      <c r="AA169" s="1"/>
    </row>
    <row r="170" spans="1:27" s="276" customFormat="1" x14ac:dyDescent="0.2">
      <c r="A170" s="1" t="s">
        <v>1339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76" customFormat="1" x14ac:dyDescent="0.2">
      <c r="A171" s="1" t="s">
        <v>1340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s="276" customFormat="1" x14ac:dyDescent="0.2">
      <c r="A172" s="1" t="s">
        <v>1341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s="276" customFormat="1" x14ac:dyDescent="0.2">
      <c r="A173" s="1"/>
      <c r="B173" s="1" t="s">
        <v>1342</v>
      </c>
      <c r="C173" s="1">
        <v>90000</v>
      </c>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s="276" customFormat="1" x14ac:dyDescent="0.2">
      <c r="A174" s="1"/>
      <c r="B174" s="1" t="s">
        <v>1343</v>
      </c>
      <c r="C174" s="1">
        <v>-30000</v>
      </c>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s="276" customFormat="1" x14ac:dyDescent="0.2">
      <c r="A175" s="1"/>
      <c r="B175" s="1" t="s">
        <v>1344</v>
      </c>
      <c r="C175" s="1">
        <f>C173+C174</f>
        <v>60000</v>
      </c>
      <c r="D175" s="1" t="s">
        <v>1345</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s="276" customForma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s="276" customFormat="1" x14ac:dyDescent="0.2">
      <c r="A177" s="1" t="s">
        <v>1346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s="276" customFormat="1" x14ac:dyDescent="0.2">
      <c r="A178" s="1" t="s">
        <v>1347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s="276" customFormat="1" x14ac:dyDescent="0.2">
      <c r="A179" s="1" t="s">
        <v>1348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s="276" customForma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s="276" customFormat="1" x14ac:dyDescent="0.2">
      <c r="A181" s="3" t="s">
        <v>1349</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76" customForma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s="276" customFormat="1" x14ac:dyDescent="0.2">
      <c r="A183" s="1" t="s">
        <v>1350</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s="276" customFormat="1" x14ac:dyDescent="0.2">
      <c r="A184" s="1" t="s">
        <v>1351</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s="276" customFormat="1" x14ac:dyDescent="0.2">
      <c r="A185" s="1" t="s">
        <v>1352</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s="276" customForma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s="276" customFormat="1" x14ac:dyDescent="0.2">
      <c r="A187" s="1" t="s">
        <v>1353</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s="276" customFormat="1" x14ac:dyDescent="0.2">
      <c r="A188" s="1" t="s">
        <v>1354</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s="276" customFormat="1" x14ac:dyDescent="0.2">
      <c r="A189" s="1" t="s">
        <v>1355</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s="276" customForma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s="276" customFormat="1" x14ac:dyDescent="0.2">
      <c r="A191" s="1" t="s">
        <v>1356</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s="276" customFormat="1" x14ac:dyDescent="0.2">
      <c r="A192" s="1" t="s">
        <v>1357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s="276" customFormat="1" x14ac:dyDescent="0.2">
      <c r="A193" s="1" t="s">
        <v>1358</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s="276" customForma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s="276" customFormat="1" x14ac:dyDescent="0.2">
      <c r="A195" s="1" t="s">
        <v>1359</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s="276" customFormat="1" x14ac:dyDescent="0.2">
      <c r="A196" s="1" t="s">
        <v>1360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s="276" customFormat="1" x14ac:dyDescent="0.2">
      <c r="A197" s="1" t="s">
        <v>1361</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s="276" customFormat="1" x14ac:dyDescent="0.2">
      <c r="A198" s="1" t="s">
        <v>1362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s="276" customFormat="1" x14ac:dyDescent="0.2">
      <c r="A199" s="1" t="s">
        <v>1280</v>
      </c>
      <c r="B199" s="1" t="s">
        <v>1363</v>
      </c>
      <c r="D199" s="285">
        <v>700000</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s="276" customFormat="1" x14ac:dyDescent="0.2">
      <c r="A200" s="1" t="s">
        <v>80</v>
      </c>
      <c r="B200" s="1" t="s">
        <v>1364</v>
      </c>
      <c r="C200" s="1"/>
      <c r="D200" s="285">
        <f>700000*0.6</f>
        <v>420000</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s="276" customFormat="1" x14ac:dyDescent="0.2">
      <c r="A201" s="1" t="s">
        <v>76</v>
      </c>
      <c r="B201" s="1" t="s">
        <v>1365</v>
      </c>
      <c r="C201" s="1"/>
      <c r="D201" s="285">
        <f>D199-D200</f>
        <v>280000</v>
      </c>
      <c r="E201" s="1"/>
      <c r="F201" s="1" t="s">
        <v>901</v>
      </c>
      <c r="G201" s="1"/>
      <c r="H201" s="1"/>
      <c r="I201" s="1"/>
      <c r="J201" s="1"/>
      <c r="K201" s="1"/>
      <c r="L201" s="1"/>
      <c r="M201" s="1"/>
      <c r="N201" s="1"/>
      <c r="O201" s="1"/>
      <c r="P201" s="1"/>
      <c r="Q201" s="1"/>
      <c r="R201" s="1"/>
      <c r="S201" s="1"/>
      <c r="T201" s="1"/>
      <c r="U201" s="1"/>
      <c r="V201" s="1"/>
      <c r="W201" s="1"/>
      <c r="X201" s="1"/>
      <c r="Y201" s="1"/>
      <c r="Z201" s="1"/>
      <c r="AA201" s="1"/>
    </row>
    <row r="202" spans="1:27" s="276" customForma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s="276" customFormat="1" x14ac:dyDescent="0.2">
      <c r="A203" s="190" t="s">
        <v>1366</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s="276" customFormat="1" x14ac:dyDescent="0.2">
      <c r="A204" s="1" t="s">
        <v>1367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s="276" customFormat="1" x14ac:dyDescent="0.2">
      <c r="A205" s="1" t="s">
        <v>1368</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s="276" customFormat="1" x14ac:dyDescent="0.2">
      <c r="A206" s="1" t="s">
        <v>1369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s="276" customFormat="1" x14ac:dyDescent="0.2">
      <c r="A207" s="1" t="s">
        <v>1370</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s="276" customFormat="1" x14ac:dyDescent="0.2">
      <c r="A208" s="1" t="s">
        <v>1371</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s="276" customFormat="1" x14ac:dyDescent="0.2">
      <c r="A209" s="1" t="s">
        <v>1372</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s="276" customForma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s="276" customFormat="1" x14ac:dyDescent="0.2">
      <c r="A211" s="1"/>
      <c r="B211" s="1" t="s">
        <v>1373</v>
      </c>
      <c r="C211" s="1">
        <v>60000</v>
      </c>
      <c r="D211" s="1" t="s">
        <v>1374</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s="276" customFormat="1" x14ac:dyDescent="0.2">
      <c r="A212" s="1"/>
      <c r="B212" s="1" t="s">
        <v>1375</v>
      </c>
      <c r="C212" s="1">
        <v>40000</v>
      </c>
      <c r="D212" s="1" t="s">
        <v>1376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s="276" customFormat="1" x14ac:dyDescent="0.2">
      <c r="A213" s="1"/>
      <c r="B213" s="1" t="s">
        <v>1377</v>
      </c>
      <c r="C213" s="1">
        <v>20000</v>
      </c>
      <c r="D213" s="1" t="s">
        <v>528</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s="276" customForma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s="276" customFormat="1" x14ac:dyDescent="0.2">
      <c r="A215" s="3" t="s">
        <v>1378</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s="276" customFormat="1" x14ac:dyDescent="0.2">
      <c r="A216" s="1" t="s">
        <v>1379</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s="276" customFormat="1" x14ac:dyDescent="0.2">
      <c r="A217" s="1" t="s">
        <v>1380</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s="276" customFormat="1" x14ac:dyDescent="0.2">
      <c r="A218" s="1" t="s">
        <v>1381</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s="276" customFormat="1" x14ac:dyDescent="0.2">
      <c r="A219" s="1" t="s">
        <v>1382</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s="276" customFormat="1" x14ac:dyDescent="0.2">
      <c r="A220" s="1" t="s">
        <v>1383</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s="276" customForma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s="276" customFormat="1" x14ac:dyDescent="0.2">
      <c r="A222" s="1" t="s">
        <v>1384</v>
      </c>
      <c r="B222" s="1" t="s">
        <v>1385</v>
      </c>
      <c r="C222" s="1" t="s">
        <v>1283</v>
      </c>
      <c r="D222" s="1">
        <v>60000</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s="276" customFormat="1" x14ac:dyDescent="0.2">
      <c r="A223" s="1"/>
      <c r="B223" s="1" t="s">
        <v>1386</v>
      </c>
      <c r="C223" s="1" t="s">
        <v>1387</v>
      </c>
      <c r="D223" s="1">
        <v>30000</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s="276" customFormat="1" x14ac:dyDescent="0.2">
      <c r="A224" s="1"/>
      <c r="B224" s="1" t="s">
        <v>1388</v>
      </c>
      <c r="C224" s="1" t="s">
        <v>1389</v>
      </c>
      <c r="D224" s="1">
        <v>30000</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s="276" customForma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s="276" customFormat="1" x14ac:dyDescent="0.2">
      <c r="A226" s="1"/>
      <c r="B226" s="1" t="s">
        <v>1390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s="276" customFormat="1" x14ac:dyDescent="0.2">
      <c r="A227" s="1"/>
      <c r="B227" s="1" t="s">
        <v>1391</v>
      </c>
      <c r="C227" s="1"/>
      <c r="D227" s="1"/>
      <c r="E227" s="1"/>
      <c r="F227" s="1">
        <f>D223</f>
        <v>30000</v>
      </c>
      <c r="G227" s="1"/>
      <c r="H227" s="1"/>
      <c r="I227" s="1"/>
      <c r="J227" s="1"/>
      <c r="K227" s="1"/>
      <c r="L227" s="1"/>
      <c r="M227" s="1"/>
      <c r="N227" s="1"/>
      <c r="O227" s="1"/>
      <c r="P227" s="1"/>
      <c r="Q227" s="1"/>
      <c r="R227" s="1"/>
      <c r="S227" s="1"/>
      <c r="T227" s="1"/>
      <c r="U227" s="1"/>
      <c r="V227" s="1"/>
      <c r="W227" s="1"/>
      <c r="X227" s="1"/>
      <c r="Y227" s="1"/>
      <c r="Z227" s="1"/>
      <c r="AA227" s="1"/>
    </row>
    <row r="228" spans="1:27" s="276" customFormat="1" x14ac:dyDescent="0.2">
      <c r="A228" s="1"/>
      <c r="B228" s="1" t="s">
        <v>1392</v>
      </c>
      <c r="C228" s="1"/>
      <c r="D228" s="1"/>
      <c r="E228" s="1"/>
      <c r="F228" s="1">
        <f>D224</f>
        <v>30000</v>
      </c>
      <c r="G228" s="1"/>
      <c r="H228" s="1"/>
      <c r="I228" s="1"/>
      <c r="J228" s="1"/>
      <c r="K228" s="1"/>
      <c r="L228" s="1"/>
      <c r="M228" s="1"/>
      <c r="N228" s="1"/>
      <c r="O228" s="1"/>
      <c r="P228" s="1"/>
      <c r="Q228" s="1"/>
      <c r="R228" s="1"/>
      <c r="S228" s="1"/>
      <c r="T228" s="1"/>
      <c r="U228" s="1"/>
      <c r="V228" s="1"/>
      <c r="W228" s="1"/>
      <c r="X228" s="1"/>
      <c r="Y228" s="1"/>
      <c r="Z228" s="1"/>
      <c r="AA228" s="1"/>
    </row>
    <row r="229" spans="1:27" s="276" customForma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s="276" customFormat="1" x14ac:dyDescent="0.2">
      <c r="A230" s="3" t="s">
        <v>1393</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s="276" customFormat="1" x14ac:dyDescent="0.2">
      <c r="A231" s="1" t="s">
        <v>1394</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s="276" customFormat="1" x14ac:dyDescent="0.2">
      <c r="A232" s="1" t="s">
        <v>1395</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s="276" customFormat="1" x14ac:dyDescent="0.2">
      <c r="A233" s="1"/>
      <c r="B233" s="1" t="s">
        <v>1396</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s="276" customFormat="1" x14ac:dyDescent="0.2">
      <c r="A234" s="1"/>
      <c r="B234" s="1" t="s">
        <v>1397</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s="276" customFormat="1" x14ac:dyDescent="0.2">
      <c r="A235" s="1"/>
      <c r="B235" s="1" t="s">
        <v>1398</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s="276" customForma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s="276" customFormat="1" x14ac:dyDescent="0.2">
      <c r="A237" s="1" t="s">
        <v>1399</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s="276" customFormat="1" x14ac:dyDescent="0.2">
      <c r="A238" s="1"/>
      <c r="B238" s="1"/>
      <c r="C238" s="1" t="s">
        <v>488</v>
      </c>
      <c r="D238" s="1">
        <v>30000</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s="276" customFormat="1" x14ac:dyDescent="0.2">
      <c r="A239" s="1"/>
      <c r="B239" s="1"/>
      <c r="C239" s="1" t="s">
        <v>1400</v>
      </c>
      <c r="D239" s="1">
        <v>20000</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s="276" customFormat="1" x14ac:dyDescent="0.2">
      <c r="A240" s="1"/>
      <c r="B240" s="1"/>
      <c r="C240" s="1" t="s">
        <v>1401</v>
      </c>
      <c r="D240" s="1">
        <f>D238+D239</f>
        <v>50000</v>
      </c>
      <c r="E240" s="1"/>
      <c r="F240" s="1" t="s">
        <v>1402</v>
      </c>
      <c r="G240" s="1"/>
      <c r="H240" s="1"/>
      <c r="I240" s="1"/>
      <c r="J240" s="1"/>
      <c r="K240" s="1"/>
      <c r="L240" s="1"/>
      <c r="M240" s="1"/>
      <c r="N240" s="1"/>
      <c r="O240" s="1"/>
      <c r="P240" s="1"/>
      <c r="Q240" s="1"/>
      <c r="R240" s="1"/>
      <c r="S240" s="1"/>
      <c r="T240" s="1"/>
      <c r="U240" s="1"/>
      <c r="V240" s="1"/>
      <c r="W240" s="1"/>
      <c r="X240" s="1"/>
      <c r="Y240" s="1"/>
      <c r="Z240" s="1"/>
      <c r="AA240" s="1"/>
    </row>
    <row r="241" spans="1:27" s="276" customForma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s="276" customFormat="1" ht="13" x14ac:dyDescent="0.15"/>
    <row r="243" spans="1:27" s="276" customForma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sheetData>
  <mergeCells count="1">
    <mergeCell ref="J130:M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B070-C7CA-FE41-9B78-01D49845651D}">
  <dimension ref="A1:I231"/>
  <sheetViews>
    <sheetView rightToLeft="1" topLeftCell="A52" zoomScale="310" zoomScaleNormal="310" workbookViewId="0">
      <selection activeCell="C59" sqref="C59:E66"/>
    </sheetView>
  </sheetViews>
  <sheetFormatPr baseColWidth="10" defaultRowHeight="16" x14ac:dyDescent="0.2"/>
  <cols>
    <col min="1" max="16384" width="10.83203125" style="1"/>
  </cols>
  <sheetData>
    <row r="1" spans="1:8" x14ac:dyDescent="0.2">
      <c r="A1" s="2" t="s">
        <v>915</v>
      </c>
      <c r="B1" s="2"/>
      <c r="C1" s="2"/>
      <c r="D1" s="2"/>
      <c r="E1" s="2"/>
      <c r="F1" s="2"/>
      <c r="G1" s="2"/>
      <c r="H1" s="80">
        <v>45627</v>
      </c>
    </row>
    <row r="2" spans="1:8" x14ac:dyDescent="0.2">
      <c r="F2" s="190" t="s">
        <v>916</v>
      </c>
    </row>
    <row r="3" spans="1:8" x14ac:dyDescent="0.2">
      <c r="A3" s="1" t="s">
        <v>764</v>
      </c>
      <c r="F3" s="190" t="s">
        <v>917</v>
      </c>
    </row>
    <row r="4" spans="1:8" x14ac:dyDescent="0.2">
      <c r="A4" s="1" t="s">
        <v>766</v>
      </c>
    </row>
    <row r="5" spans="1:8" x14ac:dyDescent="0.2">
      <c r="A5" s="1" t="s">
        <v>765</v>
      </c>
    </row>
    <row r="6" spans="1:8" x14ac:dyDescent="0.2">
      <c r="A6" s="1" t="s">
        <v>767</v>
      </c>
    </row>
    <row r="7" spans="1:8" x14ac:dyDescent="0.2">
      <c r="A7" s="1" t="s">
        <v>768</v>
      </c>
    </row>
    <row r="8" spans="1:8" x14ac:dyDescent="0.2">
      <c r="A8" s="1" t="s">
        <v>769</v>
      </c>
      <c r="B8" s="1" t="s">
        <v>774</v>
      </c>
    </row>
    <row r="9" spans="1:8" x14ac:dyDescent="0.2">
      <c r="A9" s="1" t="s">
        <v>770</v>
      </c>
      <c r="B9" s="1" t="s">
        <v>771</v>
      </c>
    </row>
    <row r="10" spans="1:8" x14ac:dyDescent="0.2">
      <c r="A10" s="1" t="s">
        <v>772</v>
      </c>
      <c r="B10" s="1" t="s">
        <v>773</v>
      </c>
    </row>
    <row r="12" spans="1:8" x14ac:dyDescent="0.2">
      <c r="A12" s="1" t="s">
        <v>775</v>
      </c>
    </row>
    <row r="13" spans="1:8" x14ac:dyDescent="0.2">
      <c r="A13" s="1" t="s">
        <v>776</v>
      </c>
    </row>
    <row r="15" spans="1:8" s="38" customFormat="1" x14ac:dyDescent="0.2">
      <c r="A15" s="167" t="s">
        <v>705</v>
      </c>
      <c r="B15" s="167"/>
      <c r="C15" s="167"/>
      <c r="D15" s="167"/>
      <c r="E15" s="167"/>
      <c r="F15" s="167"/>
      <c r="G15" s="167"/>
      <c r="H15" s="167"/>
    </row>
    <row r="16" spans="1:8" s="38" customFormat="1" x14ac:dyDescent="0.2">
      <c r="A16" s="38" t="s">
        <v>706</v>
      </c>
    </row>
    <row r="17" spans="1:6" s="38" customFormat="1" x14ac:dyDescent="0.2">
      <c r="A17" s="38" t="s">
        <v>707</v>
      </c>
    </row>
    <row r="18" spans="1:6" s="38" customFormat="1" x14ac:dyDescent="0.2">
      <c r="A18" s="38" t="s">
        <v>708</v>
      </c>
    </row>
    <row r="19" spans="1:6" s="38" customFormat="1" x14ac:dyDescent="0.2">
      <c r="A19" s="38" t="s">
        <v>694</v>
      </c>
    </row>
    <row r="20" spans="1:6" s="38" customFormat="1" x14ac:dyDescent="0.2">
      <c r="A20" s="38" t="s">
        <v>710</v>
      </c>
    </row>
    <row r="21" spans="1:6" s="38" customFormat="1" x14ac:dyDescent="0.2">
      <c r="A21" s="38" t="s">
        <v>709</v>
      </c>
    </row>
    <row r="22" spans="1:6" s="38" customFormat="1" x14ac:dyDescent="0.2">
      <c r="A22" s="38" t="s">
        <v>711</v>
      </c>
    </row>
    <row r="23" spans="1:6" s="38" customFormat="1" x14ac:dyDescent="0.2">
      <c r="A23" s="38" t="s">
        <v>712</v>
      </c>
    </row>
    <row r="24" spans="1:6" s="38" customFormat="1" x14ac:dyDescent="0.2"/>
    <row r="25" spans="1:6" s="38" customFormat="1" x14ac:dyDescent="0.2">
      <c r="A25" s="38" t="s">
        <v>560</v>
      </c>
    </row>
    <row r="26" spans="1:6" s="38" customFormat="1" x14ac:dyDescent="0.2">
      <c r="A26" s="38" t="s">
        <v>688</v>
      </c>
    </row>
    <row r="27" spans="1:6" s="38" customFormat="1" x14ac:dyDescent="0.2">
      <c r="A27" s="38" t="s">
        <v>689</v>
      </c>
    </row>
    <row r="28" spans="1:6" s="38" customFormat="1" x14ac:dyDescent="0.2"/>
    <row r="29" spans="1:6" s="38" customFormat="1" x14ac:dyDescent="0.2">
      <c r="D29" s="169" t="s">
        <v>76</v>
      </c>
      <c r="E29" s="169"/>
      <c r="F29" s="169"/>
    </row>
    <row r="30" spans="1:6" s="38" customFormat="1" x14ac:dyDescent="0.2">
      <c r="D30" s="170" t="s">
        <v>777</v>
      </c>
      <c r="E30" s="170"/>
      <c r="F30" s="170" t="s">
        <v>729</v>
      </c>
    </row>
    <row r="31" spans="1:6" s="38" customFormat="1" x14ac:dyDescent="0.2">
      <c r="A31" s="171">
        <v>44562</v>
      </c>
      <c r="B31" s="38" t="s">
        <v>778</v>
      </c>
      <c r="D31" s="169">
        <v>0</v>
      </c>
      <c r="E31" s="169"/>
      <c r="F31" s="169">
        <v>0</v>
      </c>
    </row>
    <row r="32" spans="1:6" s="38" customFormat="1" x14ac:dyDescent="0.2">
      <c r="A32" s="38">
        <v>2022</v>
      </c>
      <c r="B32" s="38" t="s">
        <v>746</v>
      </c>
      <c r="D32" s="173">
        <v>440000</v>
      </c>
      <c r="E32" s="173"/>
      <c r="F32" s="173"/>
    </row>
    <row r="33" spans="1:8" s="38" customFormat="1" x14ac:dyDescent="0.2">
      <c r="A33" s="38">
        <v>2022</v>
      </c>
      <c r="B33" s="38" t="s">
        <v>758</v>
      </c>
      <c r="D33" s="174">
        <v>-30000</v>
      </c>
      <c r="E33" s="173"/>
      <c r="F33" s="173"/>
    </row>
    <row r="34" spans="1:8" s="38" customFormat="1" x14ac:dyDescent="0.2">
      <c r="A34" s="38">
        <v>2022</v>
      </c>
      <c r="B34" s="38" t="s">
        <v>737</v>
      </c>
      <c r="D34" s="173"/>
      <c r="E34" s="173"/>
      <c r="F34" s="176">
        <f>F35-F31</f>
        <v>20500</v>
      </c>
      <c r="H34" s="38" t="s">
        <v>780</v>
      </c>
    </row>
    <row r="35" spans="1:8" s="38" customFormat="1" ht="17" thickBot="1" x14ac:dyDescent="0.25">
      <c r="A35" s="171">
        <v>44926</v>
      </c>
      <c r="B35" s="38" t="s">
        <v>315</v>
      </c>
      <c r="D35" s="175">
        <f>SUM(D31:D34)</f>
        <v>410000</v>
      </c>
      <c r="E35" s="175"/>
      <c r="F35" s="175">
        <f>D35*5%</f>
        <v>20500</v>
      </c>
      <c r="H35" s="38" t="s">
        <v>779</v>
      </c>
    </row>
    <row r="36" spans="1:8" s="38" customFormat="1" x14ac:dyDescent="0.2">
      <c r="A36" s="38">
        <v>2023</v>
      </c>
      <c r="B36" s="38" t="s">
        <v>746</v>
      </c>
      <c r="D36" s="173">
        <v>340000</v>
      </c>
      <c r="E36" s="173"/>
      <c r="F36" s="173"/>
    </row>
    <row r="37" spans="1:8" s="38" customFormat="1" x14ac:dyDescent="0.2">
      <c r="A37" s="38">
        <v>2023</v>
      </c>
      <c r="B37" s="38" t="s">
        <v>749</v>
      </c>
      <c r="D37" s="174">
        <v>-270000</v>
      </c>
    </row>
    <row r="38" spans="1:8" s="38" customFormat="1" x14ac:dyDescent="0.2">
      <c r="A38" s="38">
        <v>2023</v>
      </c>
      <c r="B38" s="38" t="s">
        <v>759</v>
      </c>
      <c r="D38" s="174">
        <v>-25000</v>
      </c>
      <c r="E38" s="174"/>
      <c r="F38" s="174">
        <v>-25000</v>
      </c>
    </row>
    <row r="39" spans="1:8" s="38" customFormat="1" x14ac:dyDescent="0.2">
      <c r="A39" s="38">
        <v>2023</v>
      </c>
      <c r="B39" s="38" t="s">
        <v>737</v>
      </c>
      <c r="F39" s="176">
        <f>F40-F38-F35</f>
        <v>40900</v>
      </c>
      <c r="H39" s="38" t="s">
        <v>782</v>
      </c>
    </row>
    <row r="40" spans="1:8" s="38" customFormat="1" ht="17" thickBot="1" x14ac:dyDescent="0.25">
      <c r="A40" s="171">
        <v>45291</v>
      </c>
      <c r="B40" s="38" t="s">
        <v>315</v>
      </c>
      <c r="D40" s="175">
        <f>SUM(D35:D39)</f>
        <v>455000</v>
      </c>
      <c r="E40" s="175"/>
      <c r="F40" s="175">
        <f>8%*D40</f>
        <v>36400</v>
      </c>
      <c r="H40" s="38" t="s">
        <v>781</v>
      </c>
    </row>
    <row r="41" spans="1:8" s="38" customFormat="1" x14ac:dyDescent="0.2"/>
    <row r="42" spans="1:8" s="38" customFormat="1" x14ac:dyDescent="0.2">
      <c r="A42" s="38" t="s">
        <v>783</v>
      </c>
    </row>
    <row r="43" spans="1:8" s="38" customFormat="1" x14ac:dyDescent="0.2">
      <c r="A43" s="38" t="s">
        <v>784</v>
      </c>
    </row>
    <row r="44" spans="1:8" s="38" customFormat="1" x14ac:dyDescent="0.2"/>
    <row r="45" spans="1:8" s="38" customFormat="1" x14ac:dyDescent="0.2">
      <c r="A45" s="38" t="s">
        <v>785</v>
      </c>
    </row>
    <row r="46" spans="1:8" s="38" customFormat="1" x14ac:dyDescent="0.2">
      <c r="A46" s="38" t="s">
        <v>786</v>
      </c>
    </row>
    <row r="47" spans="1:8" s="38" customFormat="1" x14ac:dyDescent="0.2"/>
    <row r="48" spans="1:8" s="38" customFormat="1" x14ac:dyDescent="0.2">
      <c r="D48" s="38" t="s">
        <v>787</v>
      </c>
    </row>
    <row r="49" spans="1:8" s="38" customFormat="1" x14ac:dyDescent="0.2">
      <c r="E49" s="177">
        <v>44926</v>
      </c>
      <c r="F49" s="177">
        <v>45291</v>
      </c>
    </row>
    <row r="50" spans="1:8" s="38" customFormat="1" x14ac:dyDescent="0.2">
      <c r="D50" s="38" t="s">
        <v>788</v>
      </c>
      <c r="E50" s="172">
        <f>D35</f>
        <v>410000</v>
      </c>
      <c r="F50" s="172">
        <f>D40</f>
        <v>455000</v>
      </c>
    </row>
    <row r="51" spans="1:8" s="38" customFormat="1" x14ac:dyDescent="0.2">
      <c r="D51" s="38" t="s">
        <v>729</v>
      </c>
      <c r="E51" s="39">
        <f>-F35</f>
        <v>-20500</v>
      </c>
      <c r="F51" s="39">
        <f>-F40</f>
        <v>-36400</v>
      </c>
    </row>
    <row r="52" spans="1:8" s="38" customFormat="1" x14ac:dyDescent="0.2">
      <c r="D52" s="38" t="s">
        <v>787</v>
      </c>
      <c r="E52" s="178">
        <f>E50+E51</f>
        <v>389500</v>
      </c>
      <c r="F52" s="178">
        <f>F50+F51</f>
        <v>418600</v>
      </c>
    </row>
    <row r="53" spans="1:8" s="38" customFormat="1" x14ac:dyDescent="0.2"/>
    <row r="54" spans="1:8" s="38" customFormat="1" x14ac:dyDescent="0.2">
      <c r="A54" s="167" t="s">
        <v>789</v>
      </c>
      <c r="B54" s="167"/>
      <c r="C54" s="167"/>
      <c r="D54" s="167"/>
      <c r="E54" s="167"/>
      <c r="F54" s="167"/>
      <c r="G54" s="167"/>
      <c r="H54" s="167"/>
    </row>
    <row r="55" spans="1:8" s="38" customFormat="1" x14ac:dyDescent="0.2">
      <c r="A55" s="38" t="s">
        <v>790</v>
      </c>
    </row>
    <row r="56" spans="1:8" s="38" customFormat="1" x14ac:dyDescent="0.2">
      <c r="A56" s="38" t="s">
        <v>791</v>
      </c>
    </row>
    <row r="57" spans="1:8" s="38" customFormat="1" x14ac:dyDescent="0.2">
      <c r="A57" s="38" t="s">
        <v>792</v>
      </c>
    </row>
    <row r="58" spans="1:8" s="38" customFormat="1" x14ac:dyDescent="0.2">
      <c r="A58" s="38" t="s">
        <v>793</v>
      </c>
    </row>
    <row r="59" spans="1:8" s="38" customFormat="1" x14ac:dyDescent="0.2">
      <c r="D59" s="183" t="s">
        <v>674</v>
      </c>
    </row>
    <row r="60" spans="1:8" s="38" customFormat="1" x14ac:dyDescent="0.2">
      <c r="C60" s="170" t="s">
        <v>794</v>
      </c>
      <c r="D60" s="170" t="s">
        <v>795</v>
      </c>
      <c r="E60" s="170" t="s">
        <v>796</v>
      </c>
    </row>
    <row r="61" spans="1:8" s="38" customFormat="1" x14ac:dyDescent="0.2">
      <c r="C61" s="169" t="s">
        <v>260</v>
      </c>
      <c r="D61" s="174">
        <v>50000</v>
      </c>
      <c r="E61" s="179">
        <v>5.0000000000000001E-3</v>
      </c>
    </row>
    <row r="62" spans="1:8" s="38" customFormat="1" x14ac:dyDescent="0.2">
      <c r="C62" s="169" t="s">
        <v>163</v>
      </c>
      <c r="D62" s="174">
        <v>20000</v>
      </c>
      <c r="E62" s="180">
        <v>0.01</v>
      </c>
    </row>
    <row r="63" spans="1:8" s="38" customFormat="1" x14ac:dyDescent="0.2">
      <c r="C63" s="169" t="s">
        <v>594</v>
      </c>
      <c r="D63" s="174">
        <v>10000</v>
      </c>
      <c r="E63" s="181">
        <v>1.2E-2</v>
      </c>
    </row>
    <row r="64" spans="1:8" s="38" customFormat="1" x14ac:dyDescent="0.2">
      <c r="C64" s="169" t="s">
        <v>181</v>
      </c>
      <c r="D64" s="174">
        <v>40000</v>
      </c>
      <c r="E64" s="180">
        <v>0.03</v>
      </c>
    </row>
    <row r="65" spans="1:8" s="38" customFormat="1" ht="17" thickBot="1" x14ac:dyDescent="0.25">
      <c r="C65" s="169" t="s">
        <v>173</v>
      </c>
      <c r="D65" s="174">
        <v>80000</v>
      </c>
      <c r="E65" s="180">
        <v>0.1</v>
      </c>
    </row>
    <row r="66" spans="1:8" s="38" customFormat="1" ht="17" thickBot="1" x14ac:dyDescent="0.25">
      <c r="C66" s="169" t="s">
        <v>315</v>
      </c>
      <c r="D66" s="184">
        <f>SUM(D61:D65)</f>
        <v>200000</v>
      </c>
      <c r="E66" s="182"/>
    </row>
    <row r="67" spans="1:8" s="38" customFormat="1" x14ac:dyDescent="0.2"/>
    <row r="68" spans="1:8" s="38" customFormat="1" x14ac:dyDescent="0.2">
      <c r="A68" s="38" t="s">
        <v>797</v>
      </c>
    </row>
    <row r="69" spans="1:8" s="38" customFormat="1" x14ac:dyDescent="0.2"/>
    <row r="70" spans="1:8" s="38" customFormat="1" x14ac:dyDescent="0.2">
      <c r="A70" s="38" t="s">
        <v>798</v>
      </c>
    </row>
    <row r="71" spans="1:8" s="38" customFormat="1" x14ac:dyDescent="0.2">
      <c r="A71" s="38" t="s">
        <v>799</v>
      </c>
    </row>
    <row r="72" spans="1:8" s="38" customFormat="1" x14ac:dyDescent="0.2">
      <c r="A72" s="38" t="s">
        <v>800</v>
      </c>
    </row>
    <row r="73" spans="1:8" s="38" customFormat="1" x14ac:dyDescent="0.2">
      <c r="A73" s="38" t="s">
        <v>801</v>
      </c>
    </row>
    <row r="74" spans="1:8" s="38" customFormat="1" x14ac:dyDescent="0.2"/>
    <row r="75" spans="1:8" s="38" customFormat="1" x14ac:dyDescent="0.2">
      <c r="A75" s="38" t="s">
        <v>799</v>
      </c>
    </row>
    <row r="76" spans="1:8" s="38" customFormat="1" x14ac:dyDescent="0.2">
      <c r="A76" s="38" t="s">
        <v>802</v>
      </c>
    </row>
    <row r="77" spans="1:8" s="38" customFormat="1" x14ac:dyDescent="0.2">
      <c r="A77" s="38" t="s">
        <v>803</v>
      </c>
    </row>
    <row r="78" spans="1:8" s="38" customFormat="1" x14ac:dyDescent="0.2"/>
    <row r="79" spans="1:8" s="38" customFormat="1" x14ac:dyDescent="0.2">
      <c r="C79" s="170" t="s">
        <v>794</v>
      </c>
      <c r="D79" s="170" t="s">
        <v>795</v>
      </c>
      <c r="E79" s="170" t="s">
        <v>796</v>
      </c>
      <c r="F79" s="170" t="s">
        <v>729</v>
      </c>
    </row>
    <row r="80" spans="1:8" s="38" customFormat="1" x14ac:dyDescent="0.2">
      <c r="C80" s="169" t="s">
        <v>260</v>
      </c>
      <c r="D80" s="174">
        <v>50000</v>
      </c>
      <c r="E80" s="179">
        <v>5.0000000000000001E-3</v>
      </c>
      <c r="F80" s="174">
        <f>D80*E80</f>
        <v>250</v>
      </c>
      <c r="H80" s="38" t="s">
        <v>804</v>
      </c>
    </row>
    <row r="81" spans="1:8" s="38" customFormat="1" x14ac:dyDescent="0.2">
      <c r="C81" s="169" t="s">
        <v>163</v>
      </c>
      <c r="D81" s="174">
        <v>20000</v>
      </c>
      <c r="E81" s="180">
        <v>0.01</v>
      </c>
      <c r="F81" s="174">
        <f>D81*E81</f>
        <v>200</v>
      </c>
      <c r="H81" s="38" t="s">
        <v>805</v>
      </c>
    </row>
    <row r="82" spans="1:8" s="38" customFormat="1" x14ac:dyDescent="0.2">
      <c r="C82" s="169" t="s">
        <v>594</v>
      </c>
      <c r="D82" s="174">
        <v>10000</v>
      </c>
      <c r="E82" s="181">
        <v>1.2E-2</v>
      </c>
      <c r="F82" s="174">
        <f>D82*E82</f>
        <v>120</v>
      </c>
      <c r="H82" s="38" t="s">
        <v>806</v>
      </c>
    </row>
    <row r="83" spans="1:8" s="38" customFormat="1" x14ac:dyDescent="0.2">
      <c r="C83" s="169" t="s">
        <v>181</v>
      </c>
      <c r="D83" s="174">
        <v>40000</v>
      </c>
      <c r="E83" s="180">
        <v>0.03</v>
      </c>
      <c r="F83" s="174">
        <f>D83*E83</f>
        <v>1200</v>
      </c>
      <c r="H83" s="38" t="s">
        <v>807</v>
      </c>
    </row>
    <row r="84" spans="1:8" s="38" customFormat="1" ht="17" thickBot="1" x14ac:dyDescent="0.25">
      <c r="C84" s="169" t="s">
        <v>173</v>
      </c>
      <c r="D84" s="174">
        <v>80000</v>
      </c>
      <c r="E84" s="180">
        <v>0.1</v>
      </c>
      <c r="F84" s="174">
        <f>D84*E84</f>
        <v>8000</v>
      </c>
      <c r="H84" s="38" t="s">
        <v>808</v>
      </c>
    </row>
    <row r="85" spans="1:8" s="38" customFormat="1" ht="17" thickBot="1" x14ac:dyDescent="0.25">
      <c r="C85" s="169" t="s">
        <v>315</v>
      </c>
      <c r="D85" s="184">
        <f>SUM(D80:D84)</f>
        <v>200000</v>
      </c>
      <c r="E85" s="182"/>
      <c r="F85" s="184">
        <f>SUM(F80:F84)</f>
        <v>9770</v>
      </c>
      <c r="G85" s="38" t="s">
        <v>315</v>
      </c>
    </row>
    <row r="86" spans="1:8" s="38" customFormat="1" x14ac:dyDescent="0.2"/>
    <row r="87" spans="1:8" s="38" customFormat="1" x14ac:dyDescent="0.2">
      <c r="F87" s="38" t="s">
        <v>809</v>
      </c>
    </row>
    <row r="88" spans="1:8" s="38" customFormat="1" x14ac:dyDescent="0.2"/>
    <row r="89" spans="1:8" s="38" customFormat="1" x14ac:dyDescent="0.2">
      <c r="A89" s="38" t="s">
        <v>800</v>
      </c>
    </row>
    <row r="90" spans="1:8" s="38" customFormat="1" x14ac:dyDescent="0.2">
      <c r="A90" s="38" t="s">
        <v>810</v>
      </c>
    </row>
    <row r="91" spans="1:8" s="38" customFormat="1" x14ac:dyDescent="0.2">
      <c r="F91" s="185">
        <v>45657</v>
      </c>
    </row>
    <row r="92" spans="1:8" s="38" customFormat="1" x14ac:dyDescent="0.2">
      <c r="D92" s="38" t="s">
        <v>674</v>
      </c>
      <c r="F92" s="174">
        <f>D85</f>
        <v>200000</v>
      </c>
    </row>
    <row r="93" spans="1:8" s="38" customFormat="1" x14ac:dyDescent="0.2">
      <c r="D93" s="38" t="s">
        <v>729</v>
      </c>
      <c r="F93" s="174">
        <f>-F85</f>
        <v>-9770</v>
      </c>
    </row>
    <row r="94" spans="1:8" s="38" customFormat="1" ht="17" thickBot="1" x14ac:dyDescent="0.25">
      <c r="D94" s="38" t="s">
        <v>725</v>
      </c>
      <c r="F94" s="186">
        <f>F92+F93</f>
        <v>190230</v>
      </c>
      <c r="H94" s="38" t="s">
        <v>811</v>
      </c>
    </row>
    <row r="95" spans="1:8" s="38" customFormat="1" x14ac:dyDescent="0.2"/>
    <row r="96" spans="1:8" s="38" customFormat="1" x14ac:dyDescent="0.2">
      <c r="A96" s="38" t="s">
        <v>801</v>
      </c>
    </row>
    <row r="97" spans="1:9" s="38" customFormat="1" x14ac:dyDescent="0.2">
      <c r="A97" s="38" t="s">
        <v>812</v>
      </c>
    </row>
    <row r="98" spans="1:9" s="38" customFormat="1" x14ac:dyDescent="0.2">
      <c r="A98" s="38" t="s">
        <v>813</v>
      </c>
    </row>
    <row r="99" spans="1:9" s="38" customFormat="1" x14ac:dyDescent="0.2">
      <c r="A99" s="38" t="s">
        <v>814</v>
      </c>
    </row>
    <row r="100" spans="1:9" s="38" customFormat="1" x14ac:dyDescent="0.2">
      <c r="A100" s="38" t="s">
        <v>815</v>
      </c>
    </row>
    <row r="101" spans="1:9" s="38" customFormat="1" x14ac:dyDescent="0.2">
      <c r="A101" s="38" t="s">
        <v>816</v>
      </c>
    </row>
    <row r="102" spans="1:9" s="38" customFormat="1" x14ac:dyDescent="0.2"/>
    <row r="103" spans="1:9" s="38" customFormat="1" x14ac:dyDescent="0.2">
      <c r="F103" s="170" t="s">
        <v>729</v>
      </c>
    </row>
    <row r="104" spans="1:9" s="38" customFormat="1" x14ac:dyDescent="0.2">
      <c r="C104" s="171">
        <v>45291</v>
      </c>
      <c r="D104" s="38" t="s">
        <v>817</v>
      </c>
      <c r="F104" s="174">
        <f>180000*5%</f>
        <v>9000</v>
      </c>
      <c r="H104" s="38" t="s">
        <v>819</v>
      </c>
    </row>
    <row r="105" spans="1:9" s="38" customFormat="1" x14ac:dyDescent="0.2">
      <c r="C105" s="38">
        <v>2024</v>
      </c>
      <c r="D105" s="38" t="s">
        <v>820</v>
      </c>
      <c r="F105" s="174">
        <f>-4000</f>
        <v>-4000</v>
      </c>
    </row>
    <row r="106" spans="1:9" s="38" customFormat="1" x14ac:dyDescent="0.2">
      <c r="C106" s="38">
        <v>2024</v>
      </c>
      <c r="D106" s="38" t="s">
        <v>737</v>
      </c>
      <c r="F106" s="187">
        <f>F107-F105-F104</f>
        <v>4770</v>
      </c>
      <c r="H106" s="38" t="s">
        <v>822</v>
      </c>
    </row>
    <row r="107" spans="1:9" s="38" customFormat="1" ht="17" thickBot="1" x14ac:dyDescent="0.25">
      <c r="C107" s="171">
        <v>45657</v>
      </c>
      <c r="D107" s="38" t="s">
        <v>818</v>
      </c>
      <c r="F107" s="186">
        <f>-F93</f>
        <v>9770</v>
      </c>
    </row>
    <row r="108" spans="1:9" s="38" customFormat="1" x14ac:dyDescent="0.2"/>
    <row r="109" spans="1:9" s="38" customFormat="1" x14ac:dyDescent="0.2">
      <c r="A109" s="38" t="s">
        <v>790</v>
      </c>
    </row>
    <row r="110" spans="1:9" s="38" customFormat="1" x14ac:dyDescent="0.2"/>
    <row r="111" spans="1:9" s="38" customFormat="1" x14ac:dyDescent="0.2">
      <c r="A111" s="169" t="s">
        <v>396</v>
      </c>
      <c r="B111" s="38" t="s">
        <v>821</v>
      </c>
    </row>
    <row r="112" spans="1:9" s="38" customFormat="1" x14ac:dyDescent="0.2">
      <c r="I112" s="38" t="s">
        <v>830</v>
      </c>
    </row>
    <row r="113" spans="1:9" s="38" customFormat="1" x14ac:dyDescent="0.2">
      <c r="I113" s="38" t="s">
        <v>831</v>
      </c>
    </row>
    <row r="114" spans="1:9" s="38" customFormat="1" x14ac:dyDescent="0.2"/>
    <row r="115" spans="1:9" s="38" customFormat="1" x14ac:dyDescent="0.2"/>
    <row r="116" spans="1:9" s="38" customFormat="1" x14ac:dyDescent="0.2">
      <c r="A116" s="168" t="s">
        <v>713</v>
      </c>
    </row>
    <row r="117" spans="1:9" s="38" customFormat="1" x14ac:dyDescent="0.2"/>
    <row r="118" spans="1:9" s="38" customFormat="1" x14ac:dyDescent="0.2">
      <c r="A118" s="38" t="s">
        <v>823</v>
      </c>
    </row>
    <row r="119" spans="1:9" s="38" customFormat="1" x14ac:dyDescent="0.2">
      <c r="A119" s="38" t="s">
        <v>824</v>
      </c>
    </row>
    <row r="120" spans="1:9" s="38" customFormat="1" x14ac:dyDescent="0.2">
      <c r="A120" s="38" t="s">
        <v>825</v>
      </c>
    </row>
    <row r="121" spans="1:9" s="38" customFormat="1" x14ac:dyDescent="0.2">
      <c r="A121" s="38" t="s">
        <v>826</v>
      </c>
    </row>
    <row r="122" spans="1:9" s="38" customFormat="1" x14ac:dyDescent="0.2">
      <c r="A122" s="38" t="s">
        <v>827</v>
      </c>
    </row>
    <row r="123" spans="1:9" s="38" customFormat="1" x14ac:dyDescent="0.2">
      <c r="A123" s="38" t="s">
        <v>828</v>
      </c>
    </row>
    <row r="124" spans="1:9" s="38" customFormat="1" x14ac:dyDescent="0.2">
      <c r="A124" s="38" t="s">
        <v>829</v>
      </c>
    </row>
    <row r="125" spans="1:9" s="38" customFormat="1" x14ac:dyDescent="0.2"/>
    <row r="126" spans="1:9" s="38" customFormat="1" x14ac:dyDescent="0.2"/>
    <row r="127" spans="1:9" s="38" customFormat="1" x14ac:dyDescent="0.2"/>
    <row r="128" spans="1:9" s="38" customFormat="1" x14ac:dyDescent="0.2"/>
    <row r="129" s="38" customFormat="1" x14ac:dyDescent="0.2"/>
    <row r="130" s="38" customFormat="1" x14ac:dyDescent="0.2"/>
    <row r="131" s="38" customFormat="1" x14ac:dyDescent="0.2"/>
    <row r="132" s="38" customFormat="1" x14ac:dyDescent="0.2"/>
    <row r="133" s="38" customFormat="1" x14ac:dyDescent="0.2"/>
    <row r="134" s="38" customFormat="1" x14ac:dyDescent="0.2"/>
    <row r="135" s="38" customFormat="1" x14ac:dyDescent="0.2"/>
    <row r="136" s="38" customFormat="1" x14ac:dyDescent="0.2"/>
    <row r="137" s="38" customFormat="1" x14ac:dyDescent="0.2"/>
    <row r="138" s="38" customFormat="1" x14ac:dyDescent="0.2"/>
    <row r="139" s="38" customFormat="1" x14ac:dyDescent="0.2"/>
    <row r="140" s="38" customFormat="1" x14ac:dyDescent="0.2"/>
    <row r="141" s="38" customFormat="1" x14ac:dyDescent="0.2"/>
    <row r="142" s="38" customFormat="1" x14ac:dyDescent="0.2"/>
    <row r="143" s="38" customFormat="1" x14ac:dyDescent="0.2"/>
    <row r="144" s="38" customFormat="1" x14ac:dyDescent="0.2"/>
    <row r="145" s="38" customFormat="1" x14ac:dyDescent="0.2"/>
    <row r="146" s="38" customFormat="1" x14ac:dyDescent="0.2"/>
    <row r="147" s="38" customFormat="1" x14ac:dyDescent="0.2"/>
    <row r="148" s="38" customFormat="1" x14ac:dyDescent="0.2"/>
    <row r="149" s="38" customFormat="1" x14ac:dyDescent="0.2"/>
    <row r="150" s="38" customFormat="1" x14ac:dyDescent="0.2"/>
    <row r="151" s="38" customFormat="1" x14ac:dyDescent="0.2"/>
    <row r="152" s="38" customFormat="1" x14ac:dyDescent="0.2"/>
    <row r="153" s="38" customFormat="1" x14ac:dyDescent="0.2"/>
    <row r="154" s="38" customFormat="1" x14ac:dyDescent="0.2"/>
    <row r="155" s="38" customFormat="1" x14ac:dyDescent="0.2"/>
    <row r="156" s="38" customFormat="1" x14ac:dyDescent="0.2"/>
    <row r="157" s="38" customFormat="1" x14ac:dyDescent="0.2"/>
    <row r="158" s="38" customFormat="1" x14ac:dyDescent="0.2"/>
    <row r="159" s="38" customFormat="1" x14ac:dyDescent="0.2"/>
    <row r="160"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FE25C-2A9D-C545-8A05-D04539E79F72}">
  <dimension ref="A1:J438"/>
  <sheetViews>
    <sheetView rightToLeft="1" zoomScale="325" workbookViewId="0">
      <selection activeCell="E308" sqref="E308"/>
    </sheetView>
  </sheetViews>
  <sheetFormatPr baseColWidth="10" defaultRowHeight="16" x14ac:dyDescent="0.2"/>
  <cols>
    <col min="1" max="16384" width="10.83203125" style="1"/>
  </cols>
  <sheetData>
    <row r="1" spans="1:9" x14ac:dyDescent="0.2">
      <c r="A1" s="94" t="s">
        <v>918</v>
      </c>
      <c r="B1" s="94"/>
      <c r="C1" s="94"/>
      <c r="D1" s="94"/>
      <c r="E1" s="94"/>
      <c r="F1" s="94"/>
      <c r="G1" s="94"/>
      <c r="H1" s="94"/>
      <c r="I1" s="196">
        <v>45634</v>
      </c>
    </row>
    <row r="3" spans="1:9" x14ac:dyDescent="0.2">
      <c r="A3" s="3" t="s">
        <v>919</v>
      </c>
    </row>
    <row r="4" spans="1:9" x14ac:dyDescent="0.2">
      <c r="A4" s="1" t="s">
        <v>920</v>
      </c>
    </row>
    <row r="5" spans="1:9" x14ac:dyDescent="0.2">
      <c r="A5" s="1" t="s">
        <v>921</v>
      </c>
    </row>
    <row r="6" spans="1:9" x14ac:dyDescent="0.2">
      <c r="A6" s="1" t="s">
        <v>922</v>
      </c>
    </row>
    <row r="76" spans="1:9" x14ac:dyDescent="0.2">
      <c r="A76" s="212" t="s">
        <v>1084</v>
      </c>
      <c r="B76" s="212"/>
      <c r="C76" s="212"/>
      <c r="D76" s="212"/>
      <c r="E76" s="212"/>
      <c r="F76" s="212"/>
      <c r="G76" s="212"/>
      <c r="H76" s="212"/>
      <c r="I76" s="212"/>
    </row>
    <row r="77" spans="1:9" ht="17" thickBot="1" x14ac:dyDescent="0.25"/>
    <row r="78" spans="1:9" x14ac:dyDescent="0.2">
      <c r="A78" s="84" t="s">
        <v>923</v>
      </c>
      <c r="B78" s="46"/>
      <c r="C78" s="46"/>
      <c r="D78" s="46"/>
      <c r="E78" s="46"/>
      <c r="F78" s="46"/>
      <c r="G78" s="46"/>
      <c r="H78" s="47"/>
    </row>
    <row r="79" spans="1:9" x14ac:dyDescent="0.2">
      <c r="A79" s="48" t="s">
        <v>924</v>
      </c>
      <c r="H79" s="49"/>
    </row>
    <row r="80" spans="1:9" x14ac:dyDescent="0.2">
      <c r="A80" s="48" t="s">
        <v>925</v>
      </c>
      <c r="H80" s="49"/>
    </row>
    <row r="81" spans="1:8" x14ac:dyDescent="0.2">
      <c r="A81" s="48" t="s">
        <v>1087</v>
      </c>
      <c r="H81" s="49"/>
    </row>
    <row r="82" spans="1:8" x14ac:dyDescent="0.2">
      <c r="A82" s="48" t="s">
        <v>926</v>
      </c>
      <c r="H82" s="49"/>
    </row>
    <row r="83" spans="1:8" x14ac:dyDescent="0.2">
      <c r="A83" s="48" t="s">
        <v>927</v>
      </c>
      <c r="H83" s="49"/>
    </row>
    <row r="84" spans="1:8" ht="17" thickBot="1" x14ac:dyDescent="0.25">
      <c r="A84" s="50" t="s">
        <v>928</v>
      </c>
      <c r="B84" s="51"/>
      <c r="C84" s="51"/>
      <c r="D84" s="51"/>
      <c r="E84" s="51"/>
      <c r="F84" s="51"/>
      <c r="G84" s="51"/>
      <c r="H84" s="79"/>
    </row>
    <row r="85" spans="1:8" ht="17" thickBot="1" x14ac:dyDescent="0.25"/>
    <row r="86" spans="1:8" x14ac:dyDescent="0.2">
      <c r="A86" s="45" t="s">
        <v>1085</v>
      </c>
      <c r="B86" s="46"/>
      <c r="C86" s="46"/>
      <c r="D86" s="46"/>
      <c r="E86" s="46"/>
      <c r="F86" s="46"/>
      <c r="G86" s="46"/>
      <c r="H86" s="47"/>
    </row>
    <row r="87" spans="1:8" x14ac:dyDescent="0.2">
      <c r="A87" s="48" t="s">
        <v>1086</v>
      </c>
      <c r="H87" s="49"/>
    </row>
    <row r="88" spans="1:8" x14ac:dyDescent="0.2">
      <c r="A88" s="48" t="s">
        <v>1088</v>
      </c>
      <c r="H88" s="49"/>
    </row>
    <row r="89" spans="1:8" ht="17" thickBot="1" x14ac:dyDescent="0.25">
      <c r="A89" s="50" t="s">
        <v>1089</v>
      </c>
      <c r="B89" s="51"/>
      <c r="C89" s="51"/>
      <c r="D89" s="51"/>
      <c r="E89" s="51"/>
      <c r="F89" s="51"/>
      <c r="G89" s="51"/>
      <c r="H89" s="79"/>
    </row>
    <row r="90" spans="1:8" ht="17" thickBot="1" x14ac:dyDescent="0.25"/>
    <row r="91" spans="1:8" x14ac:dyDescent="0.2">
      <c r="A91" s="84" t="s">
        <v>929</v>
      </c>
      <c r="B91" s="46"/>
      <c r="C91" s="46"/>
      <c r="D91" s="46"/>
      <c r="E91" s="46"/>
      <c r="F91" s="46"/>
      <c r="G91" s="46"/>
      <c r="H91" s="47"/>
    </row>
    <row r="92" spans="1:8" x14ac:dyDescent="0.2">
      <c r="A92" s="48" t="s">
        <v>930</v>
      </c>
      <c r="H92" s="49"/>
    </row>
    <row r="93" spans="1:8" x14ac:dyDescent="0.2">
      <c r="A93" s="48" t="s">
        <v>931</v>
      </c>
      <c r="H93" s="49"/>
    </row>
    <row r="94" spans="1:8" x14ac:dyDescent="0.2">
      <c r="A94" s="48" t="s">
        <v>932</v>
      </c>
      <c r="H94" s="49"/>
    </row>
    <row r="95" spans="1:8" x14ac:dyDescent="0.2">
      <c r="A95" s="48" t="s">
        <v>933</v>
      </c>
      <c r="H95" s="49"/>
    </row>
    <row r="96" spans="1:8" x14ac:dyDescent="0.2">
      <c r="A96" s="48"/>
      <c r="H96" s="49"/>
    </row>
    <row r="97" spans="1:8" x14ac:dyDescent="0.2">
      <c r="A97" s="48" t="s">
        <v>934</v>
      </c>
      <c r="H97" s="49"/>
    </row>
    <row r="98" spans="1:8" x14ac:dyDescent="0.2">
      <c r="A98" s="48" t="s">
        <v>935</v>
      </c>
      <c r="H98" s="49"/>
    </row>
    <row r="99" spans="1:8" x14ac:dyDescent="0.2">
      <c r="A99" s="48" t="s">
        <v>936</v>
      </c>
      <c r="H99" s="49"/>
    </row>
    <row r="100" spans="1:8" x14ac:dyDescent="0.2">
      <c r="A100" s="48" t="s">
        <v>937</v>
      </c>
      <c r="H100" s="49"/>
    </row>
    <row r="101" spans="1:8" x14ac:dyDescent="0.2">
      <c r="A101" s="48"/>
      <c r="H101" s="49"/>
    </row>
    <row r="102" spans="1:8" x14ac:dyDescent="0.2">
      <c r="A102" s="48" t="s">
        <v>938</v>
      </c>
      <c r="H102" s="49"/>
    </row>
    <row r="103" spans="1:8" x14ac:dyDescent="0.2">
      <c r="A103" s="48" t="s">
        <v>939</v>
      </c>
      <c r="H103" s="49"/>
    </row>
    <row r="104" spans="1:8" x14ac:dyDescent="0.2">
      <c r="A104" s="48" t="s">
        <v>940</v>
      </c>
      <c r="H104" s="49"/>
    </row>
    <row r="105" spans="1:8" x14ac:dyDescent="0.2">
      <c r="A105" s="48" t="s">
        <v>941</v>
      </c>
      <c r="H105" s="49"/>
    </row>
    <row r="106" spans="1:8" x14ac:dyDescent="0.2">
      <c r="A106" s="48"/>
      <c r="H106" s="49"/>
    </row>
    <row r="107" spans="1:8" x14ac:dyDescent="0.2">
      <c r="A107" s="48" t="s">
        <v>942</v>
      </c>
      <c r="H107" s="49"/>
    </row>
    <row r="108" spans="1:8" x14ac:dyDescent="0.2">
      <c r="A108" s="48" t="s">
        <v>943</v>
      </c>
      <c r="H108" s="49"/>
    </row>
    <row r="109" spans="1:8" x14ac:dyDescent="0.2">
      <c r="A109" s="48"/>
      <c r="H109" s="49"/>
    </row>
    <row r="110" spans="1:8" x14ac:dyDescent="0.2">
      <c r="A110" s="48"/>
      <c r="B110" s="1" t="s">
        <v>944</v>
      </c>
      <c r="E110" s="4" t="s">
        <v>25</v>
      </c>
      <c r="H110" s="49"/>
    </row>
    <row r="111" spans="1:8" x14ac:dyDescent="0.2">
      <c r="A111" s="48"/>
      <c r="B111" s="1" t="s">
        <v>945</v>
      </c>
      <c r="E111" s="4" t="s">
        <v>27</v>
      </c>
      <c r="H111" s="49"/>
    </row>
    <row r="112" spans="1:8" ht="17" thickBot="1" x14ac:dyDescent="0.25">
      <c r="A112" s="50"/>
      <c r="B112" s="51" t="s">
        <v>946</v>
      </c>
      <c r="C112" s="51"/>
      <c r="D112" s="51"/>
      <c r="E112" s="73" t="s">
        <v>28</v>
      </c>
      <c r="F112" s="51" t="s">
        <v>947</v>
      </c>
      <c r="G112" s="51"/>
      <c r="H112" s="79"/>
    </row>
    <row r="113" spans="1:8" ht="17" thickBot="1" x14ac:dyDescent="0.25"/>
    <row r="114" spans="1:8" x14ac:dyDescent="0.2">
      <c r="A114" s="84" t="s">
        <v>948</v>
      </c>
      <c r="B114" s="46"/>
      <c r="C114" s="46"/>
      <c r="D114" s="46"/>
      <c r="E114" s="46"/>
      <c r="F114" s="46"/>
      <c r="G114" s="46"/>
      <c r="H114" s="47"/>
    </row>
    <row r="115" spans="1:8" x14ac:dyDescent="0.2">
      <c r="A115" s="48" t="s">
        <v>949</v>
      </c>
      <c r="H115" s="49"/>
    </row>
    <row r="116" spans="1:8" x14ac:dyDescent="0.2">
      <c r="A116" s="48" t="s">
        <v>950</v>
      </c>
      <c r="H116" s="49"/>
    </row>
    <row r="117" spans="1:8" x14ac:dyDescent="0.2">
      <c r="A117" s="48"/>
      <c r="H117" s="49"/>
    </row>
    <row r="118" spans="1:8" ht="18" x14ac:dyDescent="0.25">
      <c r="A118" s="48"/>
      <c r="F118" s="17" t="s">
        <v>951</v>
      </c>
      <c r="G118" s="383" t="s">
        <v>28</v>
      </c>
      <c r="H118" s="392" t="s">
        <v>952</v>
      </c>
    </row>
    <row r="119" spans="1:8" x14ac:dyDescent="0.2">
      <c r="A119" s="48"/>
      <c r="F119" s="4" t="s">
        <v>953</v>
      </c>
      <c r="G119" s="383"/>
      <c r="H119" s="392"/>
    </row>
    <row r="120" spans="1:8" x14ac:dyDescent="0.2">
      <c r="A120" s="48"/>
      <c r="H120" s="49"/>
    </row>
    <row r="121" spans="1:8" x14ac:dyDescent="0.2">
      <c r="A121" s="48" t="s">
        <v>954</v>
      </c>
      <c r="H121" s="49"/>
    </row>
    <row r="122" spans="1:8" x14ac:dyDescent="0.2">
      <c r="A122" s="197" t="s">
        <v>952</v>
      </c>
      <c r="B122" s="1" t="s">
        <v>955</v>
      </c>
      <c r="H122" s="49"/>
    </row>
    <row r="123" spans="1:8" x14ac:dyDescent="0.2">
      <c r="A123" s="197" t="s">
        <v>956</v>
      </c>
      <c r="B123" s="1" t="s">
        <v>957</v>
      </c>
      <c r="H123" s="49"/>
    </row>
    <row r="124" spans="1:8" x14ac:dyDescent="0.2">
      <c r="A124" s="197" t="s">
        <v>958</v>
      </c>
      <c r="B124" s="1" t="s">
        <v>959</v>
      </c>
      <c r="H124" s="49"/>
    </row>
    <row r="125" spans="1:8" x14ac:dyDescent="0.2">
      <c r="A125" s="48"/>
      <c r="B125" s="1" t="s">
        <v>960</v>
      </c>
      <c r="H125" s="49"/>
    </row>
    <row r="126" spans="1:8" x14ac:dyDescent="0.2">
      <c r="A126" s="197" t="s">
        <v>953</v>
      </c>
      <c r="B126" s="1" t="s">
        <v>961</v>
      </c>
      <c r="H126" s="49"/>
    </row>
    <row r="127" spans="1:8" x14ac:dyDescent="0.2">
      <c r="A127" s="48"/>
      <c r="H127" s="49"/>
    </row>
    <row r="128" spans="1:8" ht="17" thickBot="1" x14ac:dyDescent="0.25">
      <c r="A128" s="50" t="s">
        <v>962</v>
      </c>
      <c r="B128" s="51"/>
      <c r="C128" s="51"/>
      <c r="D128" s="51"/>
      <c r="E128" s="51"/>
      <c r="F128" s="51"/>
      <c r="G128" s="51"/>
      <c r="H128" s="79"/>
    </row>
    <row r="129" spans="1:8" ht="17" thickBot="1" x14ac:dyDescent="0.25"/>
    <row r="130" spans="1:8" x14ac:dyDescent="0.2">
      <c r="A130" s="84" t="s">
        <v>963</v>
      </c>
      <c r="B130" s="46"/>
      <c r="C130" s="46"/>
      <c r="D130" s="46"/>
      <c r="E130" s="46"/>
      <c r="F130" s="46"/>
      <c r="G130" s="46"/>
      <c r="H130" s="47"/>
    </row>
    <row r="131" spans="1:8" x14ac:dyDescent="0.2">
      <c r="A131" s="48" t="s">
        <v>964</v>
      </c>
      <c r="H131" s="49"/>
    </row>
    <row r="132" spans="1:8" x14ac:dyDescent="0.2">
      <c r="A132" s="48" t="s">
        <v>965</v>
      </c>
      <c r="H132" s="49"/>
    </row>
    <row r="133" spans="1:8" x14ac:dyDescent="0.2">
      <c r="A133" s="48" t="s">
        <v>966</v>
      </c>
      <c r="H133" s="49"/>
    </row>
    <row r="134" spans="1:8" x14ac:dyDescent="0.2">
      <c r="A134" s="48" t="s">
        <v>967</v>
      </c>
      <c r="H134" s="49"/>
    </row>
    <row r="135" spans="1:8" x14ac:dyDescent="0.2">
      <c r="A135" s="48" t="s">
        <v>968</v>
      </c>
      <c r="H135" s="49"/>
    </row>
    <row r="136" spans="1:8" ht="17" thickBot="1" x14ac:dyDescent="0.25">
      <c r="A136" s="50" t="s">
        <v>969</v>
      </c>
      <c r="B136" s="51"/>
      <c r="C136" s="51"/>
      <c r="D136" s="51"/>
      <c r="E136" s="51"/>
      <c r="F136" s="51"/>
      <c r="G136" s="51"/>
      <c r="H136" s="79"/>
    </row>
    <row r="140" spans="1:8" x14ac:dyDescent="0.2">
      <c r="A140" s="198" t="s">
        <v>1090</v>
      </c>
      <c r="B140" s="199"/>
      <c r="C140" s="199"/>
      <c r="D140" s="199"/>
      <c r="E140" s="199"/>
      <c r="F140" s="199"/>
      <c r="G140" s="199"/>
      <c r="H140" s="199"/>
    </row>
    <row r="141" spans="1:8" x14ac:dyDescent="0.2">
      <c r="A141" s="1" t="s">
        <v>970</v>
      </c>
    </row>
    <row r="142" spans="1:8" x14ac:dyDescent="0.2">
      <c r="A142" s="1" t="s">
        <v>971</v>
      </c>
    </row>
    <row r="143" spans="1:8" x14ac:dyDescent="0.2">
      <c r="A143" s="1" t="s">
        <v>972</v>
      </c>
    </row>
    <row r="145" spans="1:8" x14ac:dyDescent="0.2">
      <c r="A145" s="1" t="s">
        <v>973</v>
      </c>
    </row>
    <row r="147" spans="1:8" x14ac:dyDescent="0.2">
      <c r="C147" s="166">
        <v>43465</v>
      </c>
      <c r="D147" s="166">
        <v>43830</v>
      </c>
      <c r="E147" s="166">
        <v>44196</v>
      </c>
      <c r="F147" s="166">
        <v>44561</v>
      </c>
      <c r="G147" s="166">
        <v>44926</v>
      </c>
    </row>
    <row r="148" spans="1:8" x14ac:dyDescent="0.2">
      <c r="B148" s="1" t="s">
        <v>974</v>
      </c>
      <c r="C148" s="174">
        <v>100000</v>
      </c>
      <c r="D148" s="174">
        <f>C148</f>
        <v>100000</v>
      </c>
      <c r="E148" s="174">
        <f>D148</f>
        <v>100000</v>
      </c>
      <c r="F148" s="174">
        <f>E148</f>
        <v>100000</v>
      </c>
      <c r="G148" s="174">
        <f>F148</f>
        <v>100000</v>
      </c>
      <c r="H148" s="38" t="s">
        <v>1091</v>
      </c>
    </row>
    <row r="149" spans="1:8" x14ac:dyDescent="0.2">
      <c r="B149" s="1" t="s">
        <v>370</v>
      </c>
      <c r="C149" s="174">
        <f>-C152</f>
        <v>-16000</v>
      </c>
      <c r="D149" s="174">
        <f>C149-D152</f>
        <v>-32000</v>
      </c>
      <c r="E149" s="174">
        <f>-E152*3</f>
        <v>-48000</v>
      </c>
      <c r="F149" s="174">
        <f>-F152*4</f>
        <v>-64000</v>
      </c>
      <c r="G149" s="174">
        <f>-G152*5</f>
        <v>-80000</v>
      </c>
    </row>
    <row r="150" spans="1:8" x14ac:dyDescent="0.2">
      <c r="B150" s="1" t="s">
        <v>975</v>
      </c>
      <c r="C150" s="214">
        <f>C148+C149</f>
        <v>84000</v>
      </c>
      <c r="D150" s="214">
        <f>D148+D149</f>
        <v>68000</v>
      </c>
      <c r="E150" s="214">
        <f>E148+E149</f>
        <v>52000</v>
      </c>
      <c r="F150" s="214">
        <f>F148+F149</f>
        <v>36000</v>
      </c>
      <c r="G150" s="214">
        <f>G148+G149</f>
        <v>20000</v>
      </c>
    </row>
    <row r="151" spans="1:8" x14ac:dyDescent="0.2">
      <c r="C151" s="213"/>
      <c r="D151" s="213"/>
      <c r="E151" s="213"/>
      <c r="F151" s="213"/>
      <c r="G151" s="213"/>
    </row>
    <row r="152" spans="1:8" x14ac:dyDescent="0.2">
      <c r="B152" s="1" t="s">
        <v>976</v>
      </c>
      <c r="C152" s="174">
        <f>(100000-20000)/5</f>
        <v>16000</v>
      </c>
      <c r="D152" s="174">
        <f>C152</f>
        <v>16000</v>
      </c>
      <c r="E152" s="174">
        <f>D152</f>
        <v>16000</v>
      </c>
      <c r="F152" s="174">
        <f>E152</f>
        <v>16000</v>
      </c>
      <c r="G152" s="174">
        <f>F152</f>
        <v>16000</v>
      </c>
    </row>
    <row r="154" spans="1:8" x14ac:dyDescent="0.2">
      <c r="A154" s="1" t="s">
        <v>977</v>
      </c>
    </row>
    <row r="155" spans="1:8" ht="18" x14ac:dyDescent="0.25">
      <c r="A155" s="1" t="s">
        <v>978</v>
      </c>
    </row>
    <row r="156" spans="1:8" x14ac:dyDescent="0.2">
      <c r="A156" s="1" t="s">
        <v>979</v>
      </c>
    </row>
    <row r="157" spans="1:8" x14ac:dyDescent="0.2">
      <c r="A157" s="1" t="s">
        <v>980</v>
      </c>
    </row>
    <row r="159" spans="1:8" x14ac:dyDescent="0.2">
      <c r="A159" s="1" t="s">
        <v>981</v>
      </c>
    </row>
    <row r="161" spans="1:8" x14ac:dyDescent="0.2">
      <c r="A161" s="1" t="s">
        <v>982</v>
      </c>
    </row>
    <row r="162" spans="1:8" x14ac:dyDescent="0.2">
      <c r="A162" s="1" t="s">
        <v>983</v>
      </c>
    </row>
    <row r="163" spans="1:8" x14ac:dyDescent="0.2">
      <c r="A163" s="1" t="s">
        <v>984</v>
      </c>
    </row>
    <row r="164" spans="1:8" x14ac:dyDescent="0.2">
      <c r="F164" s="1" t="s">
        <v>1093</v>
      </c>
    </row>
    <row r="165" spans="1:8" x14ac:dyDescent="0.2">
      <c r="A165" s="1" t="s">
        <v>1097</v>
      </c>
      <c r="D165" s="72">
        <f>80000/5</f>
        <v>16000</v>
      </c>
      <c r="G165" s="1" t="s">
        <v>985</v>
      </c>
    </row>
    <row r="168" spans="1:8" x14ac:dyDescent="0.2">
      <c r="D168" s="1" t="s">
        <v>1094</v>
      </c>
      <c r="E168" s="1" t="s">
        <v>1092</v>
      </c>
      <c r="F168" s="4" t="s">
        <v>369</v>
      </c>
    </row>
    <row r="169" spans="1:8" x14ac:dyDescent="0.2">
      <c r="D169" s="1" t="s">
        <v>1095</v>
      </c>
    </row>
    <row r="170" spans="1:8" x14ac:dyDescent="0.2">
      <c r="D170" s="1" t="s">
        <v>1096</v>
      </c>
    </row>
    <row r="172" spans="1:8" x14ac:dyDescent="0.2">
      <c r="A172" s="1" t="s">
        <v>986</v>
      </c>
    </row>
    <row r="174" spans="1:8" x14ac:dyDescent="0.2">
      <c r="A174" s="198" t="s">
        <v>164</v>
      </c>
      <c r="B174" s="199"/>
      <c r="C174" s="199"/>
      <c r="D174" s="199"/>
      <c r="E174" s="199"/>
      <c r="F174" s="199"/>
      <c r="G174" s="199"/>
      <c r="H174" s="199"/>
    </row>
    <row r="175" spans="1:8" x14ac:dyDescent="0.2">
      <c r="A175" s="1" t="s">
        <v>987</v>
      </c>
    </row>
    <row r="176" spans="1:8" x14ac:dyDescent="0.2">
      <c r="A176" s="1" t="s">
        <v>988</v>
      </c>
    </row>
    <row r="177" spans="1:7" x14ac:dyDescent="0.2">
      <c r="A177" s="1" t="s">
        <v>989</v>
      </c>
    </row>
    <row r="179" spans="1:7" x14ac:dyDescent="0.2">
      <c r="A179" s="1" t="s">
        <v>973</v>
      </c>
    </row>
    <row r="181" spans="1:7" x14ac:dyDescent="0.2">
      <c r="C181" s="166">
        <v>43465</v>
      </c>
      <c r="D181" s="166">
        <v>43830</v>
      </c>
      <c r="E181" s="166">
        <v>44196</v>
      </c>
    </row>
    <row r="182" spans="1:7" s="38" customFormat="1" x14ac:dyDescent="0.2">
      <c r="B182" s="38" t="s">
        <v>990</v>
      </c>
      <c r="C182" s="174">
        <v>500000</v>
      </c>
      <c r="D182" s="174">
        <f>C182</f>
        <v>500000</v>
      </c>
      <c r="E182" s="174">
        <f>D182</f>
        <v>500000</v>
      </c>
    </row>
    <row r="183" spans="1:7" x14ac:dyDescent="0.2">
      <c r="B183" s="1" t="s">
        <v>370</v>
      </c>
      <c r="C183" s="19">
        <f>C186</f>
        <v>16666.666666666668</v>
      </c>
      <c r="D183" s="19">
        <f>C183+D186</f>
        <v>36666.666666666672</v>
      </c>
      <c r="E183" s="19">
        <f>D183+E186</f>
        <v>56666.666666666672</v>
      </c>
    </row>
    <row r="184" spans="1:7" x14ac:dyDescent="0.2">
      <c r="B184" s="1" t="s">
        <v>975</v>
      </c>
      <c r="C184" s="71">
        <f>C182-C183</f>
        <v>483333.33333333331</v>
      </c>
      <c r="D184" s="71">
        <f>D182-D183</f>
        <v>463333.33333333331</v>
      </c>
      <c r="E184" s="71">
        <f>E182-E183</f>
        <v>443333.33333333331</v>
      </c>
    </row>
    <row r="185" spans="1:7" x14ac:dyDescent="0.2">
      <c r="C185" s="19"/>
      <c r="D185" s="19"/>
      <c r="E185" s="19"/>
    </row>
    <row r="186" spans="1:7" x14ac:dyDescent="0.2">
      <c r="B186" s="1" t="s">
        <v>976</v>
      </c>
      <c r="C186" s="19">
        <f>(500000-100000)/20*(10/12)</f>
        <v>16666.666666666668</v>
      </c>
      <c r="D186" s="19">
        <f>(500000-100000)/20</f>
        <v>20000</v>
      </c>
      <c r="E186" s="19">
        <f>(500000-100000)/20</f>
        <v>20000</v>
      </c>
    </row>
    <row r="188" spans="1:7" x14ac:dyDescent="0.2">
      <c r="A188" s="1" t="s">
        <v>991</v>
      </c>
    </row>
    <row r="189" spans="1:7" x14ac:dyDescent="0.2">
      <c r="A189" s="1" t="s">
        <v>992</v>
      </c>
    </row>
    <row r="190" spans="1:7" x14ac:dyDescent="0.2">
      <c r="A190" s="1" t="s">
        <v>993</v>
      </c>
      <c r="D190" s="72">
        <f>400000/20</f>
        <v>20000</v>
      </c>
      <c r="G190" s="1" t="s">
        <v>994</v>
      </c>
    </row>
    <row r="192" spans="1:7" x14ac:dyDescent="0.2">
      <c r="A192" s="1" t="s">
        <v>995</v>
      </c>
    </row>
    <row r="193" spans="1:8" x14ac:dyDescent="0.2">
      <c r="A193" s="1" t="s">
        <v>996</v>
      </c>
    </row>
    <row r="194" spans="1:8" x14ac:dyDescent="0.2">
      <c r="D194" s="72">
        <f>20000*10/12</f>
        <v>16666.666666666668</v>
      </c>
      <c r="G194" s="1" t="s">
        <v>997</v>
      </c>
    </row>
    <row r="196" spans="1:8" x14ac:dyDescent="0.2">
      <c r="A196" s="1" t="s">
        <v>998</v>
      </c>
    </row>
    <row r="197" spans="1:8" x14ac:dyDescent="0.2">
      <c r="A197" s="1" t="s">
        <v>999</v>
      </c>
    </row>
    <row r="199" spans="1:8" x14ac:dyDescent="0.2">
      <c r="A199" s="198" t="s">
        <v>1000</v>
      </c>
      <c r="B199" s="199"/>
      <c r="C199" s="199"/>
      <c r="D199" s="199"/>
      <c r="E199" s="199"/>
      <c r="F199" s="199"/>
      <c r="G199" s="199"/>
      <c r="H199" s="199"/>
    </row>
    <row r="200" spans="1:8" x14ac:dyDescent="0.2">
      <c r="A200" s="1" t="s">
        <v>1001</v>
      </c>
    </row>
    <row r="201" spans="1:8" x14ac:dyDescent="0.2">
      <c r="A201" s="1" t="s">
        <v>1002</v>
      </c>
    </row>
    <row r="202" spans="1:8" x14ac:dyDescent="0.2">
      <c r="A202" s="1" t="s">
        <v>1003</v>
      </c>
    </row>
    <row r="203" spans="1:8" ht="17" thickBot="1" x14ac:dyDescent="0.25"/>
    <row r="204" spans="1:8" x14ac:dyDescent="0.2">
      <c r="A204" s="1" t="s">
        <v>1004</v>
      </c>
      <c r="E204" s="219"/>
    </row>
    <row r="205" spans="1:8" x14ac:dyDescent="0.2">
      <c r="E205" s="220" t="s">
        <v>1098</v>
      </c>
      <c r="F205" s="1" t="s">
        <v>1099</v>
      </c>
    </row>
    <row r="206" spans="1:8" x14ac:dyDescent="0.2">
      <c r="C206" s="152">
        <v>43465</v>
      </c>
      <c r="D206" s="152">
        <v>43830</v>
      </c>
      <c r="E206" s="221">
        <v>43921</v>
      </c>
      <c r="F206" s="200">
        <v>44196</v>
      </c>
    </row>
    <row r="207" spans="1:8" x14ac:dyDescent="0.2">
      <c r="B207" s="1" t="s">
        <v>990</v>
      </c>
      <c r="C207" s="174">
        <v>100000</v>
      </c>
      <c r="D207" s="174">
        <v>100000</v>
      </c>
      <c r="E207" s="222">
        <f>D207</f>
        <v>100000</v>
      </c>
      <c r="F207" s="216">
        <v>0</v>
      </c>
      <c r="H207" s="1" t="s">
        <v>1100</v>
      </c>
    </row>
    <row r="208" spans="1:8" x14ac:dyDescent="0.2">
      <c r="B208" s="1" t="s">
        <v>370</v>
      </c>
      <c r="C208" s="174">
        <f>C211</f>
        <v>20000</v>
      </c>
      <c r="D208" s="174">
        <f>C208+D211</f>
        <v>40000</v>
      </c>
      <c r="E208" s="222">
        <f>D208+E211</f>
        <v>45000</v>
      </c>
      <c r="F208" s="216">
        <v>0</v>
      </c>
      <c r="H208" s="1" t="s">
        <v>1101</v>
      </c>
    </row>
    <row r="209" spans="1:8" x14ac:dyDescent="0.2">
      <c r="B209" s="1" t="s">
        <v>975</v>
      </c>
      <c r="C209" s="214">
        <f>C207-C208</f>
        <v>80000</v>
      </c>
      <c r="D209" s="214">
        <f>D207-D208</f>
        <v>60000</v>
      </c>
      <c r="E209" s="226">
        <f>E207-E208</f>
        <v>55000</v>
      </c>
      <c r="F209" s="217">
        <v>0</v>
      </c>
      <c r="H209" s="1" t="s">
        <v>1102</v>
      </c>
    </row>
    <row r="210" spans="1:8" x14ac:dyDescent="0.2">
      <c r="C210" s="213"/>
      <c r="D210" s="213"/>
      <c r="E210" s="223"/>
      <c r="F210" s="215"/>
    </row>
    <row r="211" spans="1:8" x14ac:dyDescent="0.2">
      <c r="B211" s="1" t="s">
        <v>976</v>
      </c>
      <c r="C211" s="174">
        <f>(100000-20000)/4</f>
        <v>20000</v>
      </c>
      <c r="D211" s="174">
        <f>C211</f>
        <v>20000</v>
      </c>
      <c r="E211" s="222">
        <f>(100000-20000)/4*(3/12)</f>
        <v>5000</v>
      </c>
      <c r="F211" s="216">
        <f>E211</f>
        <v>5000</v>
      </c>
    </row>
    <row r="212" spans="1:8" x14ac:dyDescent="0.2">
      <c r="B212" s="1" t="s">
        <v>1005</v>
      </c>
      <c r="C212" s="218"/>
      <c r="D212" s="218"/>
      <c r="E212" s="224"/>
      <c r="F212" s="218"/>
    </row>
    <row r="213" spans="1:8" x14ac:dyDescent="0.2">
      <c r="B213" s="1" t="s">
        <v>1006</v>
      </c>
      <c r="C213" s="218"/>
      <c r="D213" s="218"/>
      <c r="E213" s="224"/>
      <c r="F213" s="229">
        <f>44000-E209</f>
        <v>-11000</v>
      </c>
      <c r="G213" s="1" t="s">
        <v>1103</v>
      </c>
    </row>
    <row r="214" spans="1:8" ht="17" thickBot="1" x14ac:dyDescent="0.25">
      <c r="C214" s="38"/>
      <c r="D214" s="38"/>
      <c r="E214" s="225"/>
      <c r="F214" s="38"/>
      <c r="G214" s="1" t="s">
        <v>1104</v>
      </c>
    </row>
    <row r="216" spans="1:8" x14ac:dyDescent="0.2">
      <c r="A216" s="1" t="s">
        <v>1007</v>
      </c>
      <c r="G216" s="1" t="s">
        <v>1008</v>
      </c>
    </row>
    <row r="218" spans="1:8" x14ac:dyDescent="0.2">
      <c r="A218" s="1" t="s">
        <v>1009</v>
      </c>
    </row>
    <row r="219" spans="1:8" x14ac:dyDescent="0.2">
      <c r="A219" s="1" t="s">
        <v>1010</v>
      </c>
      <c r="E219" s="30">
        <f>20000*3/12</f>
        <v>5000</v>
      </c>
      <c r="G219" s="1" t="s">
        <v>1011</v>
      </c>
    </row>
    <row r="221" spans="1:8" x14ac:dyDescent="0.2">
      <c r="A221" s="1" t="s">
        <v>1012</v>
      </c>
    </row>
    <row r="222" spans="1:8" x14ac:dyDescent="0.2">
      <c r="A222" s="1" t="s">
        <v>1013</v>
      </c>
    </row>
    <row r="223" spans="1:8" x14ac:dyDescent="0.2">
      <c r="A223" s="204" t="s">
        <v>1014</v>
      </c>
    </row>
    <row r="225" spans="1:8" x14ac:dyDescent="0.2">
      <c r="A225" s="3" t="s">
        <v>1105</v>
      </c>
      <c r="E225" s="30"/>
    </row>
    <row r="227" spans="1:8" x14ac:dyDescent="0.2">
      <c r="B227" s="1" t="s">
        <v>1016</v>
      </c>
      <c r="F227" s="18">
        <v>44000</v>
      </c>
    </row>
    <row r="228" spans="1:8" x14ac:dyDescent="0.2">
      <c r="B228" s="1" t="s">
        <v>1106</v>
      </c>
      <c r="F228" s="227">
        <f>-E209</f>
        <v>-55000</v>
      </c>
    </row>
    <row r="229" spans="1:8" x14ac:dyDescent="0.2">
      <c r="B229" s="1" t="s">
        <v>1006</v>
      </c>
      <c r="F229" s="228">
        <f>SUM(F227:F228)</f>
        <v>-11000</v>
      </c>
    </row>
    <row r="231" spans="1:8" x14ac:dyDescent="0.2">
      <c r="A231" s="198" t="s">
        <v>174</v>
      </c>
      <c r="B231" s="199"/>
      <c r="C231" s="199"/>
      <c r="D231" s="199"/>
      <c r="E231" s="199"/>
      <c r="F231" s="199"/>
      <c r="G231" s="199"/>
      <c r="H231" s="199"/>
    </row>
    <row r="232" spans="1:8" x14ac:dyDescent="0.2">
      <c r="A232" s="1" t="s">
        <v>1017</v>
      </c>
    </row>
    <row r="233" spans="1:8" x14ac:dyDescent="0.2">
      <c r="A233" s="1" t="s">
        <v>1018</v>
      </c>
    </row>
    <row r="234" spans="1:8" x14ac:dyDescent="0.2">
      <c r="A234" s="1" t="s">
        <v>1019</v>
      </c>
    </row>
    <row r="236" spans="1:8" x14ac:dyDescent="0.2">
      <c r="A236" s="1" t="s">
        <v>1020</v>
      </c>
    </row>
    <row r="238" spans="1:8" x14ac:dyDescent="0.2">
      <c r="A238" s="1" t="s">
        <v>1107</v>
      </c>
    </row>
    <row r="239" spans="1:8" x14ac:dyDescent="0.2">
      <c r="A239" s="1" t="s">
        <v>1108</v>
      </c>
      <c r="H239" s="166">
        <v>44104</v>
      </c>
    </row>
    <row r="240" spans="1:8" x14ac:dyDescent="0.2">
      <c r="D240" s="1" t="s">
        <v>1109</v>
      </c>
      <c r="G240" s="4" t="s">
        <v>25</v>
      </c>
      <c r="H240" s="18">
        <v>1250</v>
      </c>
    </row>
    <row r="241" spans="1:10" x14ac:dyDescent="0.2">
      <c r="D241" s="1" t="s">
        <v>1110</v>
      </c>
      <c r="G241" s="4" t="s">
        <v>27</v>
      </c>
      <c r="H241" s="19">
        <f>F248</f>
        <v>1000</v>
      </c>
    </row>
    <row r="242" spans="1:10" x14ac:dyDescent="0.2">
      <c r="D242" s="1" t="s">
        <v>1113</v>
      </c>
      <c r="G242" s="4" t="s">
        <v>28</v>
      </c>
      <c r="H242" s="231">
        <f>H240-H241</f>
        <v>250</v>
      </c>
      <c r="J242" s="1" t="s">
        <v>1124</v>
      </c>
    </row>
    <row r="243" spans="1:10" x14ac:dyDescent="0.2">
      <c r="A243" s="1" t="s">
        <v>1123</v>
      </c>
      <c r="H243" s="4"/>
      <c r="J243" s="1" t="s">
        <v>1125</v>
      </c>
    </row>
    <row r="244" spans="1:10" x14ac:dyDescent="0.2">
      <c r="A244" s="1" t="s">
        <v>1098</v>
      </c>
      <c r="F244" s="4" t="s">
        <v>1098</v>
      </c>
      <c r="J244" s="1" t="s">
        <v>1126</v>
      </c>
    </row>
    <row r="245" spans="1:10" x14ac:dyDescent="0.2">
      <c r="F245" s="166">
        <v>44104</v>
      </c>
      <c r="J245" s="1" t="s">
        <v>1127</v>
      </c>
    </row>
    <row r="246" spans="1:10" x14ac:dyDescent="0.2">
      <c r="D246" s="1" t="s">
        <v>1111</v>
      </c>
      <c r="E246" s="4" t="s">
        <v>25</v>
      </c>
      <c r="F246" s="230">
        <v>3500</v>
      </c>
      <c r="J246" s="1" t="s">
        <v>1128</v>
      </c>
    </row>
    <row r="247" spans="1:10" x14ac:dyDescent="0.2">
      <c r="D247" s="1" t="s">
        <v>370</v>
      </c>
      <c r="E247" s="4" t="s">
        <v>27</v>
      </c>
      <c r="F247" s="230">
        <f>(3500-500)/3*2.5</f>
        <v>2500</v>
      </c>
      <c r="H247" s="1" t="s">
        <v>1112</v>
      </c>
      <c r="J247" s="1" t="s">
        <v>1129</v>
      </c>
    </row>
    <row r="248" spans="1:10" x14ac:dyDescent="0.2">
      <c r="D248" s="1" t="s">
        <v>975</v>
      </c>
      <c r="E248" s="4" t="s">
        <v>28</v>
      </c>
      <c r="F248" s="231">
        <f>F246-F247</f>
        <v>1000</v>
      </c>
    </row>
    <row r="251" spans="1:10" x14ac:dyDescent="0.2">
      <c r="A251" s="1" t="s">
        <v>1122</v>
      </c>
      <c r="F251" s="1" t="s">
        <v>1114</v>
      </c>
    </row>
    <row r="253" spans="1:10" x14ac:dyDescent="0.2">
      <c r="G253" s="1" t="s">
        <v>369</v>
      </c>
    </row>
    <row r="254" spans="1:10" x14ac:dyDescent="0.2">
      <c r="C254" s="1" t="s">
        <v>1118</v>
      </c>
      <c r="F254" s="1" t="s">
        <v>1115</v>
      </c>
    </row>
    <row r="255" spans="1:10" x14ac:dyDescent="0.2">
      <c r="C255" s="1" t="s">
        <v>1119</v>
      </c>
      <c r="E255" s="1" t="s">
        <v>1116</v>
      </c>
    </row>
    <row r="256" spans="1:10" x14ac:dyDescent="0.2">
      <c r="C256" s="1" t="s">
        <v>1120</v>
      </c>
      <c r="E256" s="1" t="s">
        <v>1117</v>
      </c>
    </row>
    <row r="257" spans="1:10" x14ac:dyDescent="0.2">
      <c r="C257" s="1" t="s">
        <v>1121</v>
      </c>
    </row>
    <row r="259" spans="1:10" x14ac:dyDescent="0.2">
      <c r="A259" s="198" t="s">
        <v>182</v>
      </c>
      <c r="B259" s="199"/>
      <c r="C259" s="199"/>
      <c r="D259" s="199"/>
      <c r="E259" s="199"/>
      <c r="F259" s="199"/>
      <c r="G259" s="199"/>
      <c r="H259" s="199"/>
    </row>
    <row r="260" spans="1:10" x14ac:dyDescent="0.2">
      <c r="A260" s="1" t="s">
        <v>1021</v>
      </c>
    </row>
    <row r="261" spans="1:10" x14ac:dyDescent="0.2">
      <c r="A261" s="1" t="s">
        <v>1022</v>
      </c>
    </row>
    <row r="262" spans="1:10" x14ac:dyDescent="0.2">
      <c r="A262" s="1" t="s">
        <v>1023</v>
      </c>
    </row>
    <row r="263" spans="1:10" x14ac:dyDescent="0.2">
      <c r="A263" s="1" t="s">
        <v>1131</v>
      </c>
    </row>
    <row r="264" spans="1:10" x14ac:dyDescent="0.2">
      <c r="A264" s="1" t="s">
        <v>1024</v>
      </c>
    </row>
    <row r="265" spans="1:10" x14ac:dyDescent="0.2">
      <c r="A265" s="1" t="s">
        <v>1025</v>
      </c>
    </row>
    <row r="267" spans="1:10" x14ac:dyDescent="0.2">
      <c r="A267" s="3" t="s">
        <v>715</v>
      </c>
    </row>
    <row r="269" spans="1:10" x14ac:dyDescent="0.2">
      <c r="A269" s="1" t="s">
        <v>1108</v>
      </c>
      <c r="H269" s="166">
        <v>45231</v>
      </c>
    </row>
    <row r="270" spans="1:10" x14ac:dyDescent="0.2">
      <c r="D270" s="1" t="s">
        <v>1109</v>
      </c>
      <c r="G270" s="4" t="s">
        <v>25</v>
      </c>
      <c r="H270" s="18">
        <v>72000</v>
      </c>
      <c r="I270" s="1" t="s">
        <v>1130</v>
      </c>
    </row>
    <row r="271" spans="1:10" x14ac:dyDescent="0.2">
      <c r="D271" s="1" t="s">
        <v>1110</v>
      </c>
      <c r="G271" s="4" t="s">
        <v>27</v>
      </c>
      <c r="H271" s="19">
        <f>F278</f>
        <v>48333.333333333328</v>
      </c>
    </row>
    <row r="272" spans="1:10" x14ac:dyDescent="0.2">
      <c r="D272" s="1" t="s">
        <v>1113</v>
      </c>
      <c r="G272" s="4" t="s">
        <v>28</v>
      </c>
      <c r="H272" s="231">
        <f>H270-H271</f>
        <v>23666.666666666672</v>
      </c>
      <c r="J272" s="1" t="s">
        <v>1124</v>
      </c>
    </row>
    <row r="273" spans="1:10" x14ac:dyDescent="0.2">
      <c r="A273" s="1" t="s">
        <v>1123</v>
      </c>
      <c r="H273" s="4"/>
      <c r="J273" s="1" t="s">
        <v>1125</v>
      </c>
    </row>
    <row r="274" spans="1:10" x14ac:dyDescent="0.2">
      <c r="A274" s="1" t="s">
        <v>1098</v>
      </c>
      <c r="F274" s="4" t="s">
        <v>1098</v>
      </c>
      <c r="J274" s="1" t="s">
        <v>1126</v>
      </c>
    </row>
    <row r="275" spans="1:10" x14ac:dyDescent="0.2">
      <c r="F275" s="166">
        <v>45231</v>
      </c>
      <c r="J275" s="1" t="s">
        <v>1127</v>
      </c>
    </row>
    <row r="276" spans="1:10" x14ac:dyDescent="0.2">
      <c r="D276" s="1" t="s">
        <v>1111</v>
      </c>
      <c r="E276" s="4" t="s">
        <v>25</v>
      </c>
      <c r="F276" s="230">
        <f>100000+10000+5000</f>
        <v>115000</v>
      </c>
      <c r="J276" s="1" t="s">
        <v>1128</v>
      </c>
    </row>
    <row r="277" spans="1:10" x14ac:dyDescent="0.2">
      <c r="D277" s="1" t="s">
        <v>370</v>
      </c>
      <c r="E277" s="4" t="s">
        <v>27</v>
      </c>
      <c r="F277" s="230">
        <f>100000/5*(3+4/12)</f>
        <v>66666.666666666672</v>
      </c>
      <c r="H277" s="232" t="s">
        <v>1132</v>
      </c>
      <c r="J277" s="1" t="s">
        <v>1129</v>
      </c>
    </row>
    <row r="278" spans="1:10" x14ac:dyDescent="0.2">
      <c r="D278" s="1" t="s">
        <v>975</v>
      </c>
      <c r="E278" s="4" t="s">
        <v>28</v>
      </c>
      <c r="F278" s="231">
        <f>F276-F277</f>
        <v>48333.333333333328</v>
      </c>
    </row>
    <row r="281" spans="1:10" x14ac:dyDescent="0.2">
      <c r="A281" s="1" t="s">
        <v>1133</v>
      </c>
      <c r="G281" s="1" t="s">
        <v>1134</v>
      </c>
    </row>
    <row r="283" spans="1:10" x14ac:dyDescent="0.2">
      <c r="A283" s="1" t="s">
        <v>1141</v>
      </c>
      <c r="D283" s="1" t="s">
        <v>1138</v>
      </c>
      <c r="F283" s="1" t="s">
        <v>1137</v>
      </c>
      <c r="G283" s="233" t="s">
        <v>369</v>
      </c>
    </row>
    <row r="284" spans="1:10" x14ac:dyDescent="0.2">
      <c r="A284" s="1" t="s">
        <v>1142</v>
      </c>
      <c r="D284" s="1" t="s">
        <v>1139</v>
      </c>
      <c r="G284" s="1" t="s">
        <v>1135</v>
      </c>
    </row>
    <row r="285" spans="1:10" x14ac:dyDescent="0.2">
      <c r="A285" s="1" t="s">
        <v>1143</v>
      </c>
      <c r="D285" s="1" t="s">
        <v>1140</v>
      </c>
      <c r="G285" s="1" t="s">
        <v>1136</v>
      </c>
    </row>
    <row r="286" spans="1:10" x14ac:dyDescent="0.2">
      <c r="A286" s="1" t="s">
        <v>1144</v>
      </c>
    </row>
    <row r="288" spans="1:10" ht="17" thickBot="1" x14ac:dyDescent="0.25"/>
    <row r="289" spans="1:8" x14ac:dyDescent="0.2">
      <c r="A289" s="84" t="s">
        <v>1145</v>
      </c>
      <c r="B289" s="46"/>
      <c r="C289" s="46"/>
      <c r="D289" s="46"/>
      <c r="E289" s="46"/>
      <c r="F289" s="46"/>
      <c r="G289" s="47"/>
    </row>
    <row r="290" spans="1:8" x14ac:dyDescent="0.2">
      <c r="A290" s="48" t="s">
        <v>1146</v>
      </c>
      <c r="G290" s="49"/>
    </row>
    <row r="291" spans="1:8" x14ac:dyDescent="0.2">
      <c r="A291" s="48" t="s">
        <v>1147</v>
      </c>
      <c r="G291" s="49"/>
    </row>
    <row r="292" spans="1:8" x14ac:dyDescent="0.2">
      <c r="A292" s="48" t="s">
        <v>1148</v>
      </c>
      <c r="G292" s="49"/>
    </row>
    <row r="293" spans="1:8" ht="17" thickBot="1" x14ac:dyDescent="0.25">
      <c r="A293" s="50" t="s">
        <v>1149</v>
      </c>
      <c r="B293" s="51"/>
      <c r="C293" s="51"/>
      <c r="D293" s="51"/>
      <c r="E293" s="51"/>
      <c r="F293" s="51"/>
      <c r="G293" s="79"/>
    </row>
    <row r="300" spans="1:8" x14ac:dyDescent="0.2">
      <c r="A300" s="198" t="s">
        <v>1026</v>
      </c>
      <c r="B300" s="199"/>
      <c r="C300" s="199"/>
      <c r="D300" s="199"/>
      <c r="E300" s="199"/>
      <c r="F300" s="199"/>
      <c r="G300" s="199"/>
      <c r="H300" s="199"/>
    </row>
    <row r="301" spans="1:8" x14ac:dyDescent="0.2">
      <c r="A301" s="1" t="s">
        <v>1027</v>
      </c>
    </row>
    <row r="302" spans="1:8" x14ac:dyDescent="0.2">
      <c r="A302" s="1" t="s">
        <v>1028</v>
      </c>
    </row>
    <row r="304" spans="1:8" x14ac:dyDescent="0.2">
      <c r="A304" s="1" t="s">
        <v>222</v>
      </c>
    </row>
    <row r="305" spans="1:6" x14ac:dyDescent="0.2">
      <c r="A305" s="1" t="s">
        <v>1029</v>
      </c>
    </row>
    <row r="306" spans="1:6" x14ac:dyDescent="0.2">
      <c r="A306" s="1" t="s">
        <v>1030</v>
      </c>
    </row>
    <row r="307" spans="1:6" ht="17" thickBot="1" x14ac:dyDescent="0.25"/>
    <row r="308" spans="1:6" ht="17" thickBot="1" x14ac:dyDescent="0.25">
      <c r="A308" s="205" t="s">
        <v>1031</v>
      </c>
    </row>
    <row r="310" spans="1:6" ht="18" x14ac:dyDescent="0.25">
      <c r="A310" s="4" t="s">
        <v>1032</v>
      </c>
      <c r="B310" s="4" t="s">
        <v>1033</v>
      </c>
    </row>
    <row r="311" spans="1:6" x14ac:dyDescent="0.2">
      <c r="A311" s="4" t="s">
        <v>1034</v>
      </c>
      <c r="B311" s="18">
        <v>10000</v>
      </c>
    </row>
    <row r="312" spans="1:6" x14ac:dyDescent="0.2">
      <c r="A312" s="4" t="s">
        <v>1035</v>
      </c>
      <c r="B312" s="18">
        <v>42750</v>
      </c>
      <c r="C312" s="1" t="s">
        <v>1036</v>
      </c>
    </row>
    <row r="313" spans="1:6" x14ac:dyDescent="0.2">
      <c r="A313" s="4" t="s">
        <v>1037</v>
      </c>
      <c r="B313" s="4">
        <v>10</v>
      </c>
      <c r="C313" s="1" t="s">
        <v>1038</v>
      </c>
    </row>
    <row r="315" spans="1:6" ht="18" x14ac:dyDescent="0.25">
      <c r="A315" s="1" t="s">
        <v>1039</v>
      </c>
      <c r="C315" s="18">
        <f>B312</f>
        <v>42750</v>
      </c>
      <c r="D315" s="393" t="s">
        <v>1040</v>
      </c>
      <c r="E315" s="393"/>
      <c r="F315" s="393"/>
    </row>
    <row r="317" spans="1:6" x14ac:dyDescent="0.2">
      <c r="A317" s="1" t="s">
        <v>1041</v>
      </c>
    </row>
    <row r="319" spans="1:6" ht="18" x14ac:dyDescent="0.25">
      <c r="A319" s="1" t="s">
        <v>1042</v>
      </c>
      <c r="D319" s="393" t="s">
        <v>1043</v>
      </c>
      <c r="E319" s="393"/>
      <c r="F319" s="393"/>
    </row>
    <row r="321" spans="1:6" ht="18" x14ac:dyDescent="0.25">
      <c r="E321" s="18">
        <f>42750/4.75*10</f>
        <v>90000</v>
      </c>
      <c r="F321" s="1" t="s">
        <v>1044</v>
      </c>
    </row>
    <row r="322" spans="1:6" x14ac:dyDescent="0.2">
      <c r="E322" s="4"/>
    </row>
    <row r="323" spans="1:6" ht="18" x14ac:dyDescent="0.25">
      <c r="E323" s="18">
        <v>100000</v>
      </c>
      <c r="F323" s="4" t="s">
        <v>1045</v>
      </c>
    </row>
    <row r="324" spans="1:6" x14ac:dyDescent="0.2">
      <c r="E324" s="18"/>
      <c r="F324" s="4"/>
    </row>
    <row r="325" spans="1:6" x14ac:dyDescent="0.2">
      <c r="A325" s="1" t="s">
        <v>1046</v>
      </c>
      <c r="E325" s="18"/>
      <c r="F325" s="4"/>
    </row>
    <row r="326" spans="1:6" x14ac:dyDescent="0.2">
      <c r="E326" s="18"/>
      <c r="F326" s="4"/>
    </row>
    <row r="327" spans="1:6" x14ac:dyDescent="0.2">
      <c r="D327" s="206">
        <f>90000/10*9/12</f>
        <v>6750</v>
      </c>
      <c r="E327" s="18"/>
      <c r="F327" s="4" t="s">
        <v>1047</v>
      </c>
    </row>
    <row r="328" spans="1:6" x14ac:dyDescent="0.2">
      <c r="E328" s="18"/>
      <c r="F328" s="4"/>
    </row>
    <row r="329" spans="1:6" x14ac:dyDescent="0.2">
      <c r="A329" s="1" t="s">
        <v>1048</v>
      </c>
      <c r="E329" s="18"/>
      <c r="F329" s="4"/>
    </row>
    <row r="330" spans="1:6" x14ac:dyDescent="0.2">
      <c r="E330" s="18"/>
      <c r="F330" s="4"/>
    </row>
    <row r="331" spans="1:6" x14ac:dyDescent="0.2">
      <c r="D331" s="206">
        <f>90000/10</f>
        <v>9000</v>
      </c>
      <c r="E331" s="18"/>
      <c r="F331" s="4" t="s">
        <v>1049</v>
      </c>
    </row>
    <row r="332" spans="1:6" ht="17" thickBot="1" x14ac:dyDescent="0.25">
      <c r="E332" s="18"/>
      <c r="F332" s="4"/>
    </row>
    <row r="333" spans="1:6" ht="17" thickBot="1" x14ac:dyDescent="0.25">
      <c r="A333" s="205" t="s">
        <v>1050</v>
      </c>
      <c r="E333" s="18"/>
      <c r="F333" s="4"/>
    </row>
    <row r="334" spans="1:6" x14ac:dyDescent="0.2">
      <c r="A334" s="1" t="s">
        <v>1051</v>
      </c>
      <c r="E334" s="18"/>
      <c r="F334" s="4"/>
    </row>
    <row r="335" spans="1:6" x14ac:dyDescent="0.2">
      <c r="E335" s="18"/>
      <c r="F335" s="4"/>
    </row>
    <row r="336" spans="1:6" x14ac:dyDescent="0.2">
      <c r="C336" s="1" t="s">
        <v>369</v>
      </c>
      <c r="D336" s="19">
        <v>100000</v>
      </c>
      <c r="E336" s="18"/>
      <c r="F336" s="4"/>
    </row>
    <row r="337" spans="1:8" x14ac:dyDescent="0.2">
      <c r="C337" s="1" t="s">
        <v>368</v>
      </c>
      <c r="D337" s="19">
        <f>-90000/10*3.75</f>
        <v>-33750</v>
      </c>
      <c r="E337" s="18"/>
      <c r="F337" s="4" t="s">
        <v>1052</v>
      </c>
    </row>
    <row r="338" spans="1:8" x14ac:dyDescent="0.2">
      <c r="C338" s="1" t="s">
        <v>975</v>
      </c>
      <c r="D338" s="207">
        <f>D336+D337</f>
        <v>66250</v>
      </c>
      <c r="E338" s="18"/>
      <c r="F338" s="4"/>
    </row>
    <row r="339" spans="1:8" x14ac:dyDescent="0.2">
      <c r="E339" s="18"/>
      <c r="F339" s="4"/>
    </row>
    <row r="340" spans="1:8" x14ac:dyDescent="0.2">
      <c r="A340" s="208" t="s">
        <v>1053</v>
      </c>
      <c r="B340" s="209"/>
      <c r="C340" s="209"/>
      <c r="D340" s="209"/>
      <c r="E340" s="209"/>
      <c r="F340" s="209"/>
      <c r="G340" s="209"/>
      <c r="H340" s="209"/>
    </row>
    <row r="341" spans="1:8" x14ac:dyDescent="0.2">
      <c r="A341" s="1" t="s">
        <v>1054</v>
      </c>
    </row>
    <row r="342" spans="1:8" x14ac:dyDescent="0.2">
      <c r="A342" s="1" t="s">
        <v>1055</v>
      </c>
    </row>
    <row r="343" spans="1:8" x14ac:dyDescent="0.2">
      <c r="A343" s="1" t="s">
        <v>1056</v>
      </c>
    </row>
    <row r="345" spans="1:8" x14ac:dyDescent="0.2">
      <c r="A345" s="1" t="s">
        <v>1057</v>
      </c>
    </row>
    <row r="347" spans="1:8" x14ac:dyDescent="0.2">
      <c r="C347" s="166">
        <v>43100</v>
      </c>
      <c r="D347" s="166">
        <v>43465</v>
      </c>
      <c r="E347" s="210">
        <v>43830</v>
      </c>
      <c r="F347" s="166">
        <v>44196</v>
      </c>
      <c r="G347" s="166">
        <v>44561</v>
      </c>
      <c r="H347" s="166">
        <v>44926</v>
      </c>
    </row>
    <row r="348" spans="1:8" x14ac:dyDescent="0.2">
      <c r="B348" s="1" t="s">
        <v>974</v>
      </c>
      <c r="C348" s="19"/>
      <c r="D348" s="19"/>
      <c r="E348" s="19"/>
      <c r="F348" s="19"/>
      <c r="G348" s="19"/>
      <c r="H348" s="19"/>
    </row>
    <row r="349" spans="1:8" x14ac:dyDescent="0.2">
      <c r="B349" s="1" t="s">
        <v>370</v>
      </c>
      <c r="C349" s="19"/>
      <c r="D349" s="19"/>
      <c r="E349" s="19"/>
      <c r="F349" s="19"/>
      <c r="G349" s="19"/>
      <c r="H349" s="19"/>
    </row>
    <row r="350" spans="1:8" x14ac:dyDescent="0.2">
      <c r="B350" s="1" t="s">
        <v>975</v>
      </c>
      <c r="C350" s="71"/>
      <c r="D350" s="71"/>
      <c r="E350" s="71"/>
      <c r="F350" s="71"/>
      <c r="G350" s="71"/>
      <c r="H350" s="71"/>
    </row>
    <row r="351" spans="1:8" x14ac:dyDescent="0.2">
      <c r="C351" s="19"/>
      <c r="D351" s="19"/>
      <c r="E351" s="19"/>
      <c r="F351" s="19"/>
      <c r="G351" s="19"/>
      <c r="H351" s="19"/>
    </row>
    <row r="352" spans="1:8" x14ac:dyDescent="0.2">
      <c r="B352" s="1" t="s">
        <v>976</v>
      </c>
      <c r="C352" s="19"/>
      <c r="D352" s="19"/>
      <c r="E352" s="19"/>
      <c r="F352" s="19"/>
      <c r="G352" s="19"/>
      <c r="H352" s="19"/>
    </row>
    <row r="354" spans="1:8" x14ac:dyDescent="0.2">
      <c r="A354" s="1" t="s">
        <v>1058</v>
      </c>
    </row>
    <row r="355" spans="1:8" x14ac:dyDescent="0.2">
      <c r="A355" s="1" t="s">
        <v>1059</v>
      </c>
    </row>
    <row r="357" spans="1:8" x14ac:dyDescent="0.2">
      <c r="C357" s="166">
        <v>43100</v>
      </c>
      <c r="D357" s="166">
        <v>43465</v>
      </c>
      <c r="E357" s="210">
        <v>43830</v>
      </c>
      <c r="F357" s="166">
        <v>44196</v>
      </c>
      <c r="G357" s="166">
        <v>44561</v>
      </c>
      <c r="H357" s="166">
        <v>44926</v>
      </c>
    </row>
    <row r="358" spans="1:8" x14ac:dyDescent="0.2">
      <c r="B358" s="1" t="s">
        <v>974</v>
      </c>
      <c r="C358" s="19">
        <f>100000+10000</f>
        <v>110000</v>
      </c>
      <c r="D358" s="19">
        <f>C358</f>
        <v>110000</v>
      </c>
      <c r="E358" s="131">
        <f>D358</f>
        <v>110000</v>
      </c>
      <c r="F358" s="19">
        <f>D358</f>
        <v>110000</v>
      </c>
      <c r="G358" s="19">
        <f>F358</f>
        <v>110000</v>
      </c>
      <c r="H358" s="19">
        <f>G358</f>
        <v>110000</v>
      </c>
    </row>
    <row r="359" spans="1:8" x14ac:dyDescent="0.2">
      <c r="B359" s="1" t="s">
        <v>370</v>
      </c>
      <c r="C359" s="19">
        <f>-C362</f>
        <v>-8500</v>
      </c>
      <c r="D359" s="19">
        <f>C359-D362</f>
        <v>-17000</v>
      </c>
      <c r="E359" s="131">
        <f>D359-E362</f>
        <v>-25500</v>
      </c>
      <c r="F359" s="19">
        <f>E359-F362</f>
        <v>-34000</v>
      </c>
      <c r="G359" s="19">
        <f>F359-G362</f>
        <v>-42500</v>
      </c>
      <c r="H359" s="19">
        <f>G359-H362</f>
        <v>-51000</v>
      </c>
    </row>
    <row r="360" spans="1:8" x14ac:dyDescent="0.2">
      <c r="B360" s="1" t="s">
        <v>975</v>
      </c>
      <c r="C360" s="71">
        <f t="shared" ref="C360:H360" si="0">C358+C359</f>
        <v>101500</v>
      </c>
      <c r="D360" s="71">
        <f t="shared" si="0"/>
        <v>93000</v>
      </c>
      <c r="E360" s="211">
        <f t="shared" si="0"/>
        <v>84500</v>
      </c>
      <c r="F360" s="71">
        <f t="shared" si="0"/>
        <v>76000</v>
      </c>
      <c r="G360" s="71">
        <f t="shared" si="0"/>
        <v>67500</v>
      </c>
      <c r="H360" s="71">
        <f t="shared" si="0"/>
        <v>59000</v>
      </c>
    </row>
    <row r="361" spans="1:8" x14ac:dyDescent="0.2">
      <c r="C361" s="19"/>
      <c r="D361" s="19"/>
      <c r="E361" s="131"/>
      <c r="F361" s="19"/>
      <c r="G361" s="19"/>
      <c r="H361" s="19"/>
    </row>
    <row r="362" spans="1:8" x14ac:dyDescent="0.2">
      <c r="B362" s="1" t="s">
        <v>976</v>
      </c>
      <c r="C362" s="19">
        <f>(C358-25000)/10</f>
        <v>8500</v>
      </c>
      <c r="D362" s="19">
        <f>C362</f>
        <v>8500</v>
      </c>
      <c r="E362" s="131">
        <f>D362</f>
        <v>8500</v>
      </c>
      <c r="F362" s="19">
        <f>D362</f>
        <v>8500</v>
      </c>
      <c r="G362" s="19">
        <f>F362</f>
        <v>8500</v>
      </c>
      <c r="H362" s="19">
        <f>G362</f>
        <v>8500</v>
      </c>
    </row>
    <row r="366" spans="1:8" x14ac:dyDescent="0.2">
      <c r="D366" s="72"/>
    </row>
    <row r="370" spans="1:8" x14ac:dyDescent="0.2">
      <c r="A370" s="208" t="s">
        <v>1060</v>
      </c>
      <c r="B370" s="209"/>
      <c r="C370" s="209"/>
      <c r="D370" s="209"/>
      <c r="E370" s="209"/>
      <c r="F370" s="209"/>
      <c r="G370" s="209"/>
      <c r="H370" s="209"/>
    </row>
    <row r="371" spans="1:8" x14ac:dyDescent="0.2">
      <c r="A371" s="1" t="s">
        <v>1061</v>
      </c>
    </row>
    <row r="372" spans="1:8" s="38" customFormat="1" x14ac:dyDescent="0.2">
      <c r="A372" s="38" t="s">
        <v>1062</v>
      </c>
    </row>
    <row r="373" spans="1:8" x14ac:dyDescent="0.2">
      <c r="A373" s="1" t="s">
        <v>1063</v>
      </c>
    </row>
    <row r="375" spans="1:8" x14ac:dyDescent="0.2">
      <c r="A375" s="1" t="s">
        <v>973</v>
      </c>
    </row>
    <row r="377" spans="1:8" x14ac:dyDescent="0.2">
      <c r="C377" s="166">
        <v>43465</v>
      </c>
      <c r="D377" s="166">
        <v>43830</v>
      </c>
      <c r="E377" s="166">
        <v>44196</v>
      </c>
    </row>
    <row r="378" spans="1:8" x14ac:dyDescent="0.2">
      <c r="B378" s="1" t="s">
        <v>990</v>
      </c>
      <c r="C378" s="19"/>
      <c r="D378" s="19"/>
      <c r="E378" s="19"/>
    </row>
    <row r="379" spans="1:8" x14ac:dyDescent="0.2">
      <c r="B379" s="1" t="s">
        <v>370</v>
      </c>
      <c r="C379" s="19"/>
      <c r="D379" s="19"/>
      <c r="E379" s="19"/>
    </row>
    <row r="380" spans="1:8" x14ac:dyDescent="0.2">
      <c r="B380" s="1" t="s">
        <v>975</v>
      </c>
      <c r="C380" s="71"/>
      <c r="D380" s="71"/>
      <c r="E380" s="71"/>
    </row>
    <row r="381" spans="1:8" x14ac:dyDescent="0.2">
      <c r="C381" s="19"/>
      <c r="D381" s="19"/>
      <c r="E381" s="19"/>
    </row>
    <row r="382" spans="1:8" x14ac:dyDescent="0.2">
      <c r="B382" s="1" t="s">
        <v>976</v>
      </c>
      <c r="C382" s="19"/>
      <c r="D382" s="19"/>
      <c r="E382" s="19"/>
    </row>
    <row r="384" spans="1:8" x14ac:dyDescent="0.2">
      <c r="A384" s="1" t="s">
        <v>715</v>
      </c>
    </row>
    <row r="386" spans="1:8" x14ac:dyDescent="0.2">
      <c r="C386" s="166">
        <v>43465</v>
      </c>
      <c r="D386" s="166">
        <v>43830</v>
      </c>
      <c r="E386" s="166">
        <v>44196</v>
      </c>
    </row>
    <row r="387" spans="1:8" x14ac:dyDescent="0.2">
      <c r="B387" s="1" t="s">
        <v>990</v>
      </c>
      <c r="C387" s="19">
        <v>1000000</v>
      </c>
      <c r="D387" s="19">
        <f>C387</f>
        <v>1000000</v>
      </c>
      <c r="E387" s="19">
        <f>D387</f>
        <v>1000000</v>
      </c>
    </row>
    <row r="388" spans="1:8" x14ac:dyDescent="0.2">
      <c r="B388" s="1" t="s">
        <v>370</v>
      </c>
      <c r="C388" s="19">
        <f>-C391</f>
        <v>-11250</v>
      </c>
      <c r="D388" s="19">
        <f>C388-D391</f>
        <v>-26250</v>
      </c>
      <c r="E388" s="19">
        <f>D388-E391</f>
        <v>-41250</v>
      </c>
    </row>
    <row r="389" spans="1:8" x14ac:dyDescent="0.2">
      <c r="B389" s="1" t="s">
        <v>975</v>
      </c>
      <c r="C389" s="71">
        <f>C387+C388</f>
        <v>988750</v>
      </c>
      <c r="D389" s="71">
        <f>D387+D388</f>
        <v>973750</v>
      </c>
      <c r="E389" s="71">
        <f>E387+E388</f>
        <v>958750</v>
      </c>
    </row>
    <row r="390" spans="1:8" x14ac:dyDescent="0.2">
      <c r="C390" s="19"/>
      <c r="D390" s="19"/>
      <c r="E390" s="19"/>
    </row>
    <row r="391" spans="1:8" x14ac:dyDescent="0.2">
      <c r="B391" s="1" t="s">
        <v>976</v>
      </c>
      <c r="C391" s="19">
        <f>(C387-250000)/50*(9/12)</f>
        <v>11250</v>
      </c>
      <c r="D391" s="19">
        <f>(D387-250000)/50</f>
        <v>15000</v>
      </c>
      <c r="E391" s="19">
        <f>(E387-250000)/50</f>
        <v>15000</v>
      </c>
    </row>
    <row r="394" spans="1:8" x14ac:dyDescent="0.2">
      <c r="A394" s="208" t="s">
        <v>1064</v>
      </c>
      <c r="B394" s="209"/>
      <c r="C394" s="209"/>
      <c r="D394" s="209"/>
      <c r="E394" s="209"/>
      <c r="F394" s="209"/>
      <c r="G394" s="209"/>
      <c r="H394" s="209"/>
    </row>
    <row r="395" spans="1:8" x14ac:dyDescent="0.2">
      <c r="A395" s="1" t="s">
        <v>1065</v>
      </c>
    </row>
    <row r="396" spans="1:8" x14ac:dyDescent="0.2">
      <c r="A396" s="1" t="s">
        <v>1066</v>
      </c>
    </row>
    <row r="397" spans="1:8" x14ac:dyDescent="0.2">
      <c r="A397" s="1" t="s">
        <v>1067</v>
      </c>
    </row>
    <row r="399" spans="1:8" x14ac:dyDescent="0.2">
      <c r="A399" s="1" t="s">
        <v>1004</v>
      </c>
    </row>
    <row r="401" spans="1:7" x14ac:dyDescent="0.2">
      <c r="C401" s="152">
        <v>43465</v>
      </c>
      <c r="D401" s="152">
        <v>43830</v>
      </c>
      <c r="E401" s="152">
        <v>44196</v>
      </c>
      <c r="F401" s="152">
        <v>44561</v>
      </c>
      <c r="G401" s="200">
        <v>44926</v>
      </c>
    </row>
    <row r="402" spans="1:7" x14ac:dyDescent="0.2">
      <c r="B402" s="1" t="s">
        <v>974</v>
      </c>
      <c r="C402" s="19"/>
      <c r="D402" s="19"/>
      <c r="E402" s="19"/>
      <c r="F402" s="19"/>
      <c r="G402" s="201"/>
    </row>
    <row r="403" spans="1:7" x14ac:dyDescent="0.2">
      <c r="B403" s="1" t="s">
        <v>370</v>
      </c>
      <c r="C403" s="19"/>
      <c r="D403" s="19"/>
      <c r="E403" s="19"/>
      <c r="F403" s="19"/>
      <c r="G403" s="201"/>
    </row>
    <row r="404" spans="1:7" x14ac:dyDescent="0.2">
      <c r="B404" s="1" t="s">
        <v>975</v>
      </c>
      <c r="C404" s="71"/>
      <c r="D404" s="71"/>
      <c r="E404" s="71"/>
      <c r="F404" s="71"/>
      <c r="G404" s="202"/>
    </row>
    <row r="405" spans="1:7" x14ac:dyDescent="0.2">
      <c r="C405" s="19"/>
      <c r="D405" s="19"/>
      <c r="E405" s="19"/>
      <c r="F405" s="19"/>
      <c r="G405" s="201"/>
    </row>
    <row r="406" spans="1:7" x14ac:dyDescent="0.2">
      <c r="B406" s="1" t="s">
        <v>976</v>
      </c>
      <c r="C406" s="19"/>
      <c r="D406" s="19"/>
      <c r="E406" s="19"/>
      <c r="F406" s="19"/>
      <c r="G406" s="201"/>
    </row>
    <row r="407" spans="1:7" x14ac:dyDescent="0.2">
      <c r="B407" s="1" t="s">
        <v>1005</v>
      </c>
      <c r="C407" s="203"/>
      <c r="D407" s="203"/>
      <c r="E407" s="203"/>
      <c r="F407" s="203"/>
      <c r="G407" s="201"/>
    </row>
    <row r="409" spans="1:7" x14ac:dyDescent="0.2">
      <c r="A409" s="1" t="s">
        <v>715</v>
      </c>
    </row>
    <row r="410" spans="1:7" x14ac:dyDescent="0.2">
      <c r="C410" s="152">
        <v>43465</v>
      </c>
      <c r="D410" s="152">
        <v>43830</v>
      </c>
      <c r="E410" s="152">
        <v>44196</v>
      </c>
      <c r="F410" s="152">
        <v>44561</v>
      </c>
      <c r="G410" s="200">
        <v>44926</v>
      </c>
    </row>
    <row r="411" spans="1:7" x14ac:dyDescent="0.2">
      <c r="B411" s="1" t="s">
        <v>974</v>
      </c>
      <c r="C411" s="19">
        <f>250000</f>
        <v>250000</v>
      </c>
      <c r="D411" s="19">
        <f>C411</f>
        <v>250000</v>
      </c>
      <c r="E411" s="19">
        <f>D411</f>
        <v>250000</v>
      </c>
      <c r="F411" s="19">
        <f>E411</f>
        <v>250000</v>
      </c>
      <c r="G411" s="201">
        <v>0</v>
      </c>
    </row>
    <row r="412" spans="1:7" x14ac:dyDescent="0.2">
      <c r="B412" s="1" t="s">
        <v>370</v>
      </c>
      <c r="C412" s="19">
        <f>-C415</f>
        <v>-44000</v>
      </c>
      <c r="D412" s="19">
        <f>C412-D415</f>
        <v>-88000</v>
      </c>
      <c r="E412" s="19">
        <f>D412-E415</f>
        <v>-132000</v>
      </c>
      <c r="F412" s="19">
        <f>E412-F415</f>
        <v>-176000</v>
      </c>
      <c r="G412" s="201">
        <v>0</v>
      </c>
    </row>
    <row r="413" spans="1:7" x14ac:dyDescent="0.2">
      <c r="B413" s="1" t="s">
        <v>975</v>
      </c>
      <c r="C413" s="71">
        <f>C411+C412</f>
        <v>206000</v>
      </c>
      <c r="D413" s="71">
        <f>D411+D412</f>
        <v>162000</v>
      </c>
      <c r="E413" s="71">
        <f>E411+E412</f>
        <v>118000</v>
      </c>
      <c r="F413" s="71">
        <f>F411+F412</f>
        <v>74000</v>
      </c>
      <c r="G413" s="202">
        <v>0</v>
      </c>
    </row>
    <row r="414" spans="1:7" x14ac:dyDescent="0.2">
      <c r="C414" s="19"/>
      <c r="D414" s="19"/>
      <c r="E414" s="19"/>
      <c r="F414" s="19"/>
      <c r="G414" s="201"/>
    </row>
    <row r="415" spans="1:7" x14ac:dyDescent="0.2">
      <c r="B415" s="1" t="s">
        <v>976</v>
      </c>
      <c r="C415" s="19">
        <f>(C411-30000)/5</f>
        <v>44000</v>
      </c>
      <c r="D415" s="19">
        <f>C415</f>
        <v>44000</v>
      </c>
      <c r="E415" s="19">
        <f>D415</f>
        <v>44000</v>
      </c>
      <c r="F415" s="19">
        <f>E415</f>
        <v>44000</v>
      </c>
      <c r="G415" s="201">
        <f>F415*9/12</f>
        <v>33000</v>
      </c>
    </row>
    <row r="416" spans="1:7" x14ac:dyDescent="0.2">
      <c r="B416" s="1" t="s">
        <v>1005</v>
      </c>
      <c r="C416" s="203"/>
      <c r="D416" s="203"/>
      <c r="E416" s="203"/>
      <c r="F416" s="203"/>
      <c r="G416" s="201">
        <f>(110000-(F411+F412-G415))</f>
        <v>69000</v>
      </c>
    </row>
    <row r="419" spans="1:8" x14ac:dyDescent="0.2">
      <c r="A419" s="208" t="s">
        <v>1068</v>
      </c>
      <c r="B419" s="209"/>
      <c r="C419" s="209"/>
      <c r="D419" s="209"/>
      <c r="E419" s="209"/>
      <c r="F419" s="209"/>
      <c r="G419" s="209"/>
      <c r="H419" s="209"/>
    </row>
    <row r="420" spans="1:8" x14ac:dyDescent="0.2">
      <c r="A420" s="1" t="s">
        <v>1069</v>
      </c>
    </row>
    <row r="421" spans="1:8" x14ac:dyDescent="0.2">
      <c r="A421" s="1" t="s">
        <v>1070</v>
      </c>
    </row>
    <row r="422" spans="1:8" x14ac:dyDescent="0.2">
      <c r="A422" s="1" t="s">
        <v>1071</v>
      </c>
    </row>
    <row r="423" spans="1:8" x14ac:dyDescent="0.2">
      <c r="A423" s="1" t="s">
        <v>1072</v>
      </c>
    </row>
    <row r="425" spans="1:8" x14ac:dyDescent="0.2">
      <c r="A425" s="1" t="s">
        <v>1020</v>
      </c>
    </row>
    <row r="427" spans="1:8" x14ac:dyDescent="0.2">
      <c r="A427" s="3" t="s">
        <v>715</v>
      </c>
    </row>
    <row r="429" spans="1:8" x14ac:dyDescent="0.2">
      <c r="B429" s="1" t="s">
        <v>1073</v>
      </c>
      <c r="D429" s="72">
        <v>9000</v>
      </c>
    </row>
    <row r="430" spans="1:8" x14ac:dyDescent="0.2">
      <c r="B430" s="1" t="s">
        <v>1015</v>
      </c>
      <c r="D430" s="72">
        <f>12000-(12000-3000)/6*(3+2/12)</f>
        <v>7250</v>
      </c>
      <c r="E430" s="1" t="s">
        <v>1074</v>
      </c>
    </row>
    <row r="431" spans="1:8" x14ac:dyDescent="0.2">
      <c r="B431" s="1" t="s">
        <v>1005</v>
      </c>
      <c r="D431" s="72">
        <f>D429-D430</f>
        <v>1750</v>
      </c>
    </row>
    <row r="433" spans="1:6" x14ac:dyDescent="0.2">
      <c r="A433" s="1" t="s">
        <v>1075</v>
      </c>
    </row>
    <row r="434" spans="1:6" x14ac:dyDescent="0.2">
      <c r="A434" s="1" t="s">
        <v>1076</v>
      </c>
      <c r="C434" s="151">
        <v>44651</v>
      </c>
    </row>
    <row r="435" spans="1:6" x14ac:dyDescent="0.2">
      <c r="A435" s="1" t="s">
        <v>1077</v>
      </c>
      <c r="C435" s="151">
        <v>45809</v>
      </c>
    </row>
    <row r="436" spans="1:6" x14ac:dyDescent="0.2">
      <c r="A436" s="1" t="s">
        <v>1078</v>
      </c>
      <c r="C436" s="88" t="s">
        <v>1079</v>
      </c>
    </row>
    <row r="437" spans="1:6" x14ac:dyDescent="0.2">
      <c r="A437" s="1" t="s">
        <v>1080</v>
      </c>
      <c r="C437" s="72">
        <f>9000/6*(3+2/12)</f>
        <v>4750</v>
      </c>
      <c r="F437" s="1" t="s">
        <v>1081</v>
      </c>
    </row>
    <row r="438" spans="1:6" x14ac:dyDescent="0.2">
      <c r="A438" s="1" t="s">
        <v>1082</v>
      </c>
      <c r="C438" s="72">
        <f>12000-C437</f>
        <v>7250</v>
      </c>
      <c r="F438" s="1" t="s">
        <v>1083</v>
      </c>
    </row>
  </sheetData>
  <mergeCells count="4">
    <mergeCell ref="G118:G119"/>
    <mergeCell ref="H118:H119"/>
    <mergeCell ref="D315:F315"/>
    <mergeCell ref="D319:F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הרצאה 1</vt:lpstr>
      <vt:lpstr>הרצאה 2</vt:lpstr>
      <vt:lpstr>הסברים להרצאה 2</vt:lpstr>
      <vt:lpstr>3 - הרצאה</vt:lpstr>
      <vt:lpstr>3 - תרגול נוסף</vt:lpstr>
      <vt:lpstr>4 נכסים שוטפים</vt:lpstr>
      <vt:lpstr>4 - מטלה לאחר המפגש</vt:lpstr>
      <vt:lpstr>5 - המשך לקוחות</vt:lpstr>
      <vt:lpstr>6 - אמצע סמסטר</vt:lpstr>
      <vt:lpstr>7 - המשך רכוש קבוע</vt:lpstr>
      <vt:lpstr>8 - הון עצמי</vt:lpstr>
      <vt:lpstr>9 - מגוון תרגילים</vt:lpstr>
      <vt:lpstr>10 - חזרה למבחן חלק א</vt:lpstr>
      <vt:lpstr>11 - חזרה למבחן חלק ב</vt:lpstr>
      <vt:lpstr>12 - חזרה למבחן חלק ב</vt:lpstr>
      <vt:lpstr>13 - חזרה למבחן חלק ג</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2024-11-03T07:21:06Z</dcterms:created>
  <dcterms:modified xsi:type="dcterms:W3CDTF">2025-02-21T08:40:06Z</dcterms:modified>
</cp:coreProperties>
</file>