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ytsaban/Documents/YVC - Financial Accounting A/2025B/"/>
    </mc:Choice>
  </mc:AlternateContent>
  <xr:revisionPtr revIDLastSave="0" documentId="13_ncr:1_{21A524BE-E4E8-E940-8DA0-2EB7281229FD}" xr6:coauthVersionLast="47" xr6:coauthVersionMax="47" xr10:uidLastSave="{00000000-0000-0000-0000-000000000000}"/>
  <bookViews>
    <workbookView xWindow="51200" yWindow="0" windowWidth="38400" windowHeight="21600" activeTab="3" xr2:uid="{05853DA2-670C-CC48-A4DD-545CEE8F8BE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87" i="4" l="1"/>
  <c r="AF90" i="4"/>
  <c r="AF94" i="4"/>
  <c r="AE99" i="4"/>
  <c r="AE88" i="4"/>
  <c r="AE85" i="4"/>
  <c r="AE86" i="4"/>
  <c r="AE90" i="4"/>
  <c r="AD85" i="4"/>
  <c r="AD99" i="4"/>
  <c r="AD97" i="4"/>
  <c r="AD91" i="4"/>
  <c r="AD90" i="4"/>
  <c r="AD88" i="4"/>
  <c r="AC85" i="4"/>
  <c r="AC87" i="4"/>
  <c r="AC88" i="4"/>
  <c r="AC90" i="4"/>
  <c r="Y86" i="4"/>
  <c r="AB86" i="4"/>
  <c r="AB88" i="4"/>
  <c r="AB85" i="4"/>
  <c r="AB90" i="4"/>
  <c r="AA85" i="4"/>
  <c r="AA87" i="4"/>
  <c r="AA92" i="4"/>
  <c r="AA90" i="4"/>
  <c r="Z85" i="4"/>
  <c r="Z88" i="4"/>
  <c r="AA88" i="4"/>
  <c r="Z90" i="4"/>
  <c r="Z87" i="4"/>
  <c r="Y87" i="4"/>
  <c r="Y88" i="4"/>
  <c r="Y85" i="4"/>
  <c r="Y90" i="4"/>
  <c r="X90" i="4"/>
  <c r="W90" i="4"/>
  <c r="X85" i="4"/>
  <c r="X87" i="4"/>
  <c r="X92" i="4"/>
  <c r="X98" i="4"/>
  <c r="X88" i="4"/>
  <c r="W85" i="4"/>
  <c r="W88" i="4"/>
  <c r="W99" i="4"/>
  <c r="V99" i="4"/>
  <c r="V88" i="4"/>
  <c r="V85" i="4"/>
  <c r="V86" i="4"/>
  <c r="V90" i="4"/>
  <c r="U85" i="4"/>
  <c r="U99" i="4"/>
  <c r="U98" i="4"/>
  <c r="U88" i="4"/>
  <c r="U90" i="4"/>
  <c r="T90" i="4"/>
  <c r="T85" i="4"/>
  <c r="T88" i="4"/>
  <c r="S88" i="4"/>
  <c r="S85" i="4"/>
  <c r="S86" i="4"/>
  <c r="S90" i="4"/>
  <c r="R90" i="4"/>
  <c r="Q90" i="4"/>
  <c r="R85" i="4"/>
  <c r="R99" i="4"/>
  <c r="R97" i="4"/>
  <c r="R88" i="4"/>
  <c r="Q85" i="4"/>
  <c r="Q88" i="4"/>
  <c r="P88" i="4"/>
  <c r="P85" i="4"/>
  <c r="P86" i="4"/>
  <c r="P90" i="4"/>
  <c r="O88" i="4"/>
  <c r="M90" i="4"/>
  <c r="S99" i="4"/>
  <c r="T99" i="4" s="1"/>
  <c r="O85" i="4"/>
  <c r="M85" i="4"/>
  <c r="AC55" i="4"/>
  <c r="Y71" i="4"/>
  <c r="AB75" i="4"/>
  <c r="Y70" i="4" s="1"/>
  <c r="Y72" i="4" s="1"/>
  <c r="AC51" i="4"/>
  <c r="AB49" i="4"/>
  <c r="AB47" i="4"/>
  <c r="AB51" i="4"/>
  <c r="AB46" i="4"/>
  <c r="AA46" i="4"/>
  <c r="AA58" i="4"/>
  <c r="AA51" i="4"/>
  <c r="AA49" i="4"/>
  <c r="Z51" i="4"/>
  <c r="Z46" i="4"/>
  <c r="Z49" i="4"/>
  <c r="Y49" i="4"/>
  <c r="Y47" i="4"/>
  <c r="Y51" i="4"/>
  <c r="Y46" i="4"/>
  <c r="X46" i="4"/>
  <c r="X51" i="4"/>
  <c r="X49" i="4"/>
  <c r="W51" i="4"/>
  <c r="V51" i="4"/>
  <c r="U51" i="4"/>
  <c r="U47" i="4"/>
  <c r="U49" i="4"/>
  <c r="T51" i="4"/>
  <c r="S60" i="4"/>
  <c r="T60" i="4" s="1"/>
  <c r="S51" i="4"/>
  <c r="R60" i="4"/>
  <c r="R49" i="4"/>
  <c r="R51" i="4"/>
  <c r="Q62" i="4"/>
  <c r="Q51" i="4"/>
  <c r="Q46" i="4"/>
  <c r="Q49" i="4"/>
  <c r="P49" i="4"/>
  <c r="P47" i="4"/>
  <c r="P51" i="4"/>
  <c r="P46" i="4"/>
  <c r="O46" i="4"/>
  <c r="O49" i="4"/>
  <c r="O78" i="4"/>
  <c r="L74" i="4" s="1"/>
  <c r="L75" i="4" s="1"/>
  <c r="L46" i="4" s="1"/>
  <c r="L49" i="4" s="1"/>
  <c r="M51" i="4" s="1"/>
  <c r="L88" i="4" l="1"/>
  <c r="M47" i="4"/>
  <c r="N51" i="4"/>
  <c r="O51" i="4" s="1"/>
  <c r="L62" i="4"/>
  <c r="M46" i="4"/>
  <c r="M49" i="4" s="1"/>
  <c r="N49" i="4" s="1"/>
  <c r="M86" i="4" l="1"/>
  <c r="M88" i="4" s="1"/>
  <c r="N88" i="4" s="1"/>
  <c r="N90" i="4"/>
  <c r="O90" i="4" s="1"/>
  <c r="O58" i="4"/>
  <c r="O60" i="4" s="1"/>
  <c r="P60" i="4" s="1"/>
  <c r="Q60" i="4" s="1"/>
  <c r="R59" i="4" s="1"/>
  <c r="R53" i="4" s="1"/>
  <c r="R48" i="4" s="1"/>
  <c r="N46" i="4"/>
  <c r="M54" i="4"/>
  <c r="N54" i="4" s="1"/>
  <c r="O54" i="4" s="1"/>
  <c r="N85" i="4" l="1"/>
  <c r="O97" i="4"/>
  <c r="O99" i="4" s="1"/>
  <c r="P99" i="4" s="1"/>
  <c r="Q99" i="4" s="1"/>
  <c r="M62" i="4"/>
  <c r="N62" i="4" s="1"/>
  <c r="O62" i="4" s="1"/>
  <c r="P54" i="4" s="1"/>
  <c r="Q54" i="4" s="1"/>
  <c r="R54" i="4" s="1"/>
  <c r="R46" i="4"/>
  <c r="S46" i="4" s="1"/>
  <c r="S47" i="4"/>
  <c r="S48" i="4"/>
  <c r="T48" i="4" s="1"/>
  <c r="S49" i="4" l="1"/>
  <c r="T49" i="4" s="1"/>
  <c r="U53" i="4" l="1"/>
  <c r="U48" i="4" s="1"/>
  <c r="T46" i="4"/>
  <c r="V48" i="4" l="1"/>
  <c r="W48" i="4" s="1"/>
  <c r="X52" i="4" s="1"/>
  <c r="U46" i="4"/>
  <c r="V46" i="4" s="1"/>
  <c r="V47" i="4"/>
  <c r="W46" i="4" l="1"/>
  <c r="W49" i="4" s="1"/>
  <c r="X58" i="4" s="1"/>
  <c r="X60" i="4" s="1"/>
  <c r="Y60" i="4" s="1"/>
  <c r="Z60" i="4" s="1"/>
  <c r="AA60" i="4" s="1"/>
  <c r="AB60" i="4" s="1"/>
  <c r="V49" i="4"/>
  <c r="H243" i="3" l="1"/>
  <c r="H250" i="3"/>
  <c r="H249" i="3"/>
  <c r="H247" i="3"/>
  <c r="H245" i="3"/>
  <c r="G245" i="3"/>
  <c r="G243" i="3"/>
  <c r="G244" i="3"/>
  <c r="G247" i="3"/>
  <c r="F243" i="3"/>
  <c r="F245" i="3"/>
  <c r="F250" i="3"/>
  <c r="F249" i="3"/>
  <c r="F247" i="3"/>
  <c r="E245" i="3"/>
  <c r="E244" i="3"/>
  <c r="E243" i="3"/>
  <c r="E247" i="3"/>
  <c r="D243" i="3"/>
  <c r="D250" i="3"/>
  <c r="D249" i="3"/>
  <c r="D247" i="3"/>
  <c r="D245" i="3"/>
  <c r="C245" i="3"/>
  <c r="C244" i="3"/>
  <c r="C247" i="3"/>
  <c r="F207" i="3"/>
  <c r="E205" i="3"/>
  <c r="F208" i="3" s="1"/>
  <c r="F209" i="3" s="1"/>
  <c r="E203" i="3"/>
  <c r="D187" i="3"/>
  <c r="F142" i="3"/>
  <c r="F140" i="3"/>
  <c r="F137" i="3"/>
  <c r="F141" i="3" s="1"/>
  <c r="F143" i="3" s="1"/>
  <c r="G129" i="3"/>
  <c r="E121" i="3" s="1"/>
  <c r="F121" i="3" s="1"/>
  <c r="D112" i="3"/>
  <c r="E112" i="3" s="1"/>
  <c r="C118" i="3"/>
  <c r="C113" i="3" s="1"/>
  <c r="C114" i="3" s="1"/>
  <c r="E75" i="3"/>
  <c r="F75" i="3" s="1"/>
  <c r="G75" i="3" s="1"/>
  <c r="F95" i="3"/>
  <c r="E81" i="3" s="1"/>
  <c r="G81" i="3" s="1"/>
  <c r="D79" i="3"/>
  <c r="C79" i="3"/>
  <c r="B79" i="3"/>
  <c r="B76" i="3" s="1"/>
  <c r="C43" i="3"/>
  <c r="C40" i="3" s="1"/>
  <c r="D118" i="3" l="1"/>
  <c r="H75" i="3"/>
  <c r="F112" i="3"/>
  <c r="D113" i="3"/>
  <c r="E113" i="3" s="1"/>
  <c r="C41" i="3"/>
  <c r="D43" i="3"/>
  <c r="D40" i="3" s="1"/>
  <c r="D41" i="3" s="1"/>
  <c r="B77" i="3"/>
  <c r="C76" i="3"/>
  <c r="G112" i="3" l="1"/>
  <c r="D114" i="3"/>
  <c r="E114" i="3"/>
  <c r="C77" i="3"/>
  <c r="D76" i="3"/>
  <c r="G118" i="3" l="1"/>
  <c r="F118" i="3"/>
  <c r="F113" i="3"/>
  <c r="D77" i="3"/>
  <c r="E76" i="3"/>
  <c r="E77" i="3" l="1"/>
  <c r="F76" i="3"/>
  <c r="G113" i="3"/>
  <c r="G114" i="3" s="1"/>
  <c r="F114" i="3"/>
  <c r="F77" i="3" l="1"/>
  <c r="G79" i="3" s="1"/>
  <c r="H79" i="3" s="1"/>
  <c r="G76" i="3" l="1"/>
  <c r="H76" i="3" l="1"/>
  <c r="H77" i="3" s="1"/>
  <c r="G77" i="3"/>
  <c r="H249" i="2" l="1"/>
  <c r="I249" i="2" s="1"/>
  <c r="G249" i="2"/>
  <c r="F249" i="2"/>
  <c r="B249" i="2"/>
  <c r="C249" i="2" s="1"/>
  <c r="D249" i="2" s="1"/>
  <c r="C245" i="2"/>
  <c r="D245" i="2" s="1"/>
  <c r="E421" i="2"/>
  <c r="F413" i="2"/>
  <c r="E410" i="2"/>
  <c r="E411" i="2" s="1"/>
  <c r="F415" i="2" s="1"/>
  <c r="G303" i="2"/>
  <c r="D301" i="2"/>
  <c r="I297" i="2"/>
  <c r="F283" i="2"/>
  <c r="H271" i="2"/>
  <c r="I271" i="2" s="1"/>
  <c r="G271" i="2"/>
  <c r="D271" i="2"/>
  <c r="F271" i="2" s="1"/>
  <c r="C271" i="2"/>
  <c r="B271" i="2"/>
  <c r="B268" i="2" s="1"/>
  <c r="E267" i="2"/>
  <c r="F267" i="2" s="1"/>
  <c r="E245" i="2" l="1"/>
  <c r="B246" i="2"/>
  <c r="G267" i="2"/>
  <c r="C268" i="2"/>
  <c r="B269" i="2"/>
  <c r="F414" i="2"/>
  <c r="B247" i="2" l="1"/>
  <c r="C246" i="2"/>
  <c r="F245" i="2"/>
  <c r="C269" i="2"/>
  <c r="F268" i="2"/>
  <c r="D268" i="2"/>
  <c r="H267" i="2"/>
  <c r="G245" i="2" l="1"/>
  <c r="C247" i="2"/>
  <c r="F246" i="2"/>
  <c r="G246" i="2" s="1"/>
  <c r="H246" i="2" s="1"/>
  <c r="D246" i="2"/>
  <c r="D269" i="2"/>
  <c r="E268" i="2"/>
  <c r="E269" i="2" s="1"/>
  <c r="F275" i="2" s="1"/>
  <c r="F277" i="2" s="1"/>
  <c r="G268" i="2"/>
  <c r="F269" i="2"/>
  <c r="E246" i="2" l="1"/>
  <c r="E247" i="2" s="1"/>
  <c r="D247" i="2"/>
  <c r="G247" i="2"/>
  <c r="H245" i="2"/>
  <c r="H247" i="2" s="1"/>
  <c r="I251" i="2" s="1"/>
  <c r="F247" i="2"/>
  <c r="H268" i="2"/>
  <c r="H269" i="2" s="1"/>
  <c r="I273" i="2" s="1"/>
  <c r="G269" i="2"/>
  <c r="C184" i="2" l="1"/>
  <c r="C181" i="2" s="1"/>
  <c r="D192" i="2"/>
  <c r="C180" i="2" s="1"/>
  <c r="D180" i="2" s="1"/>
  <c r="E180" i="2" l="1"/>
  <c r="C182" i="2"/>
  <c r="D184" i="2"/>
  <c r="E184" i="2" s="1"/>
  <c r="D181" i="2" l="1"/>
  <c r="F180" i="2"/>
  <c r="G180" i="2" s="1"/>
  <c r="H180" i="2" l="1"/>
  <c r="E181" i="2"/>
  <c r="D182" i="2"/>
  <c r="F181" i="2" l="1"/>
  <c r="E182" i="2"/>
  <c r="F182" i="2" s="1"/>
  <c r="G184" i="2" s="1"/>
  <c r="H184" i="2" s="1"/>
  <c r="I184" i="2" s="1"/>
  <c r="G181" i="2" l="1"/>
  <c r="H181" i="2" l="1"/>
  <c r="H182" i="2" s="1"/>
  <c r="I186" i="2" s="1"/>
  <c r="G182" i="2"/>
  <c r="F144" i="2" l="1"/>
  <c r="D136" i="2"/>
  <c r="D123" i="2"/>
  <c r="F108" i="2"/>
  <c r="E108" i="2"/>
  <c r="E144" i="2" s="1"/>
  <c r="D108" i="2"/>
  <c r="D144" i="2" s="1"/>
  <c r="C108" i="2"/>
  <c r="C105" i="2" s="1"/>
  <c r="D83" i="2"/>
  <c r="F76" i="2" s="1"/>
  <c r="E31" i="2"/>
  <c r="D31" i="2"/>
  <c r="D27" i="2" s="1"/>
  <c r="I28" i="2"/>
  <c r="E182" i="1"/>
  <c r="E174" i="1" s="1"/>
  <c r="G150" i="1"/>
  <c r="F120" i="1" s="1"/>
  <c r="F140" i="1"/>
  <c r="F141" i="1" s="1"/>
  <c r="G149" i="1" s="1"/>
  <c r="E120" i="1"/>
  <c r="E118" i="1"/>
  <c r="F118" i="1" s="1"/>
  <c r="D122" i="1"/>
  <c r="E122" i="1" s="1"/>
  <c r="F122" i="1" s="1"/>
  <c r="D120" i="1"/>
  <c r="D118" i="1"/>
  <c r="D29" i="2" l="1"/>
  <c r="E27" i="2"/>
  <c r="E29" i="2" s="1"/>
  <c r="D105" i="2"/>
  <c r="C141" i="2"/>
  <c r="C106" i="2"/>
  <c r="C144" i="2"/>
  <c r="C76" i="2"/>
  <c r="C73" i="2" s="1"/>
  <c r="D76" i="2"/>
  <c r="E76" i="2"/>
  <c r="F119" i="1"/>
  <c r="F123" i="1" s="1"/>
  <c r="C74" i="2" l="1"/>
  <c r="D73" i="2"/>
  <c r="C142" i="2"/>
  <c r="D141" i="2"/>
  <c r="E105" i="2"/>
  <c r="D106" i="2"/>
  <c r="F105" i="2" l="1"/>
  <c r="F106" i="2" s="1"/>
  <c r="E106" i="2"/>
  <c r="E141" i="2"/>
  <c r="D142" i="2"/>
  <c r="D74" i="2"/>
  <c r="E73" i="2"/>
  <c r="F73" i="2" l="1"/>
  <c r="F74" i="2" s="1"/>
  <c r="E74" i="2"/>
  <c r="F141" i="2"/>
  <c r="F142" i="2" s="1"/>
  <c r="E142" i="2"/>
</calcChain>
</file>

<file path=xl/sharedStrings.xml><?xml version="1.0" encoding="utf-8"?>
<sst xmlns="http://schemas.openxmlformats.org/spreadsheetml/2006/main" count="947" uniqueCount="754">
  <si>
    <t>חשבונאות פיננסית א - מפגש מס׳ 1 - 13.3.2025: הבסיס לחשבונאות אמיתית, והתחלת למידה משמעותית של IAS 16</t>
  </si>
  <si>
    <t>המרצה:</t>
  </si>
  <si>
    <t>ד״ר צבאן</t>
  </si>
  <si>
    <t>shay.tsaban@gmail.com</t>
  </si>
  <si>
    <t>050-6551519</t>
  </si>
  <si>
    <t>מייל:</t>
  </si>
  <si>
    <t>פון - לא זמין אל תפנה:</t>
  </si>
  <si>
    <t>אינסטגרם:</t>
  </si>
  <si>
    <t>shay.tsaban</t>
  </si>
  <si>
    <t>פייסבוק:</t>
  </si>
  <si>
    <t>Shay Tsaban</t>
  </si>
  <si>
    <t>מטרת על:</t>
  </si>
  <si>
    <t>אנחנו רוצים לתקוף ולהקיף באופן יסודי ועמוק הגדרות וסוגיות חשבונאיות, כדי לעבור מסטטוס ״טכנאי שיניים״</t>
  </si>
  <si>
    <t>שיודעים ליישם מה שאמרו להם, לסטטוס ״חשבונאים וחשבונאיות״ שמבינים לעומק מה עומד מאחורי הנחיות העבודה,</t>
  </si>
  <si>
    <t>אילו גישות עבודה או חישוב נוספות מקובלות מעבר למה שנלמד, מה ההיגיון וכיצד לטפל בסיטואציות מורכבות.</t>
  </si>
  <si>
    <t>הדיון יתחיל בעולמות הרכוש הקבוע - בהתבסס על הנחיות תקן דיווח כספי בינלאומי מס׳ 16 - IAS 16</t>
  </si>
  <si>
    <t>International</t>
  </si>
  <si>
    <t>Accounting</t>
  </si>
  <si>
    <t>Standard</t>
  </si>
  <si>
    <t>אופן הלמידה:</t>
  </si>
  <si>
    <t xml:space="preserve">אתר הקורס הייעודי החיצוני לידיעון יופץ לכם אחרי ההפסקה. </t>
  </si>
  <si>
    <t>האתר יכלול את הקובץ הזה, שיתעדכן משיעור לשיעור עם כל התוכן הרלוונטי;</t>
  </si>
  <si>
    <t>סרטונים קצרים להסבר סוגיות מרכזיות;</t>
  </si>
  <si>
    <t>תרגילים נוספים ופתרונות.</t>
  </si>
  <si>
    <t>משאבים נוספים שנגדיר מעת לעת.</t>
  </si>
  <si>
    <t>כשאני מדבר על אתר הקורס - אתר ההרצאות.</t>
  </si>
  <si>
    <t xml:space="preserve">התרגולים של רו״ח אבירם אטיאס יתנהלו בנפרד, דרך המערכת הרגילה, באופן חופף לתכנים שלנו. </t>
  </si>
  <si>
    <t>נושא ראשון - רכוש קבוע - IAS 16 - Property, Plant and Equipment: לא מה שחשבת</t>
  </si>
  <si>
    <t>כאשר אנו רוצים ללמוד חשבונאות באמת - אנחנו רוצים להבין את המהות, את ההגדרות. לא רק לקבל הנחיות</t>
  </si>
  <si>
    <t xml:space="preserve">של ״מה לחלק במה״. ההנחיות הללו ניתנות במסגרת מסמכים שנקראים ״תקני חשבונאות״. </t>
  </si>
  <si>
    <t>תקני חשבונאות קיימים מ-3 סוגים עיקריים:</t>
  </si>
  <si>
    <t xml:space="preserve">א. תקני חשבונאות בינלאומיים - מסמכיהם נקראים IAS (הישנים) או IFRS (החדשים). </t>
  </si>
  <si>
    <t xml:space="preserve">ב. תקני חשבונאות אמריקאיים - נקראים FAS והמערכת כולה נקראת US GAAP. </t>
  </si>
  <si>
    <t xml:space="preserve">ג. תקני חשבונאות ישראליים - השימוש בהם הולך ופוחת אבל עדיין רלוונטיים לעסקים קטנים. </t>
  </si>
  <si>
    <t>פוקוס:</t>
  </si>
  <si>
    <t>דיון בסעיפי התקן IAS 16 והדגמות</t>
  </si>
  <si>
    <t>למקבלי החלטות בכל מה שקשור לניתוב משאבים לישות המדווח. בפשטות: אם אני שוקל להשקיע בחברה (במניותיה,</t>
  </si>
  <si>
    <t>להיות חלק מהבעלים שלה) או להלוות לה כסף (בנק), אני צריך מידע כספי. והמידע הכספי שיעזור להחלטות אלו</t>
  </si>
  <si>
    <r>
      <t xml:space="preserve">הוא המידע המיועד למשתמשים. תקצר ברו: </t>
    </r>
    <r>
      <rPr>
        <b/>
        <sz val="12"/>
        <color theme="1"/>
        <rFont val="David"/>
      </rPr>
      <t>משתמשים = קודם כל (אבל לא רק) משקיעים.</t>
    </r>
    <r>
      <rPr>
        <sz val="12"/>
        <color theme="1"/>
        <rFont val="David"/>
      </rPr>
      <t xml:space="preserve"> </t>
    </r>
  </si>
  <si>
    <r>
      <rPr>
        <b/>
        <sz val="12"/>
        <color theme="1"/>
        <rFont val="David"/>
      </rPr>
      <t>משתמשים בדוחות הכספיים</t>
    </r>
    <r>
      <rPr>
        <sz val="12"/>
        <color theme="1"/>
        <rFont val="David"/>
      </rPr>
      <t xml:space="preserve">: הדיווח הכספי שעליו מדברת החשבונאות הפיננסית מיועד בראש ובראשונה לסייע </t>
    </r>
  </si>
  <si>
    <r>
      <rPr>
        <b/>
        <sz val="12"/>
        <color theme="1"/>
        <rFont val="David"/>
      </rPr>
      <t>הישות</t>
    </r>
    <r>
      <rPr>
        <sz val="12"/>
        <color theme="1"/>
        <rFont val="David"/>
      </rPr>
      <t xml:space="preserve">: התאגיד - חברה, מוסד ללא כוונת רווח (עמותה וכן הלאה), שותפות. </t>
    </r>
  </si>
  <si>
    <t xml:space="preserve">לשאלה מתי יוצג פריט בדיווח. </t>
  </si>
  <si>
    <r>
      <rPr>
        <b/>
        <sz val="12"/>
        <color theme="1"/>
        <rFont val="David"/>
      </rPr>
      <t>הכרה בנכסים:</t>
    </r>
    <r>
      <rPr>
        <sz val="12"/>
        <color theme="1"/>
        <rFont val="David"/>
      </rPr>
      <t xml:space="preserve"> מתי מציגים פריט רכוש קבוע בדוחות? כאשר הוא נרכש? כאשר הוא מגיע אליי? הכרה היא התשובה</t>
    </r>
  </si>
  <si>
    <r>
      <rPr>
        <b/>
        <sz val="12"/>
        <color theme="1"/>
        <rFont val="David"/>
      </rPr>
      <t>קביעת ערכם בספרים</t>
    </r>
    <r>
      <rPr>
        <sz val="12"/>
        <color theme="1"/>
        <rFont val="David"/>
      </rPr>
      <t xml:space="preserve">: כיצד נכס הרכוש הקבוע יוצג בדיווחים. </t>
    </r>
  </si>
  <si>
    <t>הוצאות פחת הן ערך שקורה באופן טבעי ומתמשך, ואילו ירידת ערך היא אירוע נקודתי שנובע מנסיבות מיוחדות.</t>
  </si>
  <si>
    <r>
      <rPr>
        <b/>
        <sz val="12"/>
        <color rgb="FF000000"/>
        <rFont val="David"/>
      </rPr>
      <t>והוצאות פחת והפסדים מירידת ערך:</t>
    </r>
    <r>
      <rPr>
        <sz val="12"/>
        <color rgb="FF000000"/>
        <rFont val="David"/>
      </rPr>
      <t xml:space="preserve"> על הפסדים וההבדל בינם לבין הוצאות פחת נטפל בנפרד; בגסות רבה</t>
    </r>
  </si>
  <si>
    <r>
      <t xml:space="preserve">נדל״ן להשקעה: </t>
    </r>
    <r>
      <rPr>
        <sz val="12"/>
        <color theme="1"/>
        <rFont val="David"/>
      </rPr>
      <t>מבנה / קרקע שילוב אשר מוחזק אך ורק לשם אחת או יותר מהמטרות הבאות:</t>
    </r>
  </si>
  <si>
    <t>א. עליית ערך הונית</t>
  </si>
  <si>
    <t>ב. השכרה</t>
  </si>
  <si>
    <t>דוגמה קטנה 1</t>
  </si>
  <si>
    <t xml:space="preserve">חברת ״קנלו״ בע״מ רכשה מבנה משרדים ב-1.1.2020 בעלות של 1,000,000 ש״ח. </t>
  </si>
  <si>
    <t>מתוך עלות המבנה, חלק של 25% מיוחס לקרקע.</t>
  </si>
  <si>
    <t xml:space="preserve">החברה עוסקת בחימום נקניק. </t>
  </si>
  <si>
    <t>מבנה המשרדים כולל 10 קומות ומשרת את החברה כדלקמן:</t>
  </si>
  <si>
    <t>מס׳ קומות</t>
  </si>
  <si>
    <t>ייעוד</t>
  </si>
  <si>
    <t>הנהלה</t>
  </si>
  <si>
    <t>אולם תצוגה ללקוחות</t>
  </si>
  <si>
    <t>מחסן</t>
  </si>
  <si>
    <t>חימום נקניק וטחינת כרבולות</t>
  </si>
  <si>
    <t>נדרש:</t>
  </si>
  <si>
    <t>א. כיצד יסווג הפריט? ספציפית - כרכוש קבוע או כנדל״ן להשקעה?</t>
  </si>
  <si>
    <t>ב. הניחו כעת כי החברה פינתה את כל קומות המבנה, והיא משכירה אותו לגורם חיצוני. כיצד יסווג הפריט?</t>
  </si>
  <si>
    <t>ג. הניחו כעת כי החברה פינתה את כל קומות המבנה והפכה אותו לבית מלון - ״נאות הנקניק״. כיצד יסווג הפריט?</t>
  </si>
  <si>
    <t>סעיף</t>
  </si>
  <si>
    <t>א</t>
  </si>
  <si>
    <t>פתרון</t>
  </si>
  <si>
    <t>רכוש קבוע, הפריט משרת את החברה עצמה (למטרות שונות) ואיננו מוחזק רק לשם מכירה ברווח בעתיד</t>
  </si>
  <si>
    <t xml:space="preserve">הרחוק ו/או להשכרה. </t>
  </si>
  <si>
    <t>ב</t>
  </si>
  <si>
    <t>לפי ההגדרה, אם פריט המבנה משרת אך ורק לשם השכרה, מדובר בנדל״ן להשקעה.</t>
  </si>
  <si>
    <t>ג</t>
  </si>
  <si>
    <t>אמנם בבית מלון מושכרים חדרים (לכאורה מזכיר נדל״ן להשקעה) אבל היקף השירותים שמסופק</t>
  </si>
  <si>
    <t>לאורחי המלון גדול בהרבה; להפעיל בית מלון זה ביזנס ממש, לא סתם השכרה. ולכן, בית מלון שבבעלותי</t>
  </si>
  <si>
    <t>ומופעל על ידי - הוא רכוש קבוע מבחינתי.</t>
  </si>
  <si>
    <t xml:space="preserve">בעוד שסוגיית הפחת הנצבר מוכרת לכולנו, סוגיית ירידת הערך - פחות מוכרת. </t>
  </si>
  <si>
    <t>דוגמה קטנה 2</t>
  </si>
  <si>
    <t>חברת ״נקניקי חן״ בע״מ רכשה ב-1.1.2020 מבנה משרדים בנהריה לשימוש הנהלת החברה. הואיל והמבנה בטבריה,</t>
  </si>
  <si>
    <t>יש להניח שעלות הקרקע זניחה.</t>
  </si>
  <si>
    <t>עלות המבנה היא 1,000,000 ש״ח. אורך החיים השימושיים של המבנה הוא 50 שנה והוא מופחת בשיטת הקו הישר.</t>
  </si>
  <si>
    <t>א. מהו ערך הספרים של המבנה ליום 31.12.2024?</t>
  </si>
  <si>
    <t xml:space="preserve">ב. הניחו כעת שערב עריכת הדוחות ליום 31.12.2026 משאית אוטונומית נכנסה בקיר המבנה והסבה לו נזק. </t>
  </si>
  <si>
    <t xml:space="preserve">נכון למועד זה שוויו ההוגן של המבנה הוא 700,000 ש״ח וזאת בהתאם להערכת שמאי המתחשבת בנזק הנ״ל. </t>
  </si>
  <si>
    <t>כמו כן, החברה מעריכה שבמצבו הנוכחי, המבנה צפוי להניב לה בתום כל שנה הכנסות תזרימיות נטו בסכום של 20,000 ש״ח.</t>
  </si>
  <si>
    <t>מחיר ההון של החברה הוא 5%.</t>
  </si>
  <si>
    <t>נדרש: מהו ערך הספרים של המבנה ל-31.12.2026?</t>
  </si>
  <si>
    <t>פתרון (א+ב):</t>
  </si>
  <si>
    <t>כאשר פריט עובר שינוי משמעותי (זעזוע) כגון ירידת ערך  / השבחות / שיפוצים / הערכה מחדש של שווי - הדרך הנעימה</t>
  </si>
  <si>
    <t xml:space="preserve">ביותר לטפל היא להציג את הערך העדכני לפני השינוי ואחריו. </t>
  </si>
  <si>
    <t xml:space="preserve">במקרה שלנו חל שינוי ב-31.12.2026 כדי לטפל בו בצורה טובה, נייצר שתי עמודות לתום שנה זו - לפני השינוי </t>
  </si>
  <si>
    <t>לפני י״ע</t>
  </si>
  <si>
    <t>אחרי י״ע</t>
  </si>
  <si>
    <t xml:space="preserve">לפני ההתחשבות בירידת ערך (י״ע), ואחריה. </t>
  </si>
  <si>
    <t>ערך</t>
  </si>
  <si>
    <t>הסכום שהוכר</t>
  </si>
  <si>
    <t>עלות</t>
  </si>
  <si>
    <t>פחת נצבר</t>
  </si>
  <si>
    <t>הפסדים מי״ע שנצברו</t>
  </si>
  <si>
    <t>בניכוי</t>
  </si>
  <si>
    <t>ערך ספרים</t>
  </si>
  <si>
    <t>הוצאות פחת</t>
  </si>
  <si>
    <t>מה לגבי האופן שבו הפריט ימדד לאחר הנזק 31.12.2026?</t>
  </si>
  <si>
    <t xml:space="preserve">השווי הנתון - הוא 700,000 ש״ח. בהיעדר נתונים סותרים, החברה יכולה למכור את הפריט בסכום זה. </t>
  </si>
  <si>
    <t>אבל, לחילופין, החברה יכולה לקחת את הפריט הזה ולהשתמש בו. על פי נתוני השאלה, אם היא תמשיך להשתמש בו</t>
  </si>
  <si>
    <t>היא תקבל:</t>
  </si>
  <si>
    <t>כל שנה</t>
  </si>
  <si>
    <t>מספר שנים</t>
  </si>
  <si>
    <t xml:space="preserve">50 - 7 = </t>
  </si>
  <si>
    <t>ריבית לשנה</t>
  </si>
  <si>
    <t>מחיר הון - נתון</t>
  </si>
  <si>
    <t>תשלומים שכוללת 20,000 ש״ח בתום כל שנה 43 שנים בריבית 5%. כדי לדעת מה השווי בחלופת השימוש, צריך להשתמש</t>
  </si>
  <si>
    <t xml:space="preserve">בכלים שנלמדו מעולם המימון - לחשב PV (ערך נוכחי) של התקבולים מהשימוש המתמשך. </t>
  </si>
  <si>
    <t>כדי לחשב ערך נוכחי של סדרה קבועה ב-Excel:</t>
  </si>
  <si>
    <t>rate</t>
  </si>
  <si>
    <t>nper</t>
  </si>
  <si>
    <t>pmt</t>
  </si>
  <si>
    <t>pv</t>
  </si>
  <si>
    <t>fv</t>
  </si>
  <si>
    <t>הריבית התקופתית / מחיר ההון</t>
  </si>
  <si>
    <t>מספר התשלומים</t>
  </si>
  <si>
    <t xml:space="preserve">סכום התשלום התקופתי </t>
  </si>
  <si>
    <t>סכום חד פעמי שמתקבל ״בסוף״ (כאן-אין)</t>
  </si>
  <si>
    <t>הערך המחולץ - השווי להיום של הסדרה</t>
  </si>
  <si>
    <r>
      <t xml:space="preserve">בעצם, אמנם החברה יכולה לקבל שווי של </t>
    </r>
    <r>
      <rPr>
        <b/>
        <sz val="12"/>
        <color rgb="FFFF0000"/>
        <rFont val="David"/>
      </rPr>
      <t>700,000</t>
    </r>
    <r>
      <rPr>
        <sz val="12"/>
        <color theme="1"/>
        <rFont val="David"/>
      </rPr>
      <t>; אבל היא יכולה גם להמשיך להשתמש, ואז תקבל שווי של סדרת</t>
    </r>
  </si>
  <si>
    <t>החשבונאות קובעת: כאשר מזהים סממן לירידת ערך (כמו כאן) יחושב סכום ״בר השבה״ (Recoverable Amount).</t>
  </si>
  <si>
    <t xml:space="preserve">החברה למעשה יכולה לקבל על הפריט 700,000 (לפי הערכת השווי) או 350,918 (ערך נוכחי של שימוש מתמשך). </t>
  </si>
  <si>
    <t>הואיל והבחירה היא של החברה - לגבי מה לעשות עם הנכס - הערך שייבחר כסכום בר השבה הוא הגבוה מבין השניים.</t>
  </si>
  <si>
    <t>בקצרה:</t>
  </si>
  <si>
    <t>שווי נתון</t>
  </si>
  <si>
    <t>שווי שימוש (הערך הנוכחי הנובע מהשימושים)</t>
  </si>
  <si>
    <t>הגבוה מביניהם - סכום בר השבה (סב״ה)</t>
  </si>
  <si>
    <t>הבסיס לבדיקת ירידת הערך</t>
  </si>
  <si>
    <t>לעניין ירידת הערך:</t>
  </si>
  <si>
    <t>הראינו שלפני בדיקת הנזק, ערך הספרים של הפריט היה 860,000 ש״ח.</t>
  </si>
  <si>
    <t xml:space="preserve">לאחר הנזק, הערך המירבי שניתן להניב מהפריט (סכום בר השבה): 700,000 ש״ח. </t>
  </si>
  <si>
    <t xml:space="preserve">הירידה מ-860,000 ל-700,000 היא למעשה ההפסד מירידת ערך. </t>
  </si>
  <si>
    <t>הפסד מירידת ערך</t>
  </si>
  <si>
    <t xml:space="preserve">עיליי בע״מ רכשה מחברת איתי מכונה ענקית לחימום נקניק. </t>
  </si>
  <si>
    <t xml:space="preserve">לטובת הרכישה, שילמה עיליי במזומן 50,000 ש״ח, והוסכם שתשלם בעוד שנתיים סכום נוסף של 200,000 ש״ח. </t>
  </si>
  <si>
    <t xml:space="preserve">כמו כן, החברה תמסור לטובת המכונה נקניק נוי שנמצא במשרד המנכ״ל ואשר שוויו מוערך ב-80,000 ש״ח. </t>
  </si>
  <si>
    <t xml:space="preserve">מסירת נקניק הנוי תבוצע מיד במועד הרכישה. </t>
  </si>
  <si>
    <t>עם הגעתה של מכונת חימום הנקניק לחברה, יש לנקות ממנה את שרידי הכרבולות הטחונות והפופיקים, בעלות</t>
  </si>
  <si>
    <t xml:space="preserve">של 5,000 ש״ח. </t>
  </si>
  <si>
    <t xml:space="preserve">כמו כן, יש לשלוח את עובדי החברה להשתלמות בתחום חימום הנקניק בפולין בעלות 15,000 ש״ח. </t>
  </si>
  <si>
    <t xml:space="preserve">דמי התחזוקה השנתיים של המכונה הם 8,000 ש״ח. </t>
  </si>
  <si>
    <t>מחיר ההון של החברה הוא 10% לשנה.</t>
  </si>
  <si>
    <t>נדרש: מהו הערך המוגדר בתור עלות הפריט, בהתאם לנתונים הנ״ל?</t>
  </si>
  <si>
    <t>תיאור</t>
  </si>
  <si>
    <t>ערך שנכלול</t>
  </si>
  <si>
    <t>הסבר / חישוב</t>
  </si>
  <si>
    <t>תשלום במזומן</t>
  </si>
  <si>
    <t>שווי היום (במזומן, PV) של תשלום בעתיד</t>
  </si>
  <si>
    <t>(*)</t>
  </si>
  <si>
    <t>חישוב PV של תשלום בעתיד:</t>
  </si>
  <si>
    <t>פרק הזמן בשנים עד התשלום</t>
  </si>
  <si>
    <t>מחיר ההון / הריבית לשנה</t>
  </si>
  <si>
    <t>התזרים הקבוע בסדרה</t>
  </si>
  <si>
    <t>כאן אין סדרה, אלא סכום יחיד בסוף, בתום השנתיים</t>
  </si>
  <si>
    <t>סכום חד פעמי בעתיד</t>
  </si>
  <si>
    <t>הסכום המשולם בעתיד</t>
  </si>
  <si>
    <t>ביצוע הפונקציה וחישוב</t>
  </si>
  <si>
    <t>נתון</t>
  </si>
  <si>
    <t>ראו למטה</t>
  </si>
  <si>
    <t>שווי תמורה שניתנה כנקניק נוי לפי איור</t>
  </si>
  <si>
    <t>מה לגבי עלות הניקוי?</t>
  </si>
  <si>
    <t xml:space="preserve">נשאלת השאלה, האם עלות הניקוי היא הוצאה או חלק מעלות הנכס. </t>
  </si>
  <si>
    <t xml:space="preserve">זו בהחלט דילמה. </t>
  </si>
  <si>
    <t>הפרשנות שאנו מייחסים לאירוע על פי התיאור היא שנדרש לנקות את המכונה כדי להכשיר אותה לשימוש.</t>
  </si>
  <si>
    <t xml:space="preserve">עלויות ההכשרה של הפריט לשימוש ראשוני הן בעצם חלק מעלויות ה״הקמה״ או ״היצירה״ שלו, </t>
  </si>
  <si>
    <t xml:space="preserve">ולפיכך הן חלק מעלותו. </t>
  </si>
  <si>
    <t>רוכש</t>
  </si>
  <si>
    <t>מוביל</t>
  </si>
  <si>
    <t>מתקין</t>
  </si>
  <si>
    <t>פעולות</t>
  </si>
  <si>
    <t>נוספות</t>
  </si>
  <si>
    <t>זמין</t>
  </si>
  <si>
    <t>לשימוש</t>
  </si>
  <si>
    <t xml:space="preserve">כל העלויות החיוניות עד להבאת הפריט </t>
  </si>
  <si>
    <t>למצב זמין לשימוש הן חלק מעלותו</t>
  </si>
  <si>
    <t>תחזוקה</t>
  </si>
  <si>
    <t>שוטפת</t>
  </si>
  <si>
    <t>חשמל</t>
  </si>
  <si>
    <t>הדרכות</t>
  </si>
  <si>
    <t>כל העלויות האלו אינן חלק מעלות הפריט</t>
  </si>
  <si>
    <t>אלא הוצאות</t>
  </si>
  <si>
    <t>עלות ניקוי</t>
  </si>
  <si>
    <t>והשתלמות</t>
  </si>
  <si>
    <t>חשבונאות פיננסית א - מפגש 2 - 20/3/2025 - המשך רכוש קבוע, הגדרות ודיון מקצועי</t>
  </si>
  <si>
    <t>במפגש הקודם התחלנו להתוות עקרונות ועיקרים ב-IAS 16, היום נמשיך אך נכניס רכיב תרגולי משמעותי יותר.</t>
  </si>
  <si>
    <t>הגדרה: ערך שייר</t>
  </si>
  <si>
    <t xml:space="preserve">בהתאם לתקן, כדי לחשב את הסכום ״בר הפחת״ (מה מפחיתים) יש להתבסס על העלות בניכוי ערך השייר. </t>
  </si>
  <si>
    <t>דוגמה:</t>
  </si>
  <si>
    <t xml:space="preserve">חברת ״נקניקי העיר״ רכשה מכונית מאזדה 3 ב-1.1.2020. </t>
  </si>
  <si>
    <t>החברה מחזיקה במכוניותיה 3 שנים בלבד, וזאת כמדיניות עקרונית.</t>
  </si>
  <si>
    <t>עלות המכונית 130,000 ש״ח.</t>
  </si>
  <si>
    <t xml:space="preserve">בעיקרון, מכוניות כאלו מסוגלות לתפקד ללא תקלות מהותיות במשך 10 שנים. </t>
  </si>
  <si>
    <t>בנוסף, ההערכה היא שבתום 10 השנים שווי המכונית יהיה 30,000 ש״ח.</t>
  </si>
  <si>
    <t>מכוניות מדגם זה, לפי מחירון לוי יצחק, ממודל 2017 הן בעלות שווי של 60,000 ש״ח.</t>
  </si>
  <si>
    <t xml:space="preserve">לא היו שינויים מהותיים בין מודל 2017 למודל 2020. </t>
  </si>
  <si>
    <t>חשבו והציגו את ערך הספרים של הנכס לתום כל אחת מהשנים 2020 ו-2021, ואת הוצאות הפחת לכל אחת משנים</t>
  </si>
  <si>
    <t xml:space="preserve">אלו (הנחה: ברירת המחדל בדבר חישובי הפחת אצלנו היא תמיד קו ישר, אלא אם נאמר אחרת). </t>
  </si>
  <si>
    <t>הפרשה לירידת ערך</t>
  </si>
  <si>
    <t>בשיטת הקו הישר:</t>
  </si>
  <si>
    <t>הוצאות הפחת מחושבות על ידי היחס</t>
  </si>
  <si>
    <t xml:space="preserve">שבין: </t>
  </si>
  <si>
    <t>עלות בניכוי שייר (מונה)</t>
  </si>
  <si>
    <t>תקופת הפחתה בשנים (מכנה)</t>
  </si>
  <si>
    <t>הסבר מורחב:</t>
  </si>
  <si>
    <r>
      <t xml:space="preserve">התקן IAS 16 מגדיר ערך שייר בתור השווי של הפריט </t>
    </r>
    <r>
      <rPr>
        <b/>
        <sz val="12"/>
        <color theme="1"/>
        <rFont val="David"/>
      </rPr>
      <t xml:space="preserve">אם הוא היה </t>
    </r>
    <r>
      <rPr>
        <sz val="12"/>
        <color theme="1"/>
        <rFont val="David"/>
      </rPr>
      <t>בגיל ובמצב שמאפיין את תום חייו השימושיים.</t>
    </r>
  </si>
  <si>
    <t xml:space="preserve">בעברית: על פי הגדרות החברה היא משתמשת במכוניות 3 שנים בלבד. </t>
  </si>
  <si>
    <t xml:space="preserve">לכן אורך החיים השימושיים של המכונית הוא 3 שנים (אין קשר לאורך החיים הכלכליים). </t>
  </si>
  <si>
    <t>ובהתאם ערך השייר חייב להקבע באופן שמהווה את האומדן לשווי מכונית לאחר 3 שנים.</t>
  </si>
  <si>
    <t>הואיל ואנחנו לא יודעים מה יהיה שווי המכונית הספציפית שרכשנו עוד 3 שנים, אנחנו מתבססים על השווי של מכונית</t>
  </si>
  <si>
    <t>שהיא בת 3 שנים היום - וזוהי מכונית ממודל 2017 ששוויה 60,000 ש״ח.</t>
  </si>
  <si>
    <t xml:space="preserve">בקצרה: ערך שייר = אומדן שווי בתום חיים שימושיים בחברה; אורך חיים שימושיים = תקופת שימוש צפויה בחברה. </t>
  </si>
  <si>
    <t>הגדרה נוספת - אורך חיים שימושיים - קוז׳פול לייף</t>
  </si>
  <si>
    <t xml:space="preserve">בעוד שאת שיטות הפחת העיקריות הקשורות למקרה (א) אנחנו מכירים (קו ישר, סכום ספרות). </t>
  </si>
  <si>
    <t>שיטת הפחת הקשורה למקרה ב - דורשת הצגה. הרעיון מאחוריה הוא לייצג דפוס הפחתה שנשען על אינטנסיביות השימוש</t>
  </si>
  <si>
    <t xml:space="preserve">בפריט - אם קורעים לו את הצורה הפחת יהיה גבוה, ואם משתמשים בו בעדינות - פחת נמוך. </t>
  </si>
  <si>
    <t>דוגמה</t>
  </si>
  <si>
    <t xml:space="preserve">עיליי רכש מכונה ענקית לטחינת כרבולות לשימוש החברה. עלות המכונה 500,000 ש״ח ומועד רכישתה 1.8.2022. </t>
  </si>
  <si>
    <t xml:space="preserve">המכונה מופחתת בשיטת יחידות התפוקה ללא ערך שייר / גרט. </t>
  </si>
  <si>
    <t>בסך הכל, בהתאם לנתוני היצרן, המכונה הנ״ל מסוגלת לטחון 250 טון כרבולות במהלך חייה. לאחר מכן, יש צורך</t>
  </si>
  <si>
    <t>להחליף מכלולים רבים שהופכים את המשך תחזוקתה ללא כלכלי בעליל.</t>
  </si>
  <si>
    <t>להלן נתונים בדבר היקף טחינת הכרבולות על ידי עיליי בשנים שונות:</t>
  </si>
  <si>
    <t>שנה</t>
  </si>
  <si>
    <t>טון כרבול טחון</t>
  </si>
  <si>
    <t xml:space="preserve">נדרש: חשבו והציגו את ערך הספרים של הנכס ואת הוצאות הפחת בתום כל אחת מהשנים. </t>
  </si>
  <si>
    <t>פחת נזבר</t>
  </si>
  <si>
    <t xml:space="preserve">הדר הציע: נתבסס על עלות הפריט (500,000) בניכוי ערך השייר (כאן - אין, לכן 0) ובמקום לחלק בשנות ההפחתה, </t>
  </si>
  <si>
    <t xml:space="preserve">מה שמקובל מאד בקו ישר על פני זמן, נחלק בקיבולת התפוקה (היקף התפוקה הכולל הצפוי לאורך חיי הפריט). </t>
  </si>
  <si>
    <t>זה אומר שאפשר, ודי בקלות, לחשב את הוצאות הפחת לטון כרבולת טחון אחד:</t>
  </si>
  <si>
    <t xml:space="preserve">(500,000 - 0) / 250 = </t>
  </si>
  <si>
    <t>פחת לטון כרבול טחון</t>
  </si>
  <si>
    <t>אם נכפול את הפחת לטון במספר הטונות שטוחנים כל שנה, נוכל להגיע להוצאות הפחת לכל שנה</t>
  </si>
  <si>
    <t>דוגמה נוספת</t>
  </si>
  <si>
    <t xml:space="preserve">מרווה רכשה מכונה ענקית למתיחת מעיים לשימוש החברה. עלות המכונה 300,000 ש״ח ומועד רכישתה 1.10.2022. </t>
  </si>
  <si>
    <t>בסך הכל, בהתאם לנתוני היצרן, המכונה הנ״ל מסוגלת למתוח 1,000 מ׳ מעיים במהלך חייה. לאחר מכן, יש צורך</t>
  </si>
  <si>
    <t>מטראז׳ מעיים מתוחים</t>
  </si>
  <si>
    <t>תזכורת קטנה:</t>
  </si>
  <si>
    <t>החברה מפחיתה את הנכס לפי יח׳ התפוקה,</t>
  </si>
  <si>
    <t>ההגדרה אומרת:</t>
  </si>
  <si>
    <t>נחשב הפחתה ליח׳ (למטר מעיים מתוח)</t>
  </si>
  <si>
    <t>נכפול במעי המתוח לשנה</t>
  </si>
  <si>
    <t>שימו לב להערה של אינאס:</t>
  </si>
  <si>
    <t>כאשר ההפחתה היא לפי יח׳ תפוקה,</t>
  </si>
  <si>
    <t>לתאריך הרכישה אין משמעות אמיתית.</t>
  </si>
  <si>
    <t>כי מה שחשוב זה כמה מייצרים שזה נתון</t>
  </si>
  <si>
    <t>נפרד, ולא הזמן.</t>
  </si>
  <si>
    <t xml:space="preserve">זו למעשה המשמעות של הפחתה לפי </t>
  </si>
  <si>
    <t>תפוקה בשונה מהפחתה לפי זמן.</t>
  </si>
  <si>
    <t xml:space="preserve">נשים לב שבשונה מהמקרה הקודם יש כאן ״עניין״: </t>
  </si>
  <si>
    <t>למרות שהפריט צפוי לשרתנו במשך 1,000 יחידות תפוקה, לאחר שעבדנו איתו עוד שנה ועוד שנה,</t>
  </si>
  <si>
    <t>גילינו שהוא הצליח להפיק למעננו:</t>
  </si>
  <si>
    <t>סה״כ</t>
  </si>
  <si>
    <t>תפוקה בפועל</t>
  </si>
  <si>
    <t>&lt;</t>
  </si>
  <si>
    <t>הערכת קיבולת לנכס</t>
  </si>
  <si>
    <t xml:space="preserve">במצב כזה, עלינו לדאוג לכך שנקטין את הוצאות הפחת בשנה שבה חלה החריגה, על מנת לא להוביל </t>
  </si>
  <si>
    <t xml:space="preserve">לנכס שלילי. </t>
  </si>
  <si>
    <t xml:space="preserve">תכל׳ס: למרות שבשנה האחרונה הפחת אמור להתבסס על 400 יח׳, אנו נחשב אותו על 300 יח׳ בלבד. </t>
  </si>
  <si>
    <t>בסיס להפחתה</t>
  </si>
  <si>
    <t>סעיף 12 לתקן - עלויות עוקבות וההתייחסות אליהן כאל חלק מהרכוש הקבוע</t>
  </si>
  <si>
    <t>בגסות רבה - לאחר שהפריט זמין לשימוש, מפסיקים לזקוף לנכס עלויות.</t>
  </si>
  <si>
    <t>בשפה פשוטה - עלות הובלה, התקנה, בדיקת תקינות וכו׳ הן חלק מהעלות הפריט.</t>
  </si>
  <si>
    <t>אבל אחזקה, טיפולים שוטפים, חשמל, דלק וכיו״ב - אינן חלק מעלות נכס הרכוש הקבוע אלא מהוות הוצאה.</t>
  </si>
  <si>
    <t>נשאלת השאלה - מה לגבי עלויות משמעותיות?</t>
  </si>
  <si>
    <t xml:space="preserve">נניח שיש לנו מבנה משרדים מאד מוזנח עם תשתיות רקובות. </t>
  </si>
  <si>
    <t xml:space="preserve">ועוד נניח שהחברה החליטה לבצע פרויקט מטורף לשיפוץ המבנה בעלות של מיליונים רבים של שקלים. </t>
  </si>
  <si>
    <t>האם מדובר באמת בהוצאה?</t>
  </si>
  <si>
    <t>או אולי מדובר בעלות שהיא בגדר שיפור בנכס המבנה?</t>
  </si>
  <si>
    <t>לכן עלינו לדון במצבים שבהם אכן מתהוות עלויות שיוצרות שינוי מהותי באורך חיי הנכס או בפוטנציאל השימוש שלו.</t>
  </si>
  <si>
    <t>מתווה הטיפול הוא כדלקמן:</t>
  </si>
  <si>
    <t xml:space="preserve">א. נחשב את ערך הספרים של הפריט ערב השינוי (ערב ההשבחה / השיפור המשמעותי). </t>
  </si>
  <si>
    <t>ב. נוסיף לערך ספרים זה את עלות ההשבחה. כך נקבל ״בסיס פחת חדש״.</t>
  </si>
  <si>
    <t>מסי קניה בסך 20,000 ש״ח, מע״מ בסך 17,000 ש״ח ועלויות התקנה בסך 12,000 ש״ח. עלויות תפעול שוטפות</t>
  </si>
  <si>
    <t xml:space="preserve">והמנוע המרכזי, וזאת בעלות של 80,000 ש״ח. כפועל יוצא, צפויה לגדול קיבולת התפוקה של המכונה, אך לא </t>
  </si>
  <si>
    <t xml:space="preserve">יחול שינוי בתקופת השימוש הצפויה בה על ידי החברה. מכונות דומות יכולות לפעול בדרך כלל 10 שנים, אך </t>
  </si>
  <si>
    <t>החברה צופה להחזיק במכונה 5 שנים בלבד. המחיר הצפוי למכונות דומות בנות 5 שנים שלא עברו השבחה הוא</t>
  </si>
  <si>
    <t>בסך 20,000 ש״ח ואילו המחיר הצפוי למכונות דומות בנות 5 שנים שעברו השבחה הוא בסך 30,000 ש״ח.</t>
  </si>
  <si>
    <t>בתאריך 31.12.2021 נמכרה המכונה תמורת 28,000 ש״ח.</t>
  </si>
  <si>
    <t>החברה מיישמת לגבי פריטי רכוש קבוע המשתייכים לקבוצת המכונות וציוד הייצור את מודל העלות, ומיישמת</t>
  </si>
  <si>
    <t xml:space="preserve">פחת בשיטת הקו הישר. </t>
  </si>
  <si>
    <t xml:space="preserve">חברה רכשה מכונת חימום נקניק בתאריך 1.1.2017. עלות המכונה 150,000 ש״ח אך בנוסף לעלותה נאלצה החברה לשלם </t>
  </si>
  <si>
    <t xml:space="preserve">נדרש: הצגת מכלול הפריטים בגין הנכס בספרים כולל השפעה על הוצאות פחת ורווח / הפסד הון. </t>
  </si>
  <si>
    <t>נתחיל מחישוב העלות במועד הרכישה:</t>
  </si>
  <si>
    <t>עלות ראשונית נתונה:</t>
  </si>
  <si>
    <t>מסי קניה (חלק מהעלות):</t>
  </si>
  <si>
    <t>התקנה (כדי להשמיש):</t>
  </si>
  <si>
    <t>מע״מ: לא רלוונטי; כי מע״מ מקבלים</t>
  </si>
  <si>
    <t>חזרה כעסק במידה ורוכשים ציוד עסקי.</t>
  </si>
  <si>
    <t>בגסות: עלויות המתקבלות חזרה אינן</t>
  </si>
  <si>
    <t xml:space="preserve">חלק מעלות הפריט הנרכש. </t>
  </si>
  <si>
    <t>סך העלות</t>
  </si>
  <si>
    <r>
      <t xml:space="preserve">של מכונת הייצור הן 5,000 ש״ח לשנה. </t>
    </r>
    <r>
      <rPr>
        <sz val="12"/>
        <color rgb="FFFF0000"/>
        <rFont val="David"/>
      </rPr>
      <t>בתאריך 1.1.2020 בוצעה השבחה במכונה, שבמסגרתה הוחלפו כל הצירים</t>
    </r>
  </si>
  <si>
    <t>ללא השבחה</t>
  </si>
  <si>
    <t>נתון עזר</t>
  </si>
  <si>
    <t>לאחר השבחה</t>
  </si>
  <si>
    <t>ג. בסיס הפחת החדש יופחת על פני הפרמטרים הרלוונטיים להפחתה (על בסיס יתרת אורך חיים עדכנית לאחר ההשבחה), כדי לחשב הוצאות פחת לאחר ההשבחה.</t>
  </si>
  <si>
    <t>לפני מכירה</t>
  </si>
  <si>
    <t xml:space="preserve">אחרי </t>
  </si>
  <si>
    <t>מכירה</t>
  </si>
  <si>
    <t>הפסד הון</t>
  </si>
  <si>
    <t>סיכום התהליך - שאלת רכוש קבוע עם השבחה:</t>
  </si>
  <si>
    <t>כאשר מזהים בשאלת רכוש קבוע עלות משמעותית שמשפרת את הפריט או תפקודו (הגדלת כושר ייצור במכונה,</t>
  </si>
  <si>
    <t>היקף נסיעה אפשרי במכונית, שיפוץ מאסיבי במבנה משרדים) ו/או מגדילה את אורך חייו, הטיפול יבוצע כדלקמן:</t>
  </si>
  <si>
    <t>לאחר ההשבחה</t>
  </si>
  <si>
    <t>ערב ההשבחה</t>
  </si>
  <si>
    <t>לפני ההשבחה</t>
  </si>
  <si>
    <t>רגע לפני</t>
  </si>
  <si>
    <t>זמן</t>
  </si>
  <si>
    <t>מחשבים הוצאות פחת לפי:</t>
  </si>
  <si>
    <t xml:space="preserve">מחשבים הוצאות פחת </t>
  </si>
  <si>
    <t>בסיס פחת חדש (עלות חדשה בניכוי שייר חדש)</t>
  </si>
  <si>
    <t>וערך ספרים כרגיל</t>
  </si>
  <si>
    <t xml:space="preserve">ופרמטרים עדכניים להפחתה - </t>
  </si>
  <si>
    <t>בהתעלם מההשבחה</t>
  </si>
  <si>
    <t>אורך חיים, שיטת פחת</t>
  </si>
  <si>
    <t>ערך ספרים ערב ההשבחה</t>
  </si>
  <si>
    <t>הוסף: עלות השבחה</t>
  </si>
  <si>
    <t>קבלי: עלות חדשה להפחתה</t>
  </si>
  <si>
    <t>בנוסף לבדוק:</t>
  </si>
  <si>
    <t>האם חל שינוי בשייר / יתרת אורך חיים / שיטת פחת</t>
  </si>
  <si>
    <t>מעדכן פרמטרים להפחתה בהמשך</t>
  </si>
  <si>
    <t>שאלה 1.1 - תרגול נוסף להשבחות</t>
  </si>
  <si>
    <t xml:space="preserve">חברת פקיקי בע״מ (להלן: ״החברה״) רכשה ב-1.1.2018 מכונה לחימום נקניק לעובדי המשרד. </t>
  </si>
  <si>
    <t>עלות המכונה הסתכמה ב-150,000 ש״ח, ואורך חייה השימושיים נאמד על ידי החברה ב-5 שנים.</t>
  </si>
  <si>
    <t xml:space="preserve">למכונה אין ערך שייר / גרט, והחברה מפחיתה מכונות כאלו בשיטת הקו הישר על פני אורך חייהן השימושיים. </t>
  </si>
  <si>
    <t>בתאריך 30.6.2020, ביצעה החברה החלפה של סלילי חימום הנקניק בעלות של 70,000 ש״ח.</t>
  </si>
  <si>
    <t>כפועל יוצא, אורך החיים של הפריט גדל ב-3.5 שנים, צפוי לו ערך שייר של פריט עם סלילי נקניק מחוזקים: 20,000 ש״ח,</t>
  </si>
  <si>
    <t>ב-30.9.2022 נמכרה המכונה למר נקניקון בתמורה ל-44,000 ש״ח.</t>
  </si>
  <si>
    <t xml:space="preserve">נדרש: חשבו והציגו את כל היתרות המאזניות והתוצאתיות בגין הפריט לשנות החזקתו. 2018-2022. </t>
  </si>
  <si>
    <t>ערב המכירה</t>
  </si>
  <si>
    <t>שאלה 1.2 - תרגול נוסף להשבחות - סכום ספרות השנים</t>
  </si>
  <si>
    <t xml:space="preserve">חברת פקיקי המסובכת בע״מ (להלן: ״החברה״) רכשה ב-1.1.2018 מכונה לחימום נקניק לעובדי המשרד. </t>
  </si>
  <si>
    <r>
      <t xml:space="preserve">למכונה אין ערך שייר / גרט, והחברה מפחיתה מכונות כאלו בשיטת </t>
    </r>
    <r>
      <rPr>
        <b/>
        <sz val="12"/>
        <color theme="1"/>
        <rFont val="David"/>
      </rPr>
      <t>סכום ספרות השנים על פני אורך חייהן השימושיים</t>
    </r>
    <r>
      <rPr>
        <sz val="12"/>
        <color theme="1"/>
        <rFont val="David"/>
      </rPr>
      <t xml:space="preserve">. </t>
    </r>
  </si>
  <si>
    <t xml:space="preserve">הדרכה בסיסית: כאשר חברה מפחיתה פריט בשיטת סכום ספרות השנים (סס״י), כאשר מבוצעת השבחה, </t>
  </si>
  <si>
    <t xml:space="preserve">פרט לחישוב עלות חדשה להפחתה - יש גם לחשב סכום ספרות חדש, ולהקצות ספרות מחדש. </t>
  </si>
  <si>
    <t>לפני השבחה</t>
  </si>
  <si>
    <t>אחרי השבחה</t>
  </si>
  <si>
    <t>לפני המכירה</t>
  </si>
  <si>
    <t>עלות מופחתת</t>
  </si>
  <si>
    <t>במועד ההשבחה 30/6/2020, יש לזהות:</t>
  </si>
  <si>
    <t>עלות חדשה להפחתה</t>
  </si>
  <si>
    <t>ערך שייר חדש</t>
  </si>
  <si>
    <t>בסיס פחת חדש</t>
  </si>
  <si>
    <t>יתרת חיים עדכנית בשנים:</t>
  </si>
  <si>
    <t>אורך חיים מקורי בשנים</t>
  </si>
  <si>
    <t>בניכוי שנים שחלפו:</t>
  </si>
  <si>
    <t>כל 2018, כל 2019, ומחצית משנת 2020</t>
  </si>
  <si>
    <t>גידול באורך החיים - השבחה</t>
  </si>
  <si>
    <t>נתון, שורה 121</t>
  </si>
  <si>
    <t>יתרת חיים עדכנית:</t>
  </si>
  <si>
    <t>שיטת הפחתה עדכנית:</t>
  </si>
  <si>
    <t>סס״י - סכום ספרות יורד</t>
  </si>
  <si>
    <t>הואיל וסס״י: נחשב סכום ספרות:</t>
  </si>
  <si>
    <t>n * (n + 1) / 2 = 6 * (6 + 1) / 2 = 21</t>
  </si>
  <si>
    <t>ספרה: 4</t>
  </si>
  <si>
    <t>ספרה: 5</t>
  </si>
  <si>
    <t>ספרה: 6</t>
  </si>
  <si>
    <t>95,000 * (6*6/12) / 21</t>
  </si>
  <si>
    <t>95,000 * (4*3/12) / 21</t>
  </si>
  <si>
    <t>95,000 * (5*6/12) / 21</t>
  </si>
  <si>
    <t>=</t>
  </si>
  <si>
    <t>מחצית שניה</t>
  </si>
  <si>
    <t>סך הוצ׳ פחת 2022</t>
  </si>
  <si>
    <t>סך הוצ׳ פחת 2021</t>
  </si>
  <si>
    <t>שאלה רצינית - של רואי חשבון סוסים!</t>
  </si>
  <si>
    <t>עלויות ראשוניות ונחיצותן - פריטים נלווים והשפעות רגולציה</t>
  </si>
  <si>
    <t>IAS 10 - 11 - Initial costs</t>
  </si>
  <si>
    <t>Items of property, plant and equipment may be acquired for safety or environmental reasons. The</t>
  </si>
  <si>
    <t xml:space="preserve">acquisition of such property, plant and equipment, although not directly increasing the future </t>
  </si>
  <si>
    <t xml:space="preserve">economic benefits of any particular existing iterm of property, plant and equipment, may be </t>
  </si>
  <si>
    <t>necessary for an entity to obtain the future economic benefits from its other assets.</t>
  </si>
  <si>
    <t>Such items of property, plant and equipment qualify for recognition as assets because they enable</t>
  </si>
  <si>
    <t>an entity to obtain the future benefits from its other assets. Such iterms of property…. Qualify for</t>
  </si>
  <si>
    <t xml:space="preserve">recognition as assets because they enable an entity to derive future economic benefits from related </t>
  </si>
  <si>
    <t>assets in excess of what could be derived had those items not been acquired.</t>
  </si>
  <si>
    <t>For example, a chemical manufacturer may install new chemical handling processes to comply</t>
  </si>
  <si>
    <t>with environmental requirements for the production and storage of dangerous chemicals;</t>
  </si>
  <si>
    <t>related plant enhancements are recognised as an asset because without them the entity is unable</t>
  </si>
  <si>
    <t xml:space="preserve">to manufacture and sell chemicals. However, the resulting carrying amount of such and asset </t>
  </si>
  <si>
    <t>and related assets is reviewed for impairment in accordance with IAS 36 impairment of assets.</t>
  </si>
  <si>
    <t>עיקרי המשמעות</t>
  </si>
  <si>
    <t xml:space="preserve">הרעיון הבסיסי בפסקה זו פשוט למדי: כשאנו דנים בעלויות הכרחיות שנזקפות כנכס רכוש קבוע, אנו מתייחסים </t>
  </si>
  <si>
    <t>לא רק לעלויות נדרשות בפן התפעולי (כדי שפיזית, הפריט יוכל לייצר) אלא גם לעלויות הנובעות מדרישות חוק ותקנות-</t>
  </si>
  <si>
    <t>כדוגמת מפעל הכימיקלים שצריך להוסיף רכיב לפס הייצור שנדרש לפי הנחיות החוק לאחסון בטיחותי של החומרים.</t>
  </si>
  <si>
    <t>שאלה 2</t>
  </si>
  <si>
    <t>חברה רכשה מכונה לייצור כימיקלים בתאריך 1.1.2020. עלות המכונה 100,000 ש״ח, אורך החיים השימושיים</t>
  </si>
  <si>
    <t xml:space="preserve">שלה הנו 5 שנים והיא מופחתת בשיטת הקו הישר, כאשר ערך השייר המוערך שלה הוא אפס. החברה מיישמת </t>
  </si>
  <si>
    <t>לגבי מכונות הייצור שברשותה את בסיס המדידה ״עלות״ לפי הנחיות IAS 16. המכונה לייצור הכימיקלים</t>
  </si>
  <si>
    <t>עובדת בצורה מושלמת ומייצרת מוצרים נאותים בצורה טובה במצב הנוכחי, אך חקיקה שהועברה על ידי המשרד</t>
  </si>
  <si>
    <t>לאיכות הסביבה מחייבת את החברה להתקין מסנן חלקיקים במכונה למזעור זיהום האוויר בתהליך הייצור.</t>
  </si>
  <si>
    <t xml:space="preserve">מסנן החלקיקים הותקן רק ב-1.7.2020. הייצור החל מיד ב-1.1.2020. </t>
  </si>
  <si>
    <t>נדרש: האם יש להכיר בעלות מסנן החלקיקים כתוספת לעלות פריט הרכוש הקבוע? מדוע?</t>
  </si>
  <si>
    <t>אכן, לפי הנחיות IAS 16, התקנת רכיבים בעלי עלות משמעותית, הנדרשים מכוח החוק, ולפיכך, מהווים</t>
  </si>
  <si>
    <t>רכיב מחייב מנקודת ראות החברה להמשך ייצור בצורה ״חוקית״, נזקפים לעלות הפריט ולא להוצאות,</t>
  </si>
  <si>
    <t>הואיל ורכיבים כאלו מאפשרים המשך הנבת הטבות לאורך זמן, ללא חשיפה לעונשים כבדים.</t>
  </si>
  <si>
    <t>עלויות עוקבות</t>
  </si>
  <si>
    <t>IAS 16 - 12 - Subsequent Costs</t>
  </si>
  <si>
    <t>Under the recognition principle (p. 7), an entity does not recognise in the carrying amount of an item</t>
  </si>
  <si>
    <t>of property… the costs of the day to day servicing of the item. Rather, these costs are recognised</t>
  </si>
  <si>
    <t xml:space="preserve">in profit or loss as incurred. Costs of day to day servicing are primarily the costs of labour and </t>
  </si>
  <si>
    <t>consumables, and may include the costs of small parts. The purpose of these expenditures is</t>
  </si>
  <si>
    <t>often described as for the 'repairs and mainteance' of the item of property…</t>
  </si>
  <si>
    <t>בעלות פריט רכוש קבוע לא נכלול עלויות שהתהוו לאחר המועד שבו הנכס זמין לשימוש, אם מדובר בעלויות הקשורות</t>
  </si>
  <si>
    <t>לאחזקה / שימוש שוטף / שמירה על הקיים. לעומת זאת, כן ניתן (כפי שראינו) לכלול בעלות פריט הרכוש הקבוע</t>
  </si>
  <si>
    <t>תוספות שמגדילות את ההטבות מהפריט לאורך זמן (כגון השבחה, תוספת רכיבים שמשפרים ייצור וכיוצא בזה).</t>
  </si>
  <si>
    <t>שאלה 3</t>
  </si>
  <si>
    <t>מהו ההיגיון הבסיסי בכך שלפי IAS 16, לא זוקפים עלויות אחזקה וטיפול שוטף בפריטי רכוש קבוע כחלק מהעלות?</t>
  </si>
  <si>
    <t>האם לא ניתן לטעון שאם אנו רוכשים מכונית, למשל, העלות שלה מן הסתם כוללת גם את עלות השימוש השנתית</t>
  </si>
  <si>
    <t xml:space="preserve">בה? הסבירו והגדירו על בסיס המונחים החשבונאיים המתאימים שבבסיס מטרות הדיווח. </t>
  </si>
  <si>
    <t>התשובה:</t>
  </si>
  <si>
    <t>הבסיס העיקרי והמרכזי לדיון בנכסים וההכרה בהם, גלום בהבנה שמדובר בפריטים שבעקבותיהם צפויה לזרום</t>
  </si>
  <si>
    <t xml:space="preserve">בעתיד הטבה כלכלית לישות. </t>
  </si>
  <si>
    <t>כאשר חברה משלמת למשל על דלק למכונית או על אחזקה, כי המכונית נסעה כבר 20,000 קילומטרים והגיע</t>
  </si>
  <si>
    <t>הזמן לטיפול. ההתייחסות במצב כזה לעלויות היא כאל ערכים שכבר ״נצרכו״ וההטבה בגינם כבר נתגבשה.</t>
  </si>
  <si>
    <t>לעומת זאת, אירוע של השבחה, של החלפת רכיב משמעותי בפריט, או שינוי אחר מהותי לטובה בו - מייצר אופק</t>
  </si>
  <si>
    <t xml:space="preserve">עתידי של הטבות כלכליות נוספות, מה שמקנה, ברמה הבסיסית ביותר, עמידה בהגדרת נכס. </t>
  </si>
  <si>
    <t>ובקצרה: עלות רכוש קבוע היא נכס, מתוקף ההבנה שתיווצר ממנו הטבה כלכלית לאורך זמן.</t>
  </si>
  <si>
    <t>אחזקה, דלק, חשמל וכיו״ב - אינן עלויות שמשנות את תקופת ההטבה / השימושים, ולכן אינן חלק מהעלות.</t>
  </si>
  <si>
    <t>IAS 16 - 13 - Subsequent Costs</t>
  </si>
  <si>
    <t>Parts of some items of property, plant and equipment may require replacement at regular intervals.</t>
  </si>
  <si>
    <t>For example, a furnace may require rlining after a specific number of hours of use, or aircraft</t>
  </si>
  <si>
    <t>interiors such as seats and galleys may require replacement several times during the life of the</t>
  </si>
  <si>
    <t>airframe. Items of property… may also be acquired to make a less frequently recurring replacement,</t>
  </si>
  <si>
    <t>such as replacing the interior walls of a building, or to me a nonrecurring replacement.</t>
  </si>
  <si>
    <t>Under the recognition principles (p.7), an entity recognises in the carrying amount of an item of</t>
  </si>
  <si>
    <t xml:space="preserve">property, plant and equipent, the cost of replacing part of such an item when that cost is incurred if </t>
  </si>
  <si>
    <t>the recognition criteria are met. The carring amount of those parts that are replaced is derecognised</t>
  </si>
  <si>
    <t xml:space="preserve">in accordance with the derecognition of provisions of this standard. </t>
  </si>
  <si>
    <t>נניח שאורך חיים של מטוס הוא 20 שנים. ועוד נניח, שאת חלקי הפנים של המטוס (כסאות וכיו״ב) מצופה להחליף</t>
  </si>
  <si>
    <t>בחלוף 10 שנים. כאשר מגיע מועד ההחלפה של החלקים הפנימיים במטוס, עלינו:</t>
  </si>
  <si>
    <t xml:space="preserve">א. ״לגרוע״ (disposal) כלומר לאפס את ערך הספרים (העלות המופחתת) של הרכיב הספציפי המוחלף. </t>
  </si>
  <si>
    <t xml:space="preserve">ב. ערך הספרים של הפריט המוחלף נזקף כהוצאה. </t>
  </si>
  <si>
    <t>ג. יש להכיר בעלות ההחלפה (הכסאות החדשים, חלקי הפנים החדשים והתקנתם) כתוספת לעלות הנכס.</t>
  </si>
  <si>
    <t>שאלה 4</t>
  </si>
  <si>
    <t>כיצד הטיפול בהחלפת רכיבים עיקריים של פריט רכוש קבוע עקביים עם מטרות המדידה וההצגה של רכוש קבוע?</t>
  </si>
  <si>
    <t>הסבירו בקצרה.</t>
  </si>
  <si>
    <t>נניח שברשותי מכונית שעלתה 100,000 ש״ח ומתוך עלות כוללת זו, כ-20,000 זה השווי של המנוע.</t>
  </si>
  <si>
    <t xml:space="preserve">ונניח שהמכונית מופחתת על פני 10 שנים ללא שייר / גרט. </t>
  </si>
  <si>
    <t>נניח שאחרי 7 שנים צריך להחליף את המנוע בעלות של 18,000 ש״ח:</t>
  </si>
  <si>
    <t>מנוע:</t>
  </si>
  <si>
    <t>פחת נצבר ערב ההחלפה</t>
  </si>
  <si>
    <t xml:space="preserve">20,000 / 10 * 7 = </t>
  </si>
  <si>
    <t>ערך ספרים של המוחלף</t>
  </si>
  <si>
    <t xml:space="preserve">גריעת ערך הספרים </t>
  </si>
  <si>
    <t>ז׳ מכונית (רכיב מנוע - עלות)</t>
  </si>
  <si>
    <t>של המוחלף (א)</t>
  </si>
  <si>
    <t>ח׳ פחת נצבר מכונית (רכיב מנוע)</t>
  </si>
  <si>
    <t>זקיפת ע. ספרים כהוצאה (ב)</t>
  </si>
  <si>
    <t>ח׳ הוצאה (הפסד מהחלפת מנוע)</t>
  </si>
  <si>
    <t>ג. יש להכיר בעלות ההחלפה (הרכיב המחליף) כתוספת לעלות הנכס.</t>
  </si>
  <si>
    <t>ח׳ מכונית - עלות (מנוע חדש)</t>
  </si>
  <si>
    <t>ז׳ מזומן</t>
  </si>
  <si>
    <t>מדידה במועד ההכרה</t>
  </si>
  <si>
    <t>Measurement at recognition - IAS 16, p.15-17</t>
  </si>
  <si>
    <t>An item of property, plant and equipment that qualifies for recognition as an asset shall be measured</t>
  </si>
  <si>
    <t>at its cost.</t>
  </si>
  <si>
    <t>The cost of an item of property, plant and equipment comprises:</t>
  </si>
  <si>
    <t>(a) its purchase price, including import duties and non-refundable purchase taxes, after deducting</t>
  </si>
  <si>
    <t>trade discounts and rebates.</t>
  </si>
  <si>
    <t>(b) any costs directly attributable to bringing the asset to the location and condition necessary for</t>
  </si>
  <si>
    <t>it to be capable of operating in the manner intended by management.</t>
  </si>
  <si>
    <t>(c) the initial estimate of the costs of dismantling and removing the item and restoring the site</t>
  </si>
  <si>
    <t>on which it is located, the obligation for which and entity incurs either when the item is acquired or</t>
  </si>
  <si>
    <t xml:space="preserve">as a consequence of having used the item during a particular period for purposes other than to </t>
  </si>
  <si>
    <t>produce inventories during that period.</t>
  </si>
  <si>
    <t>Examples:</t>
  </si>
  <si>
    <t xml:space="preserve">(a) costs of employee benefits (as defined in IAS 19) arising directly from the construction or </t>
  </si>
  <si>
    <t>acquisition of the item of property, plant and equipment;</t>
  </si>
  <si>
    <t>(b) costs of site preperation.</t>
  </si>
  <si>
    <t>(c) initial delivery and handling costs.</t>
  </si>
  <si>
    <t>(d) installation and assembly costs.</t>
  </si>
  <si>
    <t>(e) costs of testing whether the asset is functioning properly.</t>
  </si>
  <si>
    <t xml:space="preserve">(f) proffessional fees. </t>
  </si>
  <si>
    <t>העלות של פריט רכוש קבוע כוללת את עלות רכישתו, כולל מסי יבוא ומסים אחרים שאינם ניתנים לסילוק או לקבלת החזר</t>
  </si>
  <si>
    <t>בגינם, לאחר ניכוי וקיזוז של הנחות וזיכויים (בהקשר למסים שמקבלים חזרה, ראו להלן התייחסות לסוגיית המע״מ).</t>
  </si>
  <si>
    <t>בנוסף, העלות כוללת גם את כל העלויות הנוספות הנדרשות להבאת הפריט למיקום ולמצב שמיש כפי כוונת ההנהלה.</t>
  </si>
  <si>
    <t>העלויות הנובעות מהצורך לפרק ולפנות פריט רכוש קבוע ולשחזר את האתר שבו הוא ממוקם, יהוו חלק מעלות הפריט,</t>
  </si>
  <si>
    <t>אלא אם מדובר בעלויות המשוייכות במישרין לייצור המלאי על ידי הפריט במהלך התקופה.</t>
  </si>
  <si>
    <t>שאלה 5</t>
  </si>
  <si>
    <t>ֿ</t>
  </si>
  <si>
    <t xml:space="preserve">האם מע״מ הוא חלק מעלות פריט רכוש קבוע? הסבירו. </t>
  </si>
  <si>
    <t xml:space="preserve">שלילית. חברות זכאיות לקבל חזרה את המע״מ אותו הן משלמות לצרכים עסקיים מרשות המסים (ממע״מ). יש לכך </t>
  </si>
  <si>
    <t>חריגים, אך ככלל, בהיעדר התייחסות מפורשת אחרת, מע״מ איננו חלק מהעלות.</t>
  </si>
  <si>
    <t>הרצאה מס׳ 3 - המשך רכוש קבוע - מתקרבים להשלמת מודל ה״עלות״ - בהדגש רכיבים, החלפות והשבחות</t>
  </si>
  <si>
    <t>בעברית: במקרים רבים אנו מתייחסים לרכוש קבוע כאל פריט בודד שתכל׳ס - מופחת כולו לפי השיטה המתאימה</t>
  </si>
  <si>
    <t>מספר השנים.</t>
  </si>
  <si>
    <t>אבל לעתים פריט רכוש קבוע מורכב מחלקים / רכיבים שיש להם אורך חיים שימושיים שונה מזה של הפריט כולו.</t>
  </si>
  <si>
    <t>התקן מעניק כדוגמא מטוס שהשלד שלו מחזיק מעמד שנים ארוכות, אבל את החלקים הפנימיים כגון כסאות</t>
  </si>
  <si>
    <t>יש להחליף בתדירות גבוהה יותר.</t>
  </si>
  <si>
    <t>תרגיל מס׳ 1</t>
  </si>
  <si>
    <t>קנלו בע״מ רכשה מכונה ענקית לחימום נקניק לעובדי המשרד.</t>
  </si>
  <si>
    <t>עלות המכונה הכוללת היא 2,000,000 ש״ח.</t>
  </si>
  <si>
    <t xml:space="preserve">החברה ביצעה הערכה לגבי רכיבי המכונה לצורך הפחתתה בגישת הרכיבים על פי הנחיות IAS 16. </t>
  </si>
  <si>
    <t>להלן ממצאי ההערכה:</t>
  </si>
  <si>
    <t>רכיב</t>
  </si>
  <si>
    <t>מנוע</t>
  </si>
  <si>
    <t>תמסורת</t>
  </si>
  <si>
    <t>גלילי חימום נקניק</t>
  </si>
  <si>
    <t xml:space="preserve">ש״ח </t>
  </si>
  <si>
    <t>אורך החיים השימושיים בשנים</t>
  </si>
  <si>
    <t xml:space="preserve">המכונה נרכשה והפכה לזמינה לשימוש ב-1.1.2020. </t>
  </si>
  <si>
    <t xml:space="preserve">נדרש: חשבו והציגו את הוצאות הפחת והעלות המופחתת לתום כל אחת מהשנים 2020, 2021. </t>
  </si>
  <si>
    <t>קו ישר</t>
  </si>
  <si>
    <t>פתרון:</t>
  </si>
  <si>
    <t>באופן כללי, כשפריטי רכוש קבוע כוללים מספר חלקים, יש מצב שנצטרך להחליף חלקים אלו לפני</t>
  </si>
  <si>
    <t xml:space="preserve">תום החיים השימושיים של הרכוש הקבוע כולו. </t>
  </si>
  <si>
    <t xml:space="preserve">ההחלפה תתווסף לעלות הפריט; אבל במקביל צריך לגרוע את הערך בספרים של החלק שהוחלף. </t>
  </si>
  <si>
    <t xml:space="preserve">לגרוע = לאפס / לבטל את הערך בספרים (נטו) של מה שהוחלף. </t>
  </si>
  <si>
    <t>אם אין לנו מושג מהו ערך הספרים של החלק שהוחלף, אפשר להתבסס על עלות הפריט המחליף.</t>
  </si>
  <si>
    <t>שאלה 2 - רכוש קבוע הכולל מספר חלקים, התייחסות להחלפות גריעות ושינויים</t>
  </si>
  <si>
    <t>עיליי בע״מ קנתה מכונה לחימום נקניק. עלות המכונה 500,000 ש״ח, תאריך רכישתה 1.1.2020 ואורך חייה</t>
  </si>
  <si>
    <t xml:space="preserve">השימושיים 5 שנים. המכונה מופחתת בשיטת הקו הישר. </t>
  </si>
  <si>
    <t xml:space="preserve">המכונה כוללת מנוע וסלילי חימום נקניק. </t>
  </si>
  <si>
    <t xml:space="preserve">במועד הרכישה, החברה לא ביצעה הפרדה בין הרכיבים מבחינת אופן הפחתתם. </t>
  </si>
  <si>
    <t>החלפת המנוע לא שינתה את אורך החיים הכולל של המכונה.</t>
  </si>
  <si>
    <t>נדרש: הציגו את ערך הספרים ואת הוצאות הפחת בגין השנים 2020-2024, בכפוף להנחיות IAS 16 בדבר העיסוק</t>
  </si>
  <si>
    <t xml:space="preserve">בהחלפות של רכיבי פריטי רכוש קבוע. </t>
  </si>
  <si>
    <t xml:space="preserve">בחלוף 3 שנים ממועד הרכישה - 1.1.2023, הוחלף המנוע, כאשר עלות המנוע החדש הסתכמה ב-150,000 ש״ח. </t>
  </si>
  <si>
    <t>כדי להעניק ביטוי להחלפת המנוע, עלינו:</t>
  </si>
  <si>
    <t xml:space="preserve">א. לגרוע (להוציא, להעיף, לאפס) - את הערך של המנוע הישן. </t>
  </si>
  <si>
    <t xml:space="preserve">ב. להכיר (להוסיף, להכניס) - את העלות של המנוע החדש. </t>
  </si>
  <si>
    <t>לגבי הערך של המנוע הישן - יש שתי אפשרויות:</t>
  </si>
  <si>
    <t>האפשרות הקלה - שלא כלולה בתרגיל הזה - היא: אם אמרו לי במועד הרכישה איזה חלק מהווה</t>
  </si>
  <si>
    <t>המנוע - אני בודק עליו ספציפית את ההפחתה ואת ערך הספרים.</t>
  </si>
  <si>
    <t>האפשרות המורכבת יותר - אם אין מידע ישיר לגבי החלק שמוחלף, נתבסס על הנחה לפיה העלות</t>
  </si>
  <si>
    <t>של המוחלף זהה לעלות של המחליף, ונפחית אותה בהתאם עד ערב ההחלפה.</t>
  </si>
  <si>
    <t>מנוע חדש - אומדן לעלות המנוע הישן</t>
  </si>
  <si>
    <t>פחת נצבר עד ערב ההחלפה</t>
  </si>
  <si>
    <t xml:space="preserve">150,000 / 5 * 3 = </t>
  </si>
  <si>
    <t>ערך ספרים רכיב מוחלף - אומדן</t>
  </si>
  <si>
    <t>לאחר גריעת</t>
  </si>
  <si>
    <t>הפסד בגין החלפת רכיב</t>
  </si>
  <si>
    <t>לאחר תוספת</t>
  </si>
  <si>
    <t>רכיב חדש</t>
  </si>
  <si>
    <t>שאלה 3 - לכיתה - רכוש קבוע הכולל מספר חלקים, התייחסות להחלפות גריעות ושינויים</t>
  </si>
  <si>
    <t xml:space="preserve">קלארקי בע״מ רכשה מחשב מדגם לנובו Pro Naknik Turbo בעלות של 8,000 ש״ח. </t>
  </si>
  <si>
    <t>מועד הרכישה הוא 1.1.2020, אך התמורה תשולם בפועל רק ב-1.1.2021, וזאת לאור הסדר מימון מיוחד שנערך</t>
  </si>
  <si>
    <t>מול הספק.</t>
  </si>
  <si>
    <t xml:space="preserve">בדרך כלל, מקובל בשוק לרכוש מחשבים כאלו במזומן, ומחיר של מחשב זה במזומן הוא 7,200 ש״ח. </t>
  </si>
  <si>
    <t>בהתאם להערכות החברה, המחשב כולל 2 רכיבים בלבד: דיסק קשיח וכל יתר המחשב. החברה מתייחסת לשני</t>
  </si>
  <si>
    <t xml:space="preserve">רכיבים אלו יחד לאור העובדה שהיא מאריכה שאורך החיים השימושיים שלהם זהה ועומד על 3 שנים. </t>
  </si>
  <si>
    <t xml:space="preserve">ב-1.7.2021 הוחלף הדיסק הקשיח בשל כשל מערכתי (קלארקי שפכה שקשוקה על המחשב). </t>
  </si>
  <si>
    <t xml:space="preserve">עלות הדיסק הקשיח המחליף היא 1,000 ש״ח. </t>
  </si>
  <si>
    <t xml:space="preserve">נדרש: חשבו והציגו את מכלול ההשפעות המאזניות והתוצאתיות של המחשב לשנים 2020, 2021 ו-2022.  </t>
  </si>
  <si>
    <t>התחייבות</t>
  </si>
  <si>
    <t>הוצאות מימון</t>
  </si>
  <si>
    <t>לפני החלפה</t>
  </si>
  <si>
    <t>אחרי החלפה</t>
  </si>
  <si>
    <t>הפסד מהחלפה</t>
  </si>
  <si>
    <t>כדי לחשב את ההפסד מההחלפה עלינו להגיע לעלות המופחתת (ערך הספרים) של הרכיב המוחלף.</t>
  </si>
  <si>
    <t>הואיל וערך זה לא ידוע (כי במועד הרכישה החברה לא ייחסה עלויות לרכיב), נתבסס לשם אומדן</t>
  </si>
  <si>
    <t>ערך הספרים של הפריט המוחלף על עלות הפריט המחליף (החדש) בשיקלול הפחת שחלף מאז הרכישה:</t>
  </si>
  <si>
    <t>עלות הרכיב החדש = אומדן לעלות ההיסטורית של הרכיב שהוחלף</t>
  </si>
  <si>
    <t>בניכוי פחת נצבר נאמד של הרכיב שהוחלף</t>
  </si>
  <si>
    <t xml:space="preserve">1,000 / 3 * (1 + 6/12) = </t>
  </si>
  <si>
    <t>ערך הספרים של הפריט המוחלף = הפסד בגין ההחלפה</t>
  </si>
  <si>
    <t xml:space="preserve">1,000 - 500 = </t>
  </si>
  <si>
    <t xml:space="preserve">פירוט נוסף - תנועות בחשבון הפחת הנצבר, על מנת להבהיר בצורה טובה יותר כיצד ביטאנו פחת </t>
  </si>
  <si>
    <t>נצבר ליום 31/12/2021:</t>
  </si>
  <si>
    <t>יתרת פתיחה</t>
  </si>
  <si>
    <t>יתרת סגירה</t>
  </si>
  <si>
    <t>הוצאות פחת טרם החלפה</t>
  </si>
  <si>
    <t>הוצאות פחת לאחר ההחלפה</t>
  </si>
  <si>
    <t>איפוס פחת נצבר פריט שהוחלף</t>
  </si>
  <si>
    <t xml:space="preserve">הוצאות פחת </t>
  </si>
  <si>
    <t xml:space="preserve">7,200 / 3 = </t>
  </si>
  <si>
    <t xml:space="preserve">7,200 / 3 * 6/12 = </t>
  </si>
  <si>
    <t xml:space="preserve">4,100/1.5 * (6/12) = </t>
  </si>
  <si>
    <t xml:space="preserve">4,100/1.5 = </t>
  </si>
  <si>
    <t>האם לעסקת ההחלפה יש ״מהות מסחרית״? - Commercial Substance</t>
  </si>
  <si>
    <t>כלומר, האם כתוצאה מהעסקה צפוי שינוי במאפיינים התזרימיים (תזרימי מזומנים)</t>
  </si>
  <si>
    <t>הצפויים מהנכס: שינוי סכומי מזומן, שינוי עיתוי (תזמון), שינוי בסיכון.</t>
  </si>
  <si>
    <t>אם</t>
  </si>
  <si>
    <t>לא</t>
  </si>
  <si>
    <t>כן</t>
  </si>
  <si>
    <t xml:space="preserve">קרי: </t>
  </si>
  <si>
    <t>אין מהות</t>
  </si>
  <si>
    <t>יש מהות</t>
  </si>
  <si>
    <t>מסחרית</t>
  </si>
  <si>
    <t xml:space="preserve">הנכס </t>
  </si>
  <si>
    <t>השווי</t>
  </si>
  <si>
    <t>שהתקבל</t>
  </si>
  <si>
    <t>לא יוכר</t>
  </si>
  <si>
    <t>של הנכס</t>
  </si>
  <si>
    <t>יוכר בערך</t>
  </si>
  <si>
    <t>רווח / הפסד</t>
  </si>
  <si>
    <t>או הנכסים</t>
  </si>
  <si>
    <t>אם השווי ההוגן של הנכס</t>
  </si>
  <si>
    <t>זהה לערך</t>
  </si>
  <si>
    <t xml:space="preserve">הון כי </t>
  </si>
  <si>
    <t>שנמסרו</t>
  </si>
  <si>
    <t>שהתקבל הוא מהימן יותר</t>
  </si>
  <si>
    <t>הספרים</t>
  </si>
  <si>
    <t>לא קרה</t>
  </si>
  <si>
    <t>יקבע את עלות</t>
  </si>
  <si>
    <t xml:space="preserve">נמדוד את עלות הנכס </t>
  </si>
  <si>
    <t>שינוי כלכלי</t>
  </si>
  <si>
    <t>הנכס</t>
  </si>
  <si>
    <t>שהתקבל לפי השווי שלו</t>
  </si>
  <si>
    <t>שנמסר</t>
  </si>
  <si>
    <t>כיצד נמדוד פריט רכוש קבוע ש״נרכש״ (התקבל) בעסקת החלפה? (טרייד אין)</t>
  </si>
  <si>
    <t>שאלה 4 - לכיתה - עסקת החלפה מורכבת</t>
  </si>
  <si>
    <t xml:space="preserve">חברת ״היכן התפוז״ בע״מ היא חברה מסחרית העוסקת בחימום נקניק. </t>
  </si>
  <si>
    <t>החברה מחזיקה במכונה לחימום נקניק שערכה בספרים 100,000 ש״ח.</t>
  </si>
  <si>
    <t xml:space="preserve">מסרה את המכונה הישנה והוסיפה 78,000 ש״ח במזומן. </t>
  </si>
  <si>
    <t>לפי פייסבוק מרקטפלייס, קיימת שונות רבה במחירי המכירה של מכונות משומשות לחימום נקניק, ובכפוף לכך,</t>
  </si>
  <si>
    <t>ממוצע השווי של המכונה הוא 90,000 ש״ח.</t>
  </si>
  <si>
    <t>המכונה החדשה שקנלו אוהב עולה במזומן 211,000 ש״ח.</t>
  </si>
  <si>
    <t>א. האם העסקה עומדת בהגדרות התקן לגבי ״עסקת החלפה בעלת מהות מסחרית״?</t>
  </si>
  <si>
    <t xml:space="preserve">לאחרונה, הוחלפה המכונה בעסקת טרייד אין במכונה ענקית יותר, מתקדמת יותר, כמו שקנלו אוהב, ולשם כך </t>
  </si>
  <si>
    <t>התשובה חיובית. מדובר במכונות שונות, בעלות כושר תפקוד שונה, סביר להניח שהיקף תפוקה שונה ולכן המזומנים</t>
  </si>
  <si>
    <t>שצפויים להיות מונבים מהמכונה החדשה הם בעלי מאפיינים שונים. בנוסף לכך, עצם העובדה שקנלו הוסיף מזומן</t>
  </si>
  <si>
    <t xml:space="preserve">כדי לקבל את המכונה החדשה - משמעה שינוי משמעותי במזומנים. </t>
  </si>
  <si>
    <t>ב. מהו הסכום שבו נמדוד את עלות המכונה החדשה?</t>
  </si>
  <si>
    <r>
      <t>התקן קובע כי בעסקת החלפה בעלת מהות מסחרית, נמדוד את עלות הפריט המתקבל בהתאם ל</t>
    </r>
    <r>
      <rPr>
        <b/>
        <sz val="12"/>
        <color theme="1"/>
        <rFont val="David"/>
      </rPr>
      <t>שווי</t>
    </r>
    <r>
      <rPr>
        <sz val="12"/>
        <color theme="1"/>
        <rFont val="David"/>
      </rPr>
      <t xml:space="preserve"> של הפריטים</t>
    </r>
  </si>
  <si>
    <t xml:space="preserve">שנמסרו, אלא אם שווי הפריט שהתקבל הוא מהימן יותר (ואז נלך לפיו). </t>
  </si>
  <si>
    <t>שווי הפריטים שנמסרו:</t>
  </si>
  <si>
    <t>מזומן</t>
  </si>
  <si>
    <t>מכונה ישנה - שווי</t>
  </si>
  <si>
    <t>שווי הפריט שהתקבל (החדש)</t>
  </si>
  <si>
    <t>מי מהערכים מהימן יותר? 168,000 או 211,000?</t>
  </si>
  <si>
    <t>התשובה: הואיל והערך של 168,000 כולל רכיב שווי מכונה ישנה</t>
  </si>
  <si>
    <t>שבנתוני השאלה נאמר ש״כפוף לתנודתיות רבה״ (יכול להשתנות, לא מהימן)</t>
  </si>
  <si>
    <t>הרי ששווי הפריט שמתקבל שעלותו במזומן ידועה עובדתית - מהימן יותר.</t>
  </si>
  <si>
    <t>ולכן, נכיר בפריט החדש בהתאם לשווי הפריט שהתקבל:</t>
  </si>
  <si>
    <t>ג. מהו הרווח / ההפסד מההחלפה?</t>
  </si>
  <si>
    <t xml:space="preserve">עסקת ההחלפה בעצם דומה מאד לעסקת מכירה; אני ״מוותר״ על משהו (פריט ישן ומזומן) ומקבל משהו (פריט חדש). </t>
  </si>
  <si>
    <t>מסרנו מזומן</t>
  </si>
  <si>
    <r>
      <t xml:space="preserve">בראייה </t>
    </r>
    <r>
      <rPr>
        <b/>
        <sz val="12"/>
        <color theme="1"/>
        <rFont val="David"/>
      </rPr>
      <t>חשבונאית - ערכי הספרים של הנכסים שמסרנו</t>
    </r>
    <r>
      <rPr>
        <sz val="12"/>
        <color theme="1"/>
        <rFont val="David"/>
      </rPr>
      <t>:</t>
    </r>
  </si>
  <si>
    <t>מסרנו מכונה - לפי ערך ספרים</t>
  </si>
  <si>
    <t>בסך הכל, הורדנו מהספרים (גריעה)</t>
  </si>
  <si>
    <t>התמורה שקיבלנו היא לפי ההכרה בנכס החדש:</t>
  </si>
  <si>
    <t>בניכוי ערך חשבונאי פריטים שנמסרו:</t>
  </si>
  <si>
    <t>רווח מעסקת ההחלפה</t>
  </si>
  <si>
    <t>חדש!!! הערכה מחדש!!!</t>
  </si>
  <si>
    <t>שימו לב: עד עכשיו, כל הדיון ברכוש קבוע התבסס על עלות בניכוי ערכים.</t>
  </si>
  <si>
    <t>בניכוי פחת נצבר - הכי נפוץ, ובניכוי הפרשה לירידת ערך - פחות נפוץ,</t>
  </si>
  <si>
    <t>אך קיים...</t>
  </si>
  <si>
    <t>מה לגבי מצב שבו חברה מעוניינת להתייחס במסגרת הדיווחים גם לעליית</t>
  </si>
  <si>
    <t xml:space="preserve">ערך של פריטים? חברה שקנתה מבנים למשל, שערכם רק עולה.. והיא </t>
  </si>
  <si>
    <t>מעוניינת לבטא זאת? האם יש לה דרך לעשות את זה?</t>
  </si>
  <si>
    <t xml:space="preserve">התשובה: כן. מדובר במודל הערכה מחדש - Revaluation Model. </t>
  </si>
  <si>
    <t>מדוע המודל הזה לא נפוץ במיוחד?</t>
  </si>
  <si>
    <t>הואיל וחברה לא מתכננת למכור פריטי רכוש קבוע, תכל׳ס - אם שווי</t>
  </si>
  <si>
    <t>הפריט עולה, במקרים רבים - אין לכך השפעה כלכלית ממשית על החברה.</t>
  </si>
  <si>
    <t xml:space="preserve">לאור זאת, וזה נכון במיוחד בהשפעה חיובית של הערכה מחדש שבה נתמקד היום, </t>
  </si>
  <si>
    <t>עליות ערך בסיסיות שנובעות מהערכה מחדש - אינן מהוות רווח אלא נקראות</t>
  </si>
  <si>
    <t xml:space="preserve">רווח כולל אחר. </t>
  </si>
  <si>
    <t xml:space="preserve">בחברת ״פילוס וסיתוונית״ רכשו ב-1.1.2020 מכונה ענקית לחימום נקניק, בעיצוב של ז׳רז׳ון פוניני. </t>
  </si>
  <si>
    <t>עלות המכונה 500,000 ש״ח, אורך חייה השימושיים 10 שנים, ושיטת הפחת אותה מיישמת החברה היא הקו הישר.</t>
  </si>
  <si>
    <t>בנוסף, החברה מאמצת את מודל ההערכה מחדש למדידת פריטי הרכוש הקבוע שבבעלותה, כאשר תדירות השערוך</t>
  </si>
  <si>
    <t xml:space="preserve">היא אחת לשנה וקרן ההערכה מחדש מועברת לעודפים במועד המימוש בלבד. </t>
  </si>
  <si>
    <t>להלן נתונים לגבי השווי ההוגן של המכונה בתאריכים שונים:</t>
  </si>
  <si>
    <t>תאריך</t>
  </si>
  <si>
    <t>נדרש: הציגו את מכלול ההשפעות המאזניות והתוצאתיות בגין הפריט עבור השנים המתוארות.</t>
  </si>
  <si>
    <t>לפני שערוך</t>
  </si>
  <si>
    <t>לדיווח</t>
  </si>
  <si>
    <t xml:space="preserve">לדיווח </t>
  </si>
  <si>
    <t>רווח כולל אחר</t>
  </si>
  <si>
    <t>יתרת קרן הערכה</t>
  </si>
  <si>
    <t>עלות ״ערך ברוטו״</t>
  </si>
  <si>
    <t xml:space="preserve">הרצאה 4 - המשך רכוש קבוע - מודל הערכה מחדש </t>
  </si>
  <si>
    <t>רקע:</t>
  </si>
  <si>
    <t xml:space="preserve">חברה יכולה (וזה נפוץ) למדוד את פריטי הרכוש הקבוע שבבעלותה לפי מודל שנקרא ״עלות״. </t>
  </si>
  <si>
    <t>אם היא בוחרת למדוד לפי עלות - המשמעות היא שאופן המדידה והחישוב הוא כפי שלמדנו - עלות, בניכוי פחת נצבר,</t>
  </si>
  <si>
    <t xml:space="preserve">בניכוי הפרשות לירידת ערך. </t>
  </si>
  <si>
    <t>הרציונל במדידה לפי עלות בניכוי ערכים, גם אם השווי עולה - הוא שפריט רכוש קבוע לא מתכננים למכור; ולכן גם אם</t>
  </si>
  <si>
    <t>ערכו עולה, אין לתת לכך עקרונית ביטוי מיידי במודל העלות.</t>
  </si>
  <si>
    <t>לצד זאת, התקן IAS 16 מאפשר גם למדוד פריטי רכוש קבוע לפי בסיס מדידה אלטרנטיבי, שנקרא בלטינית:</t>
  </si>
  <si>
    <t xml:space="preserve">הערכותוס מחדשוס. </t>
  </si>
  <si>
    <t>על פי בסיס מדידה זה (הערכה מחדש, בעברית) החברה רשאית לקבוע מבין כלל פריטי הרכוש הקבוע שלה קבוצות שהיא</t>
  </si>
  <si>
    <t xml:space="preserve">תמדוד לפי ״שוויין״ = כלומר, תשערך את ערכן בתדירות שתקבע. </t>
  </si>
  <si>
    <t>המשמעות היא שאם למשל בחברה יש מכונות, מחשבים, כלי רכב וגם מבנים - היא יכולה להחליט שאת המבנים היא</t>
  </si>
  <si>
    <t>תמדוד לפי הערכה מחדש (כי במבנים שינויי השווי עשויים להיות מהותיים והחברה עשויה לרצות לשקף זאת) ואת יתר</t>
  </si>
  <si>
    <t xml:space="preserve">סוגי הפריטים תמדוד לפי עלות. </t>
  </si>
  <si>
    <t xml:space="preserve">כמובן שצריכה להשמר עקביות - כך למשל, אי אפשר בתוך קבוצת המבנים למדוד חלק מהם לפי עלות וחלק לפי </t>
  </si>
  <si>
    <t xml:space="preserve">הערכה מחדש. </t>
  </si>
  <si>
    <t>יישום המודל - הערכה מחדש</t>
  </si>
  <si>
    <t>על בסיס מודל זה, הישות (החברה) צריכה להעריך עד כמה שווי הנכס תנודתי: עד כמה הוא משתנה בקיצוניות.</t>
  </si>
  <si>
    <t xml:space="preserve">אם הפריט משנה שוויו במידה רבה כל שנה - יש לבצע את השערוך (הצגה בשווי הוגן) כל שנה. </t>
  </si>
  <si>
    <t xml:space="preserve">במקרים אחרים, אפשר להעריך אותו מחדש בתדירות נמוכה יותר, למשל, כל 3 שנים או כל 5 שנים. </t>
  </si>
  <si>
    <t xml:space="preserve">בכל מועד הערכה מחדש, ערך הספרים של הנכס משוערך (מותאם) לשוויו ההוגן למועד הדיווח. </t>
  </si>
  <si>
    <t>השאלה היא, לאן נזקוף הפרשים בשווי הנכס כתוצאה מההערכה מחדש?</t>
  </si>
  <si>
    <t>כאן, התשובה מורכבת. התקן מתייחס לכך באופן הבא:</t>
  </si>
  <si>
    <t>בעצם, רגע לפני שנתרגל, נאמר: בעיקרון, עליית ערך נזקפת לקרן הערכה מחדש; אבל אם בעבר הוכר הפסד בדוח רווח</t>
  </si>
  <si>
    <t xml:space="preserve">והפסד, עליית ערך שמבטלת אותו כן תיזקף לרווח והפסד. </t>
  </si>
  <si>
    <t>בעיקרון, ירידת ערך נזקפת לרווח והפסד. אבל אם בעבר הוכרה קרן הערכה מחדש, ירידת ערך שמבטלת אותה תירשם</t>
  </si>
  <si>
    <t xml:space="preserve">כנגד קרן הערכה מחדש. </t>
  </si>
  <si>
    <t xml:space="preserve">חשוב לי לציין שיש עוד היבטים במדידה, למשל האם הקרן קבועה או מופחתת, והאם הפחת הנצבר מתאפס או לא. </t>
  </si>
  <si>
    <t>אבל כדי להמנע מהצגה של ריבוי מלל ללא תכלית, אתייחס לסוגיות הנוספות תוך כדי תנועה. בינתיים זו הסוגיה המרכזית.</t>
  </si>
  <si>
    <t>תרגיל 1</t>
  </si>
  <si>
    <t xml:space="preserve">חברת ״פצפצי העיר״ רכשה ב-1.1.2016 מכונה ענקית לחימום נקניק - לשימוש עובדי המשרד במשך שנים ארוכות. </t>
  </si>
  <si>
    <t>עלות המכונה הסתכמה ב-1,000,000 ש״ח אך פרט לעלות זו, נדרשה פצפץ לשלם דמי תיווך בסך 30,000 ש״ח וכן</t>
  </si>
  <si>
    <t xml:space="preserve">עלויות משפטיות להשלמת העסקה בסכום של 70,000 ש״ח. </t>
  </si>
  <si>
    <t xml:space="preserve">יש להניח כי רכיב השייר זניח. </t>
  </si>
  <si>
    <t>החברה מודדת פריטי רכוש קבוע המשתייכים לקבוצת המכונות והציוד לפי מודל הערכה מחדש, כאשר תדירות ההערכה</t>
  </si>
  <si>
    <t>מחדש היא כל שנה.</t>
  </si>
  <si>
    <t xml:space="preserve">החברה מעריכה את אורך החיים השימושיים של המכונה ב-50 שנים. </t>
  </si>
  <si>
    <t>את התשלום עבור דמי התיווך וכן עבור השלמת העסקה, ביצעה החברה מיד במועד הרכישה, ואילו התמורה העיקרית</t>
  </si>
  <si>
    <t xml:space="preserve">בגין מכונת הנקניק בסך 1,000,000 ש״ח תשולם בחלוף שנתיים ממועד ביצוע הרכישה, וזאת בהתאם לסיכום עם הרוכש. </t>
  </si>
  <si>
    <t xml:space="preserve">מחיר ההון הרלוונטי בחברה להיוון תזרימי המזומנים הקשורים לעסקה הוא 7% לשנה. </t>
  </si>
  <si>
    <t>החברה מאפסת את יתרת הפחת הנצבר בכל מועד הערכה מחדש. קרן ההערכה מחדש מועברת לעודפים במועד המימוש/</t>
  </si>
  <si>
    <t>להלן נתונים בדבר השווי ההוגן של המכונה לחימום נקניק במועדים שונים:</t>
  </si>
  <si>
    <t>שווי הוגן</t>
  </si>
  <si>
    <t>בתאריך 30.6.2021 נמכרה מכונת הנקניק תמורת 1,100,000 ש״ח. החברה סיכמה עם הקונה כי התמורה בעד העסקה</t>
  </si>
  <si>
    <t xml:space="preserve">תועבר אליה ב-30.6.2022. </t>
  </si>
  <si>
    <t xml:space="preserve">נדרש: </t>
  </si>
  <si>
    <t>הציגו את מכלול ההשפעות המאזניות והתוצאתיות בגין כל פריטי הרכוש הקבוע לעיל עבור כל השנים שבהם הוחזקו.</t>
  </si>
  <si>
    <t>עזר</t>
  </si>
  <si>
    <t>עלות:</t>
  </si>
  <si>
    <t>עלויות במזומן:</t>
  </si>
  <si>
    <t>דמי תיווך</t>
  </si>
  <si>
    <t>עלויות משפטיות</t>
  </si>
  <si>
    <t>עלויות נדחות - מהוונות:</t>
  </si>
  <si>
    <t>עלות רכישת המכונה - PV</t>
  </si>
  <si>
    <t>הפרשה לי״ע</t>
  </si>
  <si>
    <t>מכונה</t>
  </si>
  <si>
    <t>הפסד כולל אחר</t>
  </si>
  <si>
    <t>יתרת קרן הערכה מחדש</t>
  </si>
  <si>
    <t>דיווח</t>
  </si>
  <si>
    <t>טרם שערוך</t>
  </si>
  <si>
    <t>איפוס פחנ״צ</t>
  </si>
  <si>
    <t>לאחר שערוך</t>
  </si>
  <si>
    <t>רווח מע״ע - ברווח והפסד</t>
  </si>
  <si>
    <t>הפסד מי״ע - ברווח והפסד</t>
  </si>
  <si>
    <t xml:space="preserve">הגריעה בלבד. הניחו כי יתרת ההתחייבות לשנתיים תסולק ב-31.12.2017. </t>
  </si>
  <si>
    <t>התייחסות למכירה:</t>
  </si>
  <si>
    <t>ערך נוכחי של תמורת המכירה</t>
  </si>
  <si>
    <t>ערך הספרים ערב המכירה</t>
  </si>
  <si>
    <t xml:space="preserve">הפסד הון </t>
  </si>
  <si>
    <t>הפסד הון ממכירה</t>
  </si>
  <si>
    <t>תרגיל 2</t>
  </si>
  <si>
    <t xml:space="preserve">קנלו גייס לחברה שלו צוות של מפתחים גאונים ובראשם רז נאות. </t>
  </si>
  <si>
    <t xml:space="preserve">הם התנו את הסכמתם לעבוד בחברה בכך שהיא תצוייד במכונה ענקית לחימום נקניק. </t>
  </si>
  <si>
    <t>בהתאם, רכשה החברה ב-1.1.2015 מכונה ענקית לחימום נקניק, הכוללת שלל פיצ׳רים, כולל פונקציה מיוחדת</t>
  </si>
  <si>
    <t>המכונה הפכה לזמינה לשימוש מיד במועד רכישתה.</t>
  </si>
  <si>
    <t xml:space="preserve">המכונה צפויה לשרת את החברה במשך 20 שנה, ואין לה ערך שייר / גרט. </t>
  </si>
  <si>
    <t>שיטת הפחת אותה מיישמת החברה בהקשר לפריטים מסוג זה, היא שיטת הקו הישר.</t>
  </si>
  <si>
    <t>בנוסף, מיישמת החברה בהתאם להנחיות IAS 16 את מודל ההערכה מחדש, לגבי כל הפריטים המשתייכים לקבוצת</t>
  </si>
  <si>
    <t xml:space="preserve">המכונות וציוד הנקניק. </t>
  </si>
  <si>
    <t>תדירות ההערכה מחדש היא אחת לשנה.</t>
  </si>
  <si>
    <t>הפחת הנצבר מאופס בכל מועד הערכה מחדש.</t>
  </si>
  <si>
    <t xml:space="preserve">קרן ההערכה מחדש מועברת לעודפים במועד מימוש הנכס בלבד. </t>
  </si>
  <si>
    <t>להלן נתונים לגבי השווי ההוגן של הנכס בתאריכים שונים:</t>
  </si>
  <si>
    <t>שווי הוגן - ש״ח</t>
  </si>
  <si>
    <t xml:space="preserve">בתאריך 1.4.2021 נמכרה המכונה בתמורה ל-110,000 ש״ח. לשם השלמת עסקת המכר, נאלצה לשלם החברה </t>
  </si>
  <si>
    <t xml:space="preserve">למתווך נקניקים עלויות עסקה ישירות בסך 4,000 ש״ח. </t>
  </si>
  <si>
    <t xml:space="preserve">נדרש: הציגו את כל ההשפעות המאזניות והתוצאתיות בגין הפריט החל משנת רכישתו עד וכולל שנת 2021. </t>
  </si>
  <si>
    <t xml:space="preserve">לטחינת פופיקים ועיבוד כרבולות. עלות המכונה 100,000 ש״ח. </t>
  </si>
  <si>
    <t>לאחר המכירה</t>
  </si>
  <si>
    <t>רווח הון ממכירה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</si>
</sst>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sz val="12"/>
      <color theme="1"/>
      <name val="David"/>
    </font>
    <font>
      <b/>
      <sz val="12"/>
      <color theme="1"/>
      <name val="David"/>
    </font>
    <font>
      <u/>
      <sz val="12"/>
      <color theme="10"/>
      <name val="Aptos Narrow"/>
      <family val="2"/>
      <scheme val="minor"/>
    </font>
    <font>
      <u/>
      <sz val="12"/>
      <color theme="10"/>
      <name val="David"/>
    </font>
    <font>
      <sz val="12"/>
      <color rgb="FF000000"/>
      <name val="David"/>
    </font>
    <font>
      <b/>
      <sz val="12"/>
      <color rgb="FF000000"/>
      <name val="David"/>
    </font>
    <font>
      <b/>
      <sz val="12"/>
      <color rgb="FFFF0000"/>
      <name val="David"/>
    </font>
    <font>
      <b/>
      <sz val="12"/>
      <color rgb="FF00B050"/>
      <name val="David"/>
    </font>
    <font>
      <sz val="11"/>
      <color theme="1"/>
      <name val="David"/>
    </font>
    <font>
      <sz val="12"/>
      <color rgb="FFFF0000"/>
      <name val="David"/>
    </font>
    <font>
      <sz val="12"/>
      <name val="David"/>
    </font>
    <font>
      <b/>
      <sz val="12"/>
      <color rgb="FF0070C0"/>
      <name val="David"/>
    </font>
    <font>
      <sz val="28"/>
      <color theme="1"/>
      <name val="David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0" xfId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1" xfId="0" applyFont="1" applyBorder="1"/>
    <xf numFmtId="0" fontId="2" fillId="3" borderId="0" xfId="0" applyFont="1" applyFill="1"/>
    <xf numFmtId="0" fontId="5" fillId="0" borderId="0" xfId="0" applyFo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0" xfId="0" applyFont="1" applyAlignment="1">
      <alignment horizontal="center"/>
    </xf>
    <xf numFmtId="14" fontId="1" fillId="0" borderId="7" xfId="0" applyNumberFormat="1" applyFont="1" applyBorder="1" applyAlignment="1">
      <alignment horizontal="center"/>
    </xf>
    <xf numFmtId="37" fontId="1" fillId="0" borderId="0" xfId="0" applyNumberFormat="1" applyFont="1" applyAlignment="1">
      <alignment horizontal="center"/>
    </xf>
    <xf numFmtId="37" fontId="1" fillId="0" borderId="12" xfId="0" applyNumberFormat="1" applyFont="1" applyBorder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3" fontId="7" fillId="2" borderId="0" xfId="0" applyNumberFormat="1" applyFont="1" applyFill="1"/>
    <xf numFmtId="3" fontId="8" fillId="0" borderId="0" xfId="0" applyNumberFormat="1" applyFont="1"/>
    <xf numFmtId="37" fontId="8" fillId="0" borderId="12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3" fontId="1" fillId="2" borderId="0" xfId="0" applyNumberFormat="1" applyFont="1" applyFill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4" fontId="1" fillId="0" borderId="0" xfId="0" applyNumberFormat="1" applyFont="1"/>
    <xf numFmtId="14" fontId="1" fillId="0" borderId="13" xfId="0" applyNumberFormat="1" applyFont="1" applyBorder="1" applyAlignment="1">
      <alignment horizontal="center"/>
    </xf>
    <xf numFmtId="0" fontId="1" fillId="0" borderId="12" xfId="0" applyFont="1" applyBorder="1"/>
    <xf numFmtId="3" fontId="1" fillId="0" borderId="0" xfId="0" applyNumberFormat="1" applyFont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37" fontId="1" fillId="5" borderId="0" xfId="0" applyNumberFormat="1" applyFont="1" applyFill="1" applyAlignment="1">
      <alignment horizontal="center"/>
    </xf>
    <xf numFmtId="3" fontId="1" fillId="5" borderId="0" xfId="0" applyNumberFormat="1" applyFont="1" applyFill="1"/>
    <xf numFmtId="0" fontId="10" fillId="0" borderId="0" xfId="0" applyFont="1"/>
    <xf numFmtId="0" fontId="1" fillId="6" borderId="0" xfId="0" applyFont="1" applyFill="1"/>
    <xf numFmtId="0" fontId="11" fillId="0" borderId="0" xfId="0" applyFont="1"/>
    <xf numFmtId="14" fontId="11" fillId="0" borderId="13" xfId="0" applyNumberFormat="1" applyFont="1" applyBorder="1"/>
    <xf numFmtId="14" fontId="1" fillId="0" borderId="13" xfId="0" applyNumberFormat="1" applyFont="1" applyBorder="1"/>
    <xf numFmtId="14" fontId="2" fillId="0" borderId="13" xfId="0" applyNumberFormat="1" applyFont="1" applyBorder="1"/>
    <xf numFmtId="3" fontId="1" fillId="0" borderId="12" xfId="0" applyNumberFormat="1" applyFont="1" applyBorder="1"/>
    <xf numFmtId="3" fontId="1" fillId="2" borderId="12" xfId="0" applyNumberFormat="1" applyFont="1" applyFill="1" applyBorder="1"/>
    <xf numFmtId="2" fontId="1" fillId="0" borderId="0" xfId="0" applyNumberFormat="1" applyFont="1"/>
    <xf numFmtId="1" fontId="1" fillId="0" borderId="0" xfId="0" applyNumberFormat="1" applyFont="1"/>
    <xf numFmtId="3" fontId="10" fillId="0" borderId="0" xfId="0" applyNumberFormat="1" applyFont="1"/>
    <xf numFmtId="14" fontId="1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2" fillId="8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9" borderId="0" xfId="0" applyFont="1" applyFill="1"/>
    <xf numFmtId="0" fontId="2" fillId="9" borderId="1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9" borderId="6" xfId="0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3" fontId="1" fillId="0" borderId="14" xfId="0" applyNumberFormat="1" applyFont="1" applyBorder="1"/>
    <xf numFmtId="0" fontId="1" fillId="2" borderId="0" xfId="0" applyFont="1" applyFill="1" applyAlignment="1">
      <alignment horizontal="center"/>
    </xf>
    <xf numFmtId="0" fontId="2" fillId="10" borderId="0" xfId="0" applyFont="1" applyFill="1"/>
    <xf numFmtId="14" fontId="2" fillId="10" borderId="0" xfId="0" applyNumberFormat="1" applyFont="1" applyFill="1"/>
    <xf numFmtId="0" fontId="2" fillId="7" borderId="0" xfId="0" applyFont="1" applyFill="1"/>
    <xf numFmtId="37" fontId="1" fillId="0" borderId="0" xfId="0" applyNumberFormat="1" applyFont="1"/>
    <xf numFmtId="37" fontId="1" fillId="0" borderId="12" xfId="0" applyNumberFormat="1" applyFont="1" applyBorder="1"/>
    <xf numFmtId="0" fontId="1" fillId="7" borderId="0" xfId="0" applyFont="1" applyFill="1"/>
    <xf numFmtId="37" fontId="1" fillId="0" borderId="15" xfId="0" applyNumberFormat="1" applyFont="1" applyBorder="1" applyAlignment="1">
      <alignment horizontal="center"/>
    </xf>
    <xf numFmtId="3" fontId="1" fillId="7" borderId="0" xfId="0" applyNumberFormat="1" applyFont="1" applyFill="1"/>
    <xf numFmtId="37" fontId="1" fillId="7" borderId="0" xfId="0" applyNumberFormat="1" applyFont="1" applyFill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11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12" borderId="18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8" xfId="0" applyFont="1" applyFill="1" applyBorder="1"/>
    <xf numFmtId="0" fontId="1" fillId="0" borderId="13" xfId="0" applyFont="1" applyBorder="1"/>
    <xf numFmtId="3" fontId="1" fillId="0" borderId="19" xfId="0" applyNumberFormat="1" applyFont="1" applyBorder="1"/>
    <xf numFmtId="0" fontId="13" fillId="0" borderId="0" xfId="0" applyFont="1"/>
    <xf numFmtId="0" fontId="2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4" fontId="2" fillId="2" borderId="0" xfId="0" applyNumberFormat="1" applyFont="1" applyFill="1"/>
    <xf numFmtId="0" fontId="2" fillId="13" borderId="0" xfId="0" applyFont="1" applyFill="1"/>
    <xf numFmtId="0" fontId="1" fillId="13" borderId="0" xfId="0" applyFont="1" applyFill="1"/>
    <xf numFmtId="3" fontId="1" fillId="6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7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176204</xdr:colOff>
      <xdr:row>36</xdr:row>
      <xdr:rowOff>142958</xdr:rowOff>
    </xdr:from>
    <xdr:to>
      <xdr:col>7</xdr:col>
      <xdr:colOff>784607</xdr:colOff>
      <xdr:row>40</xdr:row>
      <xdr:rowOff>96414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B1C122-B8DD-B0A4-E2D5-E1105D936C46}"/>
            </a:ext>
          </a:extLst>
        </xdr:cNvPr>
        <xdr:cNvSpPr txBox="1"/>
      </xdr:nvSpPr>
      <xdr:spPr>
        <a:xfrm>
          <a:off x="13502211126" y="7523586"/>
          <a:ext cx="6379921" cy="764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1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מטרת תקן זה היא לקבוע את הטיפול החשבונאי ברכוש קבוע, כך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שמשתמשים בדוחות הכספיים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יוכלו לקבל מידע לגבי השקעתה של הישות ברכוש קבוע ולגבי השינויים בהשקעה כזו. הסוגיות העיקריות בטיפול חשבונאי ברכוש קבוע הן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ההכרה בכסים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,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קביעת ערכם בספרים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והוצאות פחת והפסדים מירידת ערך , שיוכרו בהתייחס אליהם.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0</xdr:col>
      <xdr:colOff>0</xdr:colOff>
      <xdr:row>56</xdr:row>
      <xdr:rowOff>204368</xdr:rowOff>
    </xdr:from>
    <xdr:to>
      <xdr:col>7</xdr:col>
      <xdr:colOff>608403</xdr:colOff>
      <xdr:row>59</xdr:row>
      <xdr:rowOff>91235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CD0F9C4-FA37-BE45-BF19-AE6E1E20F97D}"/>
            </a:ext>
          </a:extLst>
        </xdr:cNvPr>
        <xdr:cNvSpPr txBox="1"/>
      </xdr:nvSpPr>
      <xdr:spPr>
        <a:xfrm>
          <a:off x="13506768551" y="11714655"/>
          <a:ext cx="6381794" cy="49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2-5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דנים בכך שישנם נכסים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 לזמן ארוך שאינם רכוש קבוע (למשל נכסים המיועדים למכירה בהגדרה, נכסים חקלאיים וביולוגיים, וכן נדל״ן להשקעה).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0</xdr:col>
      <xdr:colOff>0</xdr:colOff>
      <xdr:row>89</xdr:row>
      <xdr:rowOff>204368</xdr:rowOff>
    </xdr:from>
    <xdr:to>
      <xdr:col>7</xdr:col>
      <xdr:colOff>879511</xdr:colOff>
      <xdr:row>92</xdr:row>
      <xdr:rowOff>91235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DE3AB6-C312-E048-BE18-3EA65F54B9F0}"/>
            </a:ext>
          </a:extLst>
        </xdr:cNvPr>
        <xdr:cNvSpPr txBox="1"/>
      </xdr:nvSpPr>
      <xdr:spPr>
        <a:xfrm>
          <a:off x="13506497443" y="18502586"/>
          <a:ext cx="6652902" cy="49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</a:t>
          </a:r>
          <a:r>
            <a:rPr lang="en-US" sz="1200" b="1" baseline="0">
              <a:latin typeface="David" panose="020E0502060401010101" pitchFamily="34" charset="-79"/>
              <a:cs typeface="David" panose="020E0502060401010101" pitchFamily="34" charset="-79"/>
            </a:rPr>
            <a:t>6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מגדיר את ערך הספרים; ערך זה הוא הערך שבו מוכר הנכס בניכוי פחת נצבר (מכירים) והפסדים מירידת ערך שנצברו.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 editAs="oneCell">
    <xdr:from>
      <xdr:col>6</xdr:col>
      <xdr:colOff>5577</xdr:colOff>
      <xdr:row>116</xdr:row>
      <xdr:rowOff>129427</xdr:rowOff>
    </xdr:from>
    <xdr:to>
      <xdr:col>6</xdr:col>
      <xdr:colOff>793224</xdr:colOff>
      <xdr:row>120</xdr:row>
      <xdr:rowOff>13348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D5DC1D-4DDF-B550-68FA-23378B691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2734801" y="23745765"/>
          <a:ext cx="787647" cy="692838"/>
        </a:xfrm>
        <a:prstGeom prst="rect">
          <a:avLst/>
        </a:prstGeom>
      </xdr:spPr>
    </xdr:pic>
    <xdr:clientData/>
  </xdr:twoCellAnchor>
  <xdr:twoCellAnchor>
    <xdr:from>
      <xdr:col>7</xdr:col>
      <xdr:colOff>64712</xdr:colOff>
      <xdr:row>113</xdr:row>
      <xdr:rowOff>117293</xdr:rowOff>
    </xdr:from>
    <xdr:to>
      <xdr:col>9</xdr:col>
      <xdr:colOff>525794</xdr:colOff>
      <xdr:row>120</xdr:row>
      <xdr:rowOff>194140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64C39412-046D-5BC3-E5D3-9E3D6E7F5CD2}"/>
            </a:ext>
          </a:extLst>
        </xdr:cNvPr>
        <xdr:cNvSpPr/>
      </xdr:nvSpPr>
      <xdr:spPr>
        <a:xfrm>
          <a:off x="13510413696" y="23114809"/>
          <a:ext cx="2224522" cy="1504586"/>
        </a:xfrm>
        <a:prstGeom prst="wedgeRoundRectCallout">
          <a:avLst>
            <a:gd name="adj1" fmla="val 62045"/>
            <a:gd name="adj2" fmla="val 2826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כל מטרת</a:t>
          </a:r>
          <a:r>
            <a:rPr lang="he-IL" sz="1100" baseline="0"/>
            <a:t> השאלה היתה לנסות ולהדגים באופן בסיסי מאד את מושג ירידת הערך המצטברת; כשעוסקים ברכוש קבוע לעומק, אי אפשר לדבר רק על פחת נצבר. גם אירועים המובילים לירידה נוספת בערכו צריכים לקבל ביטוי</a:t>
          </a:r>
          <a:endParaRPr lang="en-US" sz="1100"/>
        </a:p>
      </xdr:txBody>
    </xdr:sp>
    <xdr:clientData/>
  </xdr:twoCellAnchor>
  <xdr:twoCellAnchor>
    <xdr:from>
      <xdr:col>0</xdr:col>
      <xdr:colOff>15916</xdr:colOff>
      <xdr:row>156</xdr:row>
      <xdr:rowOff>42745</xdr:rowOff>
    </xdr:from>
    <xdr:to>
      <xdr:col>7</xdr:col>
      <xdr:colOff>625371</xdr:colOff>
      <xdr:row>158</xdr:row>
      <xdr:rowOff>132862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CCDD462-4B50-1D86-C9D4-F5AEED023433}"/>
            </a:ext>
          </a:extLst>
        </xdr:cNvPr>
        <xdr:cNvSpPr txBox="1"/>
      </xdr:nvSpPr>
      <xdr:spPr>
        <a:xfrm>
          <a:off x="13534380483" y="32067167"/>
          <a:ext cx="6458475" cy="498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עדיין סעיף 6: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עלות היא סכום המזומנים או שווי המזומנים ששולם או השווי ההוגן של תמורה אחרת שניתנה על מנת לרכוש נכס בעת רכישתו או הקמתו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4</xdr:col>
      <xdr:colOff>573186</xdr:colOff>
      <xdr:row>173</xdr:row>
      <xdr:rowOff>78673</xdr:rowOff>
    </xdr:from>
    <xdr:to>
      <xdr:col>4</xdr:col>
      <xdr:colOff>588172</xdr:colOff>
      <xdr:row>181</xdr:row>
      <xdr:rowOff>142360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0453AFD-58B5-87ED-0E23-CABC27A7A544}"/>
            </a:ext>
          </a:extLst>
        </xdr:cNvPr>
        <xdr:cNvCxnSpPr/>
      </xdr:nvCxnSpPr>
      <xdr:spPr>
        <a:xfrm>
          <a:off x="13499830265" y="35271534"/>
          <a:ext cx="14986" cy="168209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251004</xdr:colOff>
      <xdr:row>170</xdr:row>
      <xdr:rowOff>176354</xdr:rowOff>
    </xdr:from>
    <xdr:to>
      <xdr:col>8</xdr:col>
      <xdr:colOff>89050</xdr:colOff>
      <xdr:row>176</xdr:row>
      <xdr:rowOff>136441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97795F0-6120-0156-FCD1-F6575EF2C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826584" y="34762313"/>
          <a:ext cx="1602560" cy="1173892"/>
        </a:xfrm>
        <a:prstGeom prst="rect">
          <a:avLst/>
        </a:prstGeom>
      </xdr:spPr>
    </xdr:pic>
    <xdr:clientData/>
  </xdr:twoCellAnchor>
  <xdr:twoCellAnchor>
    <xdr:from>
      <xdr:col>8</xdr:col>
      <xdr:colOff>217286</xdr:colOff>
      <xdr:row>170</xdr:row>
      <xdr:rowOff>3746</xdr:rowOff>
    </xdr:from>
    <xdr:to>
      <xdr:col>9</xdr:col>
      <xdr:colOff>775487</xdr:colOff>
      <xdr:row>173</xdr:row>
      <xdr:rowOff>112390</xdr:rowOff>
    </xdr:to>
    <xdr:sp macro="" textlink="">
      <xdr:nvSpPr>
        <xdr:cNvPr id="11" name="Rounded Rectangular Callout 10">
          <a:extLst>
            <a:ext uri="{FF2B5EF4-FFF2-40B4-BE49-F238E27FC236}">
              <a16:creationId xmlns:a16="http://schemas.microsoft.com/office/drawing/2014/main" id="{CB30751E-D6CD-7D56-104C-DB691F6D3175}"/>
            </a:ext>
          </a:extLst>
        </xdr:cNvPr>
        <xdr:cNvSpPr/>
      </xdr:nvSpPr>
      <xdr:spPr>
        <a:xfrm>
          <a:off x="13495315959" y="34589705"/>
          <a:ext cx="1382389" cy="715546"/>
        </a:xfrm>
        <a:prstGeom prst="wedgeRoundRectCallout">
          <a:avLst>
            <a:gd name="adj1" fmla="val 64804"/>
            <a:gd name="adj2" fmla="val 4731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נשבע לך אני שווה 80,000</a:t>
          </a:r>
          <a:endParaRPr lang="en-US" sz="1100"/>
        </a:p>
      </xdr:txBody>
    </xdr:sp>
    <xdr:clientData/>
  </xdr:twoCellAnchor>
  <xdr:twoCellAnchor>
    <xdr:from>
      <xdr:col>0</xdr:col>
      <xdr:colOff>52449</xdr:colOff>
      <xdr:row>193</xdr:row>
      <xdr:rowOff>134867</xdr:rowOff>
    </xdr:from>
    <xdr:to>
      <xdr:col>8</xdr:col>
      <xdr:colOff>93658</xdr:colOff>
      <xdr:row>193</xdr:row>
      <xdr:rowOff>157345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E12FB27-D6DE-2FB9-06E4-F05BBFE178E2}"/>
            </a:ext>
          </a:extLst>
        </xdr:cNvPr>
        <xdr:cNvCxnSpPr/>
      </xdr:nvCxnSpPr>
      <xdr:spPr>
        <a:xfrm flipV="1">
          <a:off x="13496821976" y="39373746"/>
          <a:ext cx="6840767" cy="2247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134865</xdr:colOff>
      <xdr:row>195</xdr:row>
      <xdr:rowOff>5618</xdr:rowOff>
    </xdr:from>
    <xdr:to>
      <xdr:col>7</xdr:col>
      <xdr:colOff>724911</xdr:colOff>
      <xdr:row>197</xdr:row>
      <xdr:rowOff>179822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D2246B79-4281-49FE-6261-70FDE8CEBA80}"/>
            </a:ext>
          </a:extLst>
        </xdr:cNvPr>
        <xdr:cNvSpPr/>
      </xdr:nvSpPr>
      <xdr:spPr>
        <a:xfrm rot="16200000">
          <a:off x="13498417907" y="38362240"/>
          <a:ext cx="578806" cy="315252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0</xdr:col>
      <xdr:colOff>14983</xdr:colOff>
      <xdr:row>194</xdr:row>
      <xdr:rowOff>185441</xdr:rowOff>
    </xdr:from>
    <xdr:to>
      <xdr:col>2</xdr:col>
      <xdr:colOff>726785</xdr:colOff>
      <xdr:row>197</xdr:row>
      <xdr:rowOff>123628</xdr:rowOff>
    </xdr:to>
    <xdr:sp macro="" textlink="">
      <xdr:nvSpPr>
        <xdr:cNvPr id="17" name="Left Brace 16">
          <a:extLst>
            <a:ext uri="{FF2B5EF4-FFF2-40B4-BE49-F238E27FC236}">
              <a16:creationId xmlns:a16="http://schemas.microsoft.com/office/drawing/2014/main" id="{F9E789CF-219E-3941-4DC3-B4B89DD2134C}"/>
            </a:ext>
          </a:extLst>
        </xdr:cNvPr>
        <xdr:cNvSpPr/>
      </xdr:nvSpPr>
      <xdr:spPr>
        <a:xfrm rot="16200000">
          <a:off x="13502247574" y="38719076"/>
          <a:ext cx="545090" cy="236018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2</xdr:col>
      <xdr:colOff>788722</xdr:colOff>
      <xdr:row>196</xdr:row>
      <xdr:rowOff>26223</xdr:rowOff>
    </xdr:from>
    <xdr:to>
      <xdr:col>4</xdr:col>
      <xdr:colOff>91672</xdr:colOff>
      <xdr:row>200</xdr:row>
      <xdr:rowOff>135353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23C59CD-0160-3ADE-1DF4-84AB61961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00326765" y="39872005"/>
          <a:ext cx="951327" cy="918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51314</xdr:colOff>
      <xdr:row>6</xdr:row>
      <xdr:rowOff>150597</xdr:rowOff>
    </xdr:from>
    <xdr:to>
      <xdr:col>4</xdr:col>
      <xdr:colOff>622172</xdr:colOff>
      <xdr:row>10</xdr:row>
      <xdr:rowOff>113361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4D5F-096A-939C-57CB-18B1A455B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0055100" y="1362870"/>
          <a:ext cx="3867727" cy="770946"/>
        </a:xfrm>
        <a:prstGeom prst="rect">
          <a:avLst/>
        </a:prstGeom>
      </xdr:spPr>
    </xdr:pic>
    <xdr:clientData/>
  </xdr:twoCellAnchor>
  <xdr:twoCellAnchor editAs="oneCell">
    <xdr:from>
      <xdr:col>0</xdr:col>
      <xdr:colOff>50969</xdr:colOff>
      <xdr:row>43</xdr:row>
      <xdr:rowOff>98277</xdr:rowOff>
    </xdr:from>
    <xdr:to>
      <xdr:col>4</xdr:col>
      <xdr:colOff>287101</xdr:colOff>
      <xdr:row>49</xdr:row>
      <xdr:rowOff>69474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A51E24-161D-09EC-6FA2-88028BFA1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9272473" y="8839660"/>
          <a:ext cx="3532728" cy="1187155"/>
        </a:xfrm>
        <a:prstGeom prst="rect">
          <a:avLst/>
        </a:prstGeom>
      </xdr:spPr>
    </xdr:pic>
    <xdr:clientData/>
  </xdr:twoCellAnchor>
  <xdr:twoCellAnchor>
    <xdr:from>
      <xdr:col>2</xdr:col>
      <xdr:colOff>209975</xdr:colOff>
      <xdr:row>43</xdr:row>
      <xdr:rowOff>94826</xdr:rowOff>
    </xdr:from>
    <xdr:to>
      <xdr:col>2</xdr:col>
      <xdr:colOff>338668</xdr:colOff>
      <xdr:row>44</xdr:row>
      <xdr:rowOff>125306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774E6AAE-0C3B-FF20-CFD4-0346F693C9C5}"/>
            </a:ext>
          </a:extLst>
        </xdr:cNvPr>
        <xdr:cNvSpPr/>
      </xdr:nvSpPr>
      <xdr:spPr>
        <a:xfrm>
          <a:off x="13536872426" y="8886613"/>
          <a:ext cx="128693" cy="2336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en-US" sz="1100"/>
            <a:t>K</a:t>
          </a:r>
        </a:p>
      </xdr:txBody>
    </xdr:sp>
    <xdr:clientData/>
  </xdr:twoCellAnchor>
  <xdr:twoCellAnchor editAs="oneCell">
    <xdr:from>
      <xdr:col>8</xdr:col>
      <xdr:colOff>53086</xdr:colOff>
      <xdr:row>97</xdr:row>
      <xdr:rowOff>27265</xdr:rowOff>
    </xdr:from>
    <xdr:to>
      <xdr:col>10</xdr:col>
      <xdr:colOff>646799</xdr:colOff>
      <xdr:row>105</xdr:row>
      <xdr:rowOff>85752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1A7E90-1BC3-0E37-7B6D-B3B7DB9B5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6060467" y="19930738"/>
          <a:ext cx="2243488" cy="169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265434</xdr:colOff>
      <xdr:row>64</xdr:row>
      <xdr:rowOff>88812</xdr:rowOff>
    </xdr:from>
    <xdr:to>
      <xdr:col>12</xdr:col>
      <xdr:colOff>218023</xdr:colOff>
      <xdr:row>79</xdr:row>
      <xdr:rowOff>100212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3D1C06-362C-F03B-5BB1-FAFC922A4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4839468" y="13229841"/>
          <a:ext cx="4077027" cy="3074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502283</xdr:colOff>
      <xdr:row>105</xdr:row>
      <xdr:rowOff>178387</xdr:rowOff>
    </xdr:from>
    <xdr:to>
      <xdr:col>11</xdr:col>
      <xdr:colOff>177189</xdr:colOff>
      <xdr:row>116</xdr:row>
      <xdr:rowOff>175593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15DD11-D359-36A0-EAFB-57AD5F9AA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5705190" y="21715300"/>
          <a:ext cx="2974456" cy="2243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779968</xdr:colOff>
      <xdr:row>98</xdr:row>
      <xdr:rowOff>28585</xdr:rowOff>
    </xdr:from>
    <xdr:to>
      <xdr:col>7</xdr:col>
      <xdr:colOff>710546</xdr:colOff>
      <xdr:row>101</xdr:row>
      <xdr:rowOff>151093</xdr:rowOff>
    </xdr:to>
    <xdr:sp macro="" textlink="">
      <xdr:nvSpPr>
        <xdr:cNvPr id="8" name="Rounded Rectangular Callout 7">
          <a:extLst>
            <a:ext uri="{FF2B5EF4-FFF2-40B4-BE49-F238E27FC236}">
              <a16:creationId xmlns:a16="http://schemas.microsoft.com/office/drawing/2014/main" id="{CBE1DFC0-B6F4-A3FC-9910-E374F5B9BFAC}"/>
            </a:ext>
          </a:extLst>
        </xdr:cNvPr>
        <xdr:cNvSpPr/>
      </xdr:nvSpPr>
      <xdr:spPr>
        <a:xfrm>
          <a:off x="13508471383" y="20136238"/>
          <a:ext cx="1580353" cy="735048"/>
        </a:xfrm>
        <a:prstGeom prst="wedgeRoundRectCallout">
          <a:avLst>
            <a:gd name="adj1" fmla="val -62952"/>
            <a:gd name="adj2" fmla="val 4936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הדר שואל: האם ייתכן שערך הספרים יהיה</a:t>
          </a:r>
          <a:r>
            <a:rPr lang="he-IL" sz="1100" baseline="0"/>
            <a:t> שלילי?</a:t>
          </a:r>
          <a:endParaRPr lang="en-US" sz="1100"/>
        </a:p>
      </xdr:txBody>
    </xdr:sp>
    <xdr:clientData/>
  </xdr:twoCellAnchor>
  <xdr:twoCellAnchor>
    <xdr:from>
      <xdr:col>5</xdr:col>
      <xdr:colOff>387942</xdr:colOff>
      <xdr:row>108</xdr:row>
      <xdr:rowOff>65339</xdr:rowOff>
    </xdr:from>
    <xdr:to>
      <xdr:col>7</xdr:col>
      <xdr:colOff>318520</xdr:colOff>
      <xdr:row>111</xdr:row>
      <xdr:rowOff>187846</xdr:rowOff>
    </xdr:to>
    <xdr:sp macro="" textlink="">
      <xdr:nvSpPr>
        <xdr:cNvPr id="9" name="Rounded Rectangular Callout 8">
          <a:extLst>
            <a:ext uri="{FF2B5EF4-FFF2-40B4-BE49-F238E27FC236}">
              <a16:creationId xmlns:a16="http://schemas.microsoft.com/office/drawing/2014/main" id="{90CD8376-A001-B5FE-4293-6B02975CAE70}"/>
            </a:ext>
          </a:extLst>
        </xdr:cNvPr>
        <xdr:cNvSpPr/>
      </xdr:nvSpPr>
      <xdr:spPr>
        <a:xfrm>
          <a:off x="13508863409" y="22214792"/>
          <a:ext cx="1580353" cy="735048"/>
        </a:xfrm>
        <a:prstGeom prst="wedgeRoundRectCallout">
          <a:avLst>
            <a:gd name="adj1" fmla="val -62952"/>
            <a:gd name="adj2" fmla="val 4936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עיליי תוהה:</a:t>
          </a:r>
          <a:r>
            <a:rPr lang="he-IL" sz="1100" baseline="0"/>
            <a:t> מה הקשר לשאלה שלך? למה זה קשור?</a:t>
          </a:r>
          <a:endParaRPr lang="en-US" sz="1100"/>
        </a:p>
      </xdr:txBody>
    </xdr:sp>
    <xdr:clientData/>
  </xdr:twoCellAnchor>
  <xdr:twoCellAnchor>
    <xdr:from>
      <xdr:col>5</xdr:col>
      <xdr:colOff>44919</xdr:colOff>
      <xdr:row>103</xdr:row>
      <xdr:rowOff>191929</xdr:rowOff>
    </xdr:from>
    <xdr:to>
      <xdr:col>5</xdr:col>
      <xdr:colOff>751382</xdr:colOff>
      <xdr:row>105</xdr:row>
      <xdr:rowOff>61254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766AEEC-2EC1-3FBD-BD6D-B3640238018B}"/>
            </a:ext>
          </a:extLst>
        </xdr:cNvPr>
        <xdr:cNvCxnSpPr/>
      </xdr:nvCxnSpPr>
      <xdr:spPr>
        <a:xfrm>
          <a:off x="13510080322" y="21320482"/>
          <a:ext cx="706463" cy="2776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808552</xdr:colOff>
      <xdr:row>104</xdr:row>
      <xdr:rowOff>106174</xdr:rowOff>
    </xdr:from>
    <xdr:to>
      <xdr:col>5</xdr:col>
      <xdr:colOff>796302</xdr:colOff>
      <xdr:row>105</xdr:row>
      <xdr:rowOff>20418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F9A02C5-9230-8F95-746D-3368E97F1147}"/>
            </a:ext>
          </a:extLst>
        </xdr:cNvPr>
        <xdr:cNvCxnSpPr/>
      </xdr:nvCxnSpPr>
      <xdr:spPr>
        <a:xfrm flipV="1">
          <a:off x="13510035402" y="21438907"/>
          <a:ext cx="812637" cy="1184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40836</xdr:colOff>
      <xdr:row>106</xdr:row>
      <xdr:rowOff>130675</xdr:rowOff>
    </xdr:from>
    <xdr:to>
      <xdr:col>5</xdr:col>
      <xdr:colOff>747299</xdr:colOff>
      <xdr:row>107</xdr:row>
      <xdr:rowOff>204180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C8B0867-9EFD-E968-ECDE-91D36424ABB9}"/>
            </a:ext>
          </a:extLst>
        </xdr:cNvPr>
        <xdr:cNvCxnSpPr/>
      </xdr:nvCxnSpPr>
      <xdr:spPr>
        <a:xfrm>
          <a:off x="13510084405" y="21871768"/>
          <a:ext cx="706463" cy="2776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804469</xdr:colOff>
      <xdr:row>107</xdr:row>
      <xdr:rowOff>44920</xdr:rowOff>
    </xdr:from>
    <xdr:to>
      <xdr:col>5</xdr:col>
      <xdr:colOff>792219</xdr:colOff>
      <xdr:row>107</xdr:row>
      <xdr:rowOff>163344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ECD5148-4A8B-E0A0-4BFC-95EB3953CE50}"/>
            </a:ext>
          </a:extLst>
        </xdr:cNvPr>
        <xdr:cNvCxnSpPr/>
      </xdr:nvCxnSpPr>
      <xdr:spPr>
        <a:xfrm flipV="1">
          <a:off x="13510039485" y="21990193"/>
          <a:ext cx="812637" cy="1184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121888</xdr:colOff>
      <xdr:row>193</xdr:row>
      <xdr:rowOff>114675</xdr:rowOff>
    </xdr:from>
    <xdr:to>
      <xdr:col>7</xdr:col>
      <xdr:colOff>724528</xdr:colOff>
      <xdr:row>211</xdr:row>
      <xdr:rowOff>3931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EED15C3-3FA9-21CC-DCD2-9CCC0A443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1708599" y="39693065"/>
          <a:ext cx="4731123" cy="3569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401580</xdr:colOff>
      <xdr:row>218</xdr:row>
      <xdr:rowOff>75296</xdr:rowOff>
    </xdr:from>
    <xdr:to>
      <xdr:col>7</xdr:col>
      <xdr:colOff>466837</xdr:colOff>
      <xdr:row>218</xdr:row>
      <xdr:rowOff>100395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60F10E9-992B-AB49-BB52-2A577920633D}"/>
            </a:ext>
          </a:extLst>
        </xdr:cNvPr>
        <xdr:cNvCxnSpPr/>
      </xdr:nvCxnSpPr>
      <xdr:spPr>
        <a:xfrm flipV="1">
          <a:off x="13518746663" y="21271596"/>
          <a:ext cx="5843757" cy="2509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381499</xdr:colOff>
      <xdr:row>218</xdr:row>
      <xdr:rowOff>77807</xdr:rowOff>
    </xdr:from>
    <xdr:to>
      <xdr:col>7</xdr:col>
      <xdr:colOff>313734</xdr:colOff>
      <xdr:row>219</xdr:row>
      <xdr:rowOff>65256</xdr:rowOff>
    </xdr:to>
    <xdr:sp macro="" textlink="">
      <xdr:nvSpPr>
        <xdr:cNvPr id="22" name="Left Brace 21">
          <a:extLst>
            <a:ext uri="{FF2B5EF4-FFF2-40B4-BE49-F238E27FC236}">
              <a16:creationId xmlns:a16="http://schemas.microsoft.com/office/drawing/2014/main" id="{DC9DA8BD-FC9B-084F-A7BE-BBF18558B7C5}"/>
            </a:ext>
          </a:extLst>
        </xdr:cNvPr>
        <xdr:cNvSpPr/>
      </xdr:nvSpPr>
      <xdr:spPr>
        <a:xfrm rot="16200000">
          <a:off x="13520008809" y="20165064"/>
          <a:ext cx="190649" cy="240873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361423</xdr:colOff>
      <xdr:row>218</xdr:row>
      <xdr:rowOff>50198</xdr:rowOff>
    </xdr:from>
    <xdr:to>
      <xdr:col>4</xdr:col>
      <xdr:colOff>371462</xdr:colOff>
      <xdr:row>223</xdr:row>
      <xdr:rowOff>155612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22A045B-0A70-B94F-9A99-765850A91DA5}"/>
            </a:ext>
          </a:extLst>
        </xdr:cNvPr>
        <xdr:cNvCxnSpPr/>
      </xdr:nvCxnSpPr>
      <xdr:spPr>
        <a:xfrm flipH="1">
          <a:off x="13521318538" y="21246498"/>
          <a:ext cx="10039" cy="1121414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376476</xdr:colOff>
      <xdr:row>218</xdr:row>
      <xdr:rowOff>57728</xdr:rowOff>
    </xdr:from>
    <xdr:to>
      <xdr:col>4</xdr:col>
      <xdr:colOff>308712</xdr:colOff>
      <xdr:row>219</xdr:row>
      <xdr:rowOff>45177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id="{93D5C06E-138C-1E49-9DBA-31C791C69DA5}"/>
            </a:ext>
          </a:extLst>
        </xdr:cNvPr>
        <xdr:cNvSpPr/>
      </xdr:nvSpPr>
      <xdr:spPr>
        <a:xfrm rot="16200000">
          <a:off x="13522490331" y="20144985"/>
          <a:ext cx="190649" cy="2408736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89703</xdr:colOff>
      <xdr:row>292</xdr:row>
      <xdr:rowOff>108587</xdr:rowOff>
    </xdr:from>
    <xdr:to>
      <xdr:col>8</xdr:col>
      <xdr:colOff>774276</xdr:colOff>
      <xdr:row>292</xdr:row>
      <xdr:rowOff>132193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950D68C-8AFC-FA43-8E6E-C5BA693CFF49}"/>
            </a:ext>
          </a:extLst>
        </xdr:cNvPr>
        <xdr:cNvCxnSpPr/>
      </xdr:nvCxnSpPr>
      <xdr:spPr>
        <a:xfrm flipV="1">
          <a:off x="13517613724" y="36989387"/>
          <a:ext cx="6463073" cy="23606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306878</xdr:colOff>
      <xdr:row>290</xdr:row>
      <xdr:rowOff>37244</xdr:rowOff>
    </xdr:from>
    <xdr:to>
      <xdr:col>8</xdr:col>
      <xdr:colOff>486283</xdr:colOff>
      <xdr:row>291</xdr:row>
      <xdr:rowOff>37769</xdr:rowOff>
    </xdr:to>
    <xdr:sp macro="" textlink="">
      <xdr:nvSpPr>
        <xdr:cNvPr id="13" name="Freeform 12">
          <a:extLst>
            <a:ext uri="{FF2B5EF4-FFF2-40B4-BE49-F238E27FC236}">
              <a16:creationId xmlns:a16="http://schemas.microsoft.com/office/drawing/2014/main" id="{A76A6ECA-E58F-954B-9B88-CDCC6DA68952}"/>
            </a:ext>
          </a:extLst>
        </xdr:cNvPr>
        <xdr:cNvSpPr/>
      </xdr:nvSpPr>
      <xdr:spPr>
        <a:xfrm>
          <a:off x="13517901717" y="36511644"/>
          <a:ext cx="1830405" cy="203725"/>
        </a:xfrm>
        <a:custGeom>
          <a:avLst/>
          <a:gdLst>
            <a:gd name="connsiteX0" fmla="*/ 0 w 1831821"/>
            <a:gd name="connsiteY0" fmla="*/ 156324 h 203536"/>
            <a:gd name="connsiteX1" fmla="*/ 1033940 w 1831821"/>
            <a:gd name="connsiteY1" fmla="*/ 525 h 203536"/>
            <a:gd name="connsiteX2" fmla="*/ 1831821 w 1831821"/>
            <a:gd name="connsiteY2" fmla="*/ 203536 h 2035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31821" h="203536">
              <a:moveTo>
                <a:pt x="0" y="156324"/>
              </a:moveTo>
              <a:cubicBezTo>
                <a:pt x="364318" y="74490"/>
                <a:pt x="728637" y="-7344"/>
                <a:pt x="1033940" y="525"/>
              </a:cubicBezTo>
              <a:cubicBezTo>
                <a:pt x="1339243" y="8394"/>
                <a:pt x="1585532" y="105965"/>
                <a:pt x="1831821" y="20353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75539</xdr:colOff>
      <xdr:row>290</xdr:row>
      <xdr:rowOff>60850</xdr:rowOff>
    </xdr:from>
    <xdr:to>
      <xdr:col>6</xdr:col>
      <xdr:colOff>254944</xdr:colOff>
      <xdr:row>291</xdr:row>
      <xdr:rowOff>61375</xdr:rowOff>
    </xdr:to>
    <xdr:sp macro="" textlink="">
      <xdr:nvSpPr>
        <xdr:cNvPr id="16" name="Freeform 15">
          <a:extLst>
            <a:ext uri="{FF2B5EF4-FFF2-40B4-BE49-F238E27FC236}">
              <a16:creationId xmlns:a16="http://schemas.microsoft.com/office/drawing/2014/main" id="{9EEA4D1A-1CCC-4746-9DA5-C9C267DB0AB9}"/>
            </a:ext>
          </a:extLst>
        </xdr:cNvPr>
        <xdr:cNvSpPr/>
      </xdr:nvSpPr>
      <xdr:spPr>
        <a:xfrm>
          <a:off x="13519784056" y="36535250"/>
          <a:ext cx="1830405" cy="203725"/>
        </a:xfrm>
        <a:custGeom>
          <a:avLst/>
          <a:gdLst>
            <a:gd name="connsiteX0" fmla="*/ 0 w 1831821"/>
            <a:gd name="connsiteY0" fmla="*/ 156324 h 203536"/>
            <a:gd name="connsiteX1" fmla="*/ 1033940 w 1831821"/>
            <a:gd name="connsiteY1" fmla="*/ 525 h 203536"/>
            <a:gd name="connsiteX2" fmla="*/ 1831821 w 1831821"/>
            <a:gd name="connsiteY2" fmla="*/ 203536 h 2035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31821" h="203536">
              <a:moveTo>
                <a:pt x="0" y="156324"/>
              </a:moveTo>
              <a:cubicBezTo>
                <a:pt x="364318" y="74490"/>
                <a:pt x="728637" y="-7344"/>
                <a:pt x="1033940" y="525"/>
              </a:cubicBezTo>
              <a:cubicBezTo>
                <a:pt x="1339243" y="8394"/>
                <a:pt x="1585532" y="105965"/>
                <a:pt x="1831821" y="20353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</xdr:col>
      <xdr:colOff>80260</xdr:colOff>
      <xdr:row>290</xdr:row>
      <xdr:rowOff>8916</xdr:rowOff>
    </xdr:from>
    <xdr:to>
      <xdr:col>4</xdr:col>
      <xdr:colOff>259664</xdr:colOff>
      <xdr:row>291</xdr:row>
      <xdr:rowOff>9441</xdr:rowOff>
    </xdr:to>
    <xdr:sp macro="" textlink="">
      <xdr:nvSpPr>
        <xdr:cNvPr id="17" name="Freeform 16">
          <a:extLst>
            <a:ext uri="{FF2B5EF4-FFF2-40B4-BE49-F238E27FC236}">
              <a16:creationId xmlns:a16="http://schemas.microsoft.com/office/drawing/2014/main" id="{E5243057-0E26-324E-9772-BB29EA64C338}"/>
            </a:ext>
          </a:extLst>
        </xdr:cNvPr>
        <xdr:cNvSpPr/>
      </xdr:nvSpPr>
      <xdr:spPr>
        <a:xfrm>
          <a:off x="13521430336" y="36483316"/>
          <a:ext cx="1830404" cy="203725"/>
        </a:xfrm>
        <a:custGeom>
          <a:avLst/>
          <a:gdLst>
            <a:gd name="connsiteX0" fmla="*/ 0 w 1831821"/>
            <a:gd name="connsiteY0" fmla="*/ 156324 h 203536"/>
            <a:gd name="connsiteX1" fmla="*/ 1033940 w 1831821"/>
            <a:gd name="connsiteY1" fmla="*/ 525 h 203536"/>
            <a:gd name="connsiteX2" fmla="*/ 1831821 w 1831821"/>
            <a:gd name="connsiteY2" fmla="*/ 203536 h 2035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31821" h="203536">
              <a:moveTo>
                <a:pt x="0" y="156324"/>
              </a:moveTo>
              <a:cubicBezTo>
                <a:pt x="364318" y="74490"/>
                <a:pt x="728637" y="-7344"/>
                <a:pt x="1033940" y="525"/>
              </a:cubicBezTo>
              <a:cubicBezTo>
                <a:pt x="1339243" y="8394"/>
                <a:pt x="1585532" y="105965"/>
                <a:pt x="1831821" y="20353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297437</xdr:colOff>
      <xdr:row>292</xdr:row>
      <xdr:rowOff>92062</xdr:rowOff>
    </xdr:from>
    <xdr:to>
      <xdr:col>8</xdr:col>
      <xdr:colOff>488644</xdr:colOff>
      <xdr:row>293</xdr:row>
      <xdr:rowOff>75538</xdr:rowOff>
    </xdr:to>
    <xdr:sp macro="" textlink="">
      <xdr:nvSpPr>
        <xdr:cNvPr id="18" name="Left Brace 17">
          <a:extLst>
            <a:ext uri="{FF2B5EF4-FFF2-40B4-BE49-F238E27FC236}">
              <a16:creationId xmlns:a16="http://schemas.microsoft.com/office/drawing/2014/main" id="{D98D1AF2-8E96-0A4F-A89A-4A40C0549C58}"/>
            </a:ext>
          </a:extLst>
        </xdr:cNvPr>
        <xdr:cNvSpPr/>
      </xdr:nvSpPr>
      <xdr:spPr>
        <a:xfrm rot="16200000">
          <a:off x="13518314372" y="36557846"/>
          <a:ext cx="186676" cy="1016707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335205</xdr:colOff>
      <xdr:row>292</xdr:row>
      <xdr:rowOff>92061</xdr:rowOff>
    </xdr:from>
    <xdr:to>
      <xdr:col>7</xdr:col>
      <xdr:colOff>271470</xdr:colOff>
      <xdr:row>293</xdr:row>
      <xdr:rowOff>61375</xdr:rowOff>
    </xdr:to>
    <xdr:sp macro="" textlink="">
      <xdr:nvSpPr>
        <xdr:cNvPr id="19" name="Left Brace 18">
          <a:extLst>
            <a:ext uri="{FF2B5EF4-FFF2-40B4-BE49-F238E27FC236}">
              <a16:creationId xmlns:a16="http://schemas.microsoft.com/office/drawing/2014/main" id="{5F97932E-4DA3-0B4D-9B67-20240A88D2C4}"/>
            </a:ext>
          </a:extLst>
        </xdr:cNvPr>
        <xdr:cNvSpPr/>
      </xdr:nvSpPr>
      <xdr:spPr>
        <a:xfrm rot="16200000">
          <a:off x="13519236656" y="36678235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354090</xdr:colOff>
      <xdr:row>292</xdr:row>
      <xdr:rowOff>96782</xdr:rowOff>
    </xdr:from>
    <xdr:to>
      <xdr:col>6</xdr:col>
      <xdr:colOff>290355</xdr:colOff>
      <xdr:row>293</xdr:row>
      <xdr:rowOff>66096</xdr:rowOff>
    </xdr:to>
    <xdr:sp macro="" textlink="">
      <xdr:nvSpPr>
        <xdr:cNvPr id="25" name="Left Brace 24">
          <a:extLst>
            <a:ext uri="{FF2B5EF4-FFF2-40B4-BE49-F238E27FC236}">
              <a16:creationId xmlns:a16="http://schemas.microsoft.com/office/drawing/2014/main" id="{7B2A48B1-4A22-3B4D-B37C-329D276D40D1}"/>
            </a:ext>
          </a:extLst>
        </xdr:cNvPr>
        <xdr:cNvSpPr/>
      </xdr:nvSpPr>
      <xdr:spPr>
        <a:xfrm rot="16200000">
          <a:off x="13520043271" y="36682956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722343</xdr:colOff>
      <xdr:row>293</xdr:row>
      <xdr:rowOff>132193</xdr:rowOff>
    </xdr:from>
    <xdr:to>
      <xdr:col>6</xdr:col>
      <xdr:colOff>727064</xdr:colOff>
      <xdr:row>298</xdr:row>
      <xdr:rowOff>174684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C95E256-2888-2047-B3A0-11B7AEB2B802}"/>
            </a:ext>
          </a:extLst>
        </xdr:cNvPr>
        <xdr:cNvCxnSpPr/>
      </xdr:nvCxnSpPr>
      <xdr:spPr>
        <a:xfrm flipH="1">
          <a:off x="13519311936" y="37216193"/>
          <a:ext cx="4721" cy="10584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731785</xdr:colOff>
      <xdr:row>293</xdr:row>
      <xdr:rowOff>66097</xdr:rowOff>
    </xdr:from>
    <xdr:to>
      <xdr:col>5</xdr:col>
      <xdr:colOff>736507</xdr:colOff>
      <xdr:row>295</xdr:row>
      <xdr:rowOff>94425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A900079-6BF3-3843-BBE1-043E86E82712}"/>
            </a:ext>
          </a:extLst>
        </xdr:cNvPr>
        <xdr:cNvCxnSpPr/>
      </xdr:nvCxnSpPr>
      <xdr:spPr>
        <a:xfrm>
          <a:off x="13520127993" y="37150097"/>
          <a:ext cx="4722" cy="4347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382417</xdr:colOff>
      <xdr:row>292</xdr:row>
      <xdr:rowOff>87339</xdr:rowOff>
    </xdr:from>
    <xdr:to>
      <xdr:col>5</xdr:col>
      <xdr:colOff>318682</xdr:colOff>
      <xdr:row>293</xdr:row>
      <xdr:rowOff>56653</xdr:rowOff>
    </xdr:to>
    <xdr:sp macro="" textlink="">
      <xdr:nvSpPr>
        <xdr:cNvPr id="28" name="Left Brace 27">
          <a:extLst>
            <a:ext uri="{FF2B5EF4-FFF2-40B4-BE49-F238E27FC236}">
              <a16:creationId xmlns:a16="http://schemas.microsoft.com/office/drawing/2014/main" id="{4C907CB9-7160-3045-98C3-318EDEDDF0BD}"/>
            </a:ext>
          </a:extLst>
        </xdr:cNvPr>
        <xdr:cNvSpPr/>
      </xdr:nvSpPr>
      <xdr:spPr>
        <a:xfrm rot="16200000">
          <a:off x="13520840444" y="36673513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363532</xdr:colOff>
      <xdr:row>292</xdr:row>
      <xdr:rowOff>92061</xdr:rowOff>
    </xdr:from>
    <xdr:to>
      <xdr:col>4</xdr:col>
      <xdr:colOff>299797</xdr:colOff>
      <xdr:row>293</xdr:row>
      <xdr:rowOff>61375</xdr:rowOff>
    </xdr:to>
    <xdr:sp macro="" textlink="">
      <xdr:nvSpPr>
        <xdr:cNvPr id="29" name="Left Brace 28">
          <a:extLst>
            <a:ext uri="{FF2B5EF4-FFF2-40B4-BE49-F238E27FC236}">
              <a16:creationId xmlns:a16="http://schemas.microsoft.com/office/drawing/2014/main" id="{142EF85E-571F-A444-8813-BC1454A9C539}"/>
            </a:ext>
          </a:extLst>
        </xdr:cNvPr>
        <xdr:cNvSpPr/>
      </xdr:nvSpPr>
      <xdr:spPr>
        <a:xfrm rot="16200000">
          <a:off x="13521684829" y="36678235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448513</xdr:colOff>
      <xdr:row>293</xdr:row>
      <xdr:rowOff>61376</xdr:rowOff>
    </xdr:from>
    <xdr:to>
      <xdr:col>4</xdr:col>
      <xdr:colOff>769554</xdr:colOff>
      <xdr:row>298</xdr:row>
      <xdr:rowOff>51933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12FC855-B0D8-F241-9EB2-94F64254E7C6}"/>
            </a:ext>
          </a:extLst>
        </xdr:cNvPr>
        <xdr:cNvCxnSpPr/>
      </xdr:nvCxnSpPr>
      <xdr:spPr>
        <a:xfrm>
          <a:off x="13520920446" y="37145376"/>
          <a:ext cx="1146541" cy="10065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694016</xdr:colOff>
      <xdr:row>293</xdr:row>
      <xdr:rowOff>51933</xdr:rowOff>
    </xdr:from>
    <xdr:to>
      <xdr:col>3</xdr:col>
      <xdr:colOff>736505</xdr:colOff>
      <xdr:row>294</xdr:row>
      <xdr:rowOff>122751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E940B9E-52D7-4849-AEEE-635FFD9A330D}"/>
            </a:ext>
          </a:extLst>
        </xdr:cNvPr>
        <xdr:cNvCxnSpPr/>
      </xdr:nvCxnSpPr>
      <xdr:spPr>
        <a:xfrm>
          <a:off x="13521778995" y="37135933"/>
          <a:ext cx="867989" cy="2740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141861</xdr:colOff>
      <xdr:row>302</xdr:row>
      <xdr:rowOff>113150</xdr:rowOff>
    </xdr:from>
    <xdr:to>
      <xdr:col>2</xdr:col>
      <xdr:colOff>238462</xdr:colOff>
      <xdr:row>311</xdr:row>
      <xdr:rowOff>38369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DF4A7A0-760E-FD46-B86B-5E7FDF9EF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23102538" y="39025950"/>
          <a:ext cx="1747601" cy="1754019"/>
        </a:xfrm>
        <a:prstGeom prst="rect">
          <a:avLst/>
        </a:prstGeom>
      </xdr:spPr>
    </xdr:pic>
    <xdr:clientData/>
  </xdr:twoCellAnchor>
  <xdr:twoCellAnchor>
    <xdr:from>
      <xdr:col>1</xdr:col>
      <xdr:colOff>698500</xdr:colOff>
      <xdr:row>411</xdr:row>
      <xdr:rowOff>177800</xdr:rowOff>
    </xdr:from>
    <xdr:to>
      <xdr:col>2</xdr:col>
      <xdr:colOff>19050</xdr:colOff>
      <xdr:row>414</xdr:row>
      <xdr:rowOff>53975</xdr:rowOff>
    </xdr:to>
    <xdr:sp macro="" textlink="">
      <xdr:nvSpPr>
        <xdr:cNvPr id="33" name="Right Brace 32">
          <a:extLst>
            <a:ext uri="{FF2B5EF4-FFF2-40B4-BE49-F238E27FC236}">
              <a16:creationId xmlns:a16="http://schemas.microsoft.com/office/drawing/2014/main" id="{1E75813D-BF88-BC4C-8CCC-BF166D703990}"/>
            </a:ext>
          </a:extLst>
        </xdr:cNvPr>
        <xdr:cNvSpPr/>
      </xdr:nvSpPr>
      <xdr:spPr>
        <a:xfrm>
          <a:off x="13523321950" y="61290200"/>
          <a:ext cx="146050" cy="4857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733425</xdr:colOff>
      <xdr:row>414</xdr:row>
      <xdr:rowOff>57151</xdr:rowOff>
    </xdr:from>
    <xdr:to>
      <xdr:col>2</xdr:col>
      <xdr:colOff>0</xdr:colOff>
      <xdr:row>415</xdr:row>
      <xdr:rowOff>19051</xdr:rowOff>
    </xdr:to>
    <xdr:sp macro="" textlink="">
      <xdr:nvSpPr>
        <xdr:cNvPr id="34" name="Right Brace 33">
          <a:extLst>
            <a:ext uri="{FF2B5EF4-FFF2-40B4-BE49-F238E27FC236}">
              <a16:creationId xmlns:a16="http://schemas.microsoft.com/office/drawing/2014/main" id="{BAAF40FB-086C-624D-8055-C69BE3EC324F}"/>
            </a:ext>
          </a:extLst>
        </xdr:cNvPr>
        <xdr:cNvSpPr/>
      </xdr:nvSpPr>
      <xdr:spPr>
        <a:xfrm>
          <a:off x="13523341000" y="61779151"/>
          <a:ext cx="92075" cy="165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412750</xdr:colOff>
      <xdr:row>411</xdr:row>
      <xdr:rowOff>174625</xdr:rowOff>
    </xdr:from>
    <xdr:to>
      <xdr:col>5</xdr:col>
      <xdr:colOff>558800</xdr:colOff>
      <xdr:row>414</xdr:row>
      <xdr:rowOff>50800</xdr:rowOff>
    </xdr:to>
    <xdr:sp macro="" textlink="">
      <xdr:nvSpPr>
        <xdr:cNvPr id="35" name="Right Brace 34">
          <a:extLst>
            <a:ext uri="{FF2B5EF4-FFF2-40B4-BE49-F238E27FC236}">
              <a16:creationId xmlns:a16="http://schemas.microsoft.com/office/drawing/2014/main" id="{41ED0712-6F92-D84B-AD67-02B36EE569CF}"/>
            </a:ext>
          </a:extLst>
        </xdr:cNvPr>
        <xdr:cNvSpPr/>
      </xdr:nvSpPr>
      <xdr:spPr>
        <a:xfrm rot="10800000">
          <a:off x="13520305700" y="61287025"/>
          <a:ext cx="146050" cy="485775"/>
        </a:xfrm>
        <a:prstGeom prst="rightBrace">
          <a:avLst>
            <a:gd name="adj1" fmla="val 8333"/>
            <a:gd name="adj2" fmla="val 3823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434975</xdr:colOff>
      <xdr:row>414</xdr:row>
      <xdr:rowOff>63501</xdr:rowOff>
    </xdr:from>
    <xdr:to>
      <xdr:col>5</xdr:col>
      <xdr:colOff>527050</xdr:colOff>
      <xdr:row>415</xdr:row>
      <xdr:rowOff>25401</xdr:rowOff>
    </xdr:to>
    <xdr:sp macro="" textlink="">
      <xdr:nvSpPr>
        <xdr:cNvPr id="36" name="Right Brace 35">
          <a:extLst>
            <a:ext uri="{FF2B5EF4-FFF2-40B4-BE49-F238E27FC236}">
              <a16:creationId xmlns:a16="http://schemas.microsoft.com/office/drawing/2014/main" id="{3D01EC6B-DF59-DE42-BC62-E658ED255EB8}"/>
            </a:ext>
          </a:extLst>
        </xdr:cNvPr>
        <xdr:cNvSpPr/>
      </xdr:nvSpPr>
      <xdr:spPr>
        <a:xfrm rot="10800000">
          <a:off x="13520337450" y="61785501"/>
          <a:ext cx="92075" cy="165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76200</xdr:colOff>
      <xdr:row>402</xdr:row>
      <xdr:rowOff>133350</xdr:rowOff>
    </xdr:from>
    <xdr:to>
      <xdr:col>7</xdr:col>
      <xdr:colOff>527050</xdr:colOff>
      <xdr:row>402</xdr:row>
      <xdr:rowOff>139700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95F1D86C-BB9B-584F-B268-8F4701F624BD}"/>
            </a:ext>
          </a:extLst>
        </xdr:cNvPr>
        <xdr:cNvCxnSpPr/>
      </xdr:nvCxnSpPr>
      <xdr:spPr>
        <a:xfrm flipH="1">
          <a:off x="13518686450" y="59391550"/>
          <a:ext cx="450850" cy="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520700</xdr:colOff>
      <xdr:row>402</xdr:row>
      <xdr:rowOff>139700</xdr:rowOff>
    </xdr:from>
    <xdr:to>
      <xdr:col>7</xdr:col>
      <xdr:colOff>542925</xdr:colOff>
      <xdr:row>413</xdr:row>
      <xdr:rowOff>130175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1BA7A09A-63EC-C440-8743-FC546B7413CC}"/>
            </a:ext>
          </a:extLst>
        </xdr:cNvPr>
        <xdr:cNvCxnSpPr/>
      </xdr:nvCxnSpPr>
      <xdr:spPr>
        <a:xfrm flipV="1">
          <a:off x="13518670575" y="59397900"/>
          <a:ext cx="22225" cy="2251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413</xdr:row>
      <xdr:rowOff>79375</xdr:rowOff>
    </xdr:from>
    <xdr:to>
      <xdr:col>7</xdr:col>
      <xdr:colOff>539750</xdr:colOff>
      <xdr:row>413</xdr:row>
      <xdr:rowOff>114300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CE4935-08D0-3A4A-A889-9559B5056926}"/>
            </a:ext>
          </a:extLst>
        </xdr:cNvPr>
        <xdr:cNvCxnSpPr/>
      </xdr:nvCxnSpPr>
      <xdr:spPr>
        <a:xfrm flipH="1">
          <a:off x="13518673750" y="61598175"/>
          <a:ext cx="1571625" cy="34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415925</xdr:colOff>
      <xdr:row>416</xdr:row>
      <xdr:rowOff>120650</xdr:rowOff>
    </xdr:from>
    <xdr:to>
      <xdr:col>6</xdr:col>
      <xdr:colOff>346075</xdr:colOff>
      <xdr:row>416</xdr:row>
      <xdr:rowOff>133350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C131BF0E-52EE-D742-8F4D-51B4878569A7}"/>
            </a:ext>
          </a:extLst>
        </xdr:cNvPr>
        <xdr:cNvCxnSpPr/>
      </xdr:nvCxnSpPr>
      <xdr:spPr>
        <a:xfrm flipH="1">
          <a:off x="13519692925" y="62249050"/>
          <a:ext cx="24066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327025</xdr:colOff>
      <xdr:row>414</xdr:row>
      <xdr:rowOff>136525</xdr:rowOff>
    </xdr:from>
    <xdr:to>
      <xdr:col>6</xdr:col>
      <xdr:colOff>336550</xdr:colOff>
      <xdr:row>416</xdr:row>
      <xdr:rowOff>136525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299E4B23-E69F-3B4C-BDCD-08085CFCB16C}"/>
            </a:ext>
          </a:extLst>
        </xdr:cNvPr>
        <xdr:cNvCxnSpPr/>
      </xdr:nvCxnSpPr>
      <xdr:spPr>
        <a:xfrm flipV="1">
          <a:off x="13519702450" y="61858525"/>
          <a:ext cx="9525" cy="406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631825</xdr:colOff>
      <xdr:row>414</xdr:row>
      <xdr:rowOff>127000</xdr:rowOff>
    </xdr:from>
    <xdr:to>
      <xdr:col>6</xdr:col>
      <xdr:colOff>330200</xdr:colOff>
      <xdr:row>414</xdr:row>
      <xdr:rowOff>139700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C06BE185-0BF8-2644-BA77-D97B6D2B531A}"/>
            </a:ext>
          </a:extLst>
        </xdr:cNvPr>
        <xdr:cNvCxnSpPr/>
      </xdr:nvCxnSpPr>
      <xdr:spPr>
        <a:xfrm flipH="1">
          <a:off x="13519708800" y="61849000"/>
          <a:ext cx="5238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202045</xdr:rowOff>
    </xdr:from>
    <xdr:to>
      <xdr:col>5</xdr:col>
      <xdr:colOff>288636</xdr:colOff>
      <xdr:row>13</xdr:row>
      <xdr:rowOff>64674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F366D6-E5B5-223A-0044-84F9DC441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7068506" y="606136"/>
          <a:ext cx="4412012" cy="2085129"/>
        </a:xfrm>
        <a:prstGeom prst="rect">
          <a:avLst/>
        </a:prstGeom>
      </xdr:spPr>
    </xdr:pic>
    <xdr:clientData/>
  </xdr:twoCellAnchor>
  <xdr:twoCellAnchor>
    <xdr:from>
      <xdr:col>5</xdr:col>
      <xdr:colOff>160421</xdr:colOff>
      <xdr:row>3</xdr:row>
      <xdr:rowOff>167105</xdr:rowOff>
    </xdr:from>
    <xdr:to>
      <xdr:col>9</xdr:col>
      <xdr:colOff>556795</xdr:colOff>
      <xdr:row>11</xdr:row>
      <xdr:rowOff>125631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6451FA17-1DDC-F732-4663-21D85AA37EDD}"/>
            </a:ext>
          </a:extLst>
        </xdr:cNvPr>
        <xdr:cNvGrpSpPr/>
      </xdr:nvGrpSpPr>
      <xdr:grpSpPr>
        <a:xfrm>
          <a:off x="13527100972" y="777445"/>
          <a:ext cx="3700840" cy="1586099"/>
          <a:chOff x="13517837889" y="739072"/>
          <a:chExt cx="4934953" cy="218056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E86032C0-51DA-D601-1ED1-FE94987F33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3517837889" y="739072"/>
            <a:ext cx="4934953" cy="2180560"/>
          </a:xfrm>
          <a:prstGeom prst="rect">
            <a:avLst/>
          </a:prstGeom>
        </xdr:spPr>
      </xdr:pic>
      <xdr:sp macro="" textlink="">
        <xdr:nvSpPr>
          <xdr:cNvPr id="4" name="Round Same Side Corner Rectangle 3">
            <a:extLst>
              <a:ext uri="{FF2B5EF4-FFF2-40B4-BE49-F238E27FC236}">
                <a16:creationId xmlns:a16="http://schemas.microsoft.com/office/drawing/2014/main" id="{F78E36DF-1031-47A5-1C34-8324EF194100}"/>
              </a:ext>
            </a:extLst>
          </xdr:cNvPr>
          <xdr:cNvSpPr/>
        </xdr:nvSpPr>
        <xdr:spPr>
          <a:xfrm>
            <a:off x="13517933474" y="1961816"/>
            <a:ext cx="3696368" cy="681789"/>
          </a:xfrm>
          <a:prstGeom prst="round2Same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BA0579E-259E-6849-BDC4-FE7BE2F37C22}"/>
              </a:ext>
            </a:extLst>
          </xdr:cNvPr>
          <xdr:cNvSpPr/>
        </xdr:nvSpPr>
        <xdr:spPr>
          <a:xfrm>
            <a:off x="13520630552" y="2620210"/>
            <a:ext cx="1554079" cy="233948"/>
          </a:xfrm>
          <a:prstGeom prst="round2SameRect">
            <a:avLst>
              <a:gd name="adj1" fmla="val 16667"/>
              <a:gd name="adj2" fmla="val 36275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  <xdr:sp macro="" textlink="">
        <xdr:nvSpPr>
          <xdr:cNvPr id="6" name="Round Same Side Corner Rectangle 5">
            <a:extLst>
              <a:ext uri="{FF2B5EF4-FFF2-40B4-BE49-F238E27FC236}">
                <a16:creationId xmlns:a16="http://schemas.microsoft.com/office/drawing/2014/main" id="{050653DC-D31A-1D70-7DE7-538D88EB90EA}"/>
              </a:ext>
            </a:extLst>
          </xdr:cNvPr>
          <xdr:cNvSpPr/>
        </xdr:nvSpPr>
        <xdr:spPr>
          <a:xfrm>
            <a:off x="13521573027" y="2108868"/>
            <a:ext cx="624974" cy="608264"/>
          </a:xfrm>
          <a:prstGeom prst="round2SameRect">
            <a:avLst>
              <a:gd name="adj1" fmla="val 16667"/>
              <a:gd name="adj2" fmla="val 36275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44</xdr:row>
      <xdr:rowOff>1</xdr:rowOff>
    </xdr:from>
    <xdr:to>
      <xdr:col>6</xdr:col>
      <xdr:colOff>639045</xdr:colOff>
      <xdr:row>52</xdr:row>
      <xdr:rowOff>39670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A8E497-2471-216E-CEB6-3CB52759D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12775732" y="8898090"/>
          <a:ext cx="5589618" cy="1657504"/>
        </a:xfrm>
        <a:prstGeom prst="rect">
          <a:avLst/>
        </a:prstGeom>
      </xdr:spPr>
    </xdr:pic>
    <xdr:clientData/>
  </xdr:twoCellAnchor>
  <xdr:twoCellAnchor>
    <xdr:from>
      <xdr:col>5</xdr:col>
      <xdr:colOff>44786</xdr:colOff>
      <xdr:row>185</xdr:row>
      <xdr:rowOff>57582</xdr:rowOff>
    </xdr:from>
    <xdr:to>
      <xdr:col>6</xdr:col>
      <xdr:colOff>796549</xdr:colOff>
      <xdr:row>190</xdr:row>
      <xdr:rowOff>121562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E5ED546-FB6F-65F9-8D01-D402EA61D254}"/>
            </a:ext>
          </a:extLst>
        </xdr:cNvPr>
        <xdr:cNvCxnSpPr/>
      </xdr:nvCxnSpPr>
      <xdr:spPr>
        <a:xfrm>
          <a:off x="13516622796" y="38020025"/>
          <a:ext cx="1577103" cy="108765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559823</xdr:colOff>
      <xdr:row>186</xdr:row>
      <xdr:rowOff>131159</xdr:rowOff>
    </xdr:from>
    <xdr:to>
      <xdr:col>5</xdr:col>
      <xdr:colOff>47985</xdr:colOff>
      <xdr:row>190</xdr:row>
      <xdr:rowOff>89572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9F53DBF-6D12-772C-3C09-5D2CE6DA414B}"/>
            </a:ext>
          </a:extLst>
        </xdr:cNvPr>
        <xdr:cNvCxnSpPr/>
      </xdr:nvCxnSpPr>
      <xdr:spPr>
        <a:xfrm flipH="1">
          <a:off x="13518196700" y="38298338"/>
          <a:ext cx="1138842" cy="7773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108644</xdr:colOff>
      <xdr:row>212</xdr:row>
      <xdr:rowOff>43833</xdr:rowOff>
    </xdr:from>
    <xdr:to>
      <xdr:col>2</xdr:col>
      <xdr:colOff>618142</xdr:colOff>
      <xdr:row>220</xdr:row>
      <xdr:rowOff>255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08F068C-CCFC-0B27-3F89-E1F6B431E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01242625" y="43321237"/>
          <a:ext cx="2157876" cy="1574829"/>
        </a:xfrm>
        <a:prstGeom prst="rect">
          <a:avLst/>
        </a:prstGeom>
      </xdr:spPr>
    </xdr:pic>
    <xdr:clientData/>
  </xdr:twoCellAnchor>
  <xdr:twoCellAnchor>
    <xdr:from>
      <xdr:col>1</xdr:col>
      <xdr:colOff>168584</xdr:colOff>
      <xdr:row>222</xdr:row>
      <xdr:rowOff>161091</xdr:rowOff>
    </xdr:from>
    <xdr:to>
      <xdr:col>1</xdr:col>
      <xdr:colOff>711800</xdr:colOff>
      <xdr:row>226</xdr:row>
      <xdr:rowOff>161091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19320470-D739-709A-2AC2-1EB54713E11F}"/>
            </a:ext>
          </a:extLst>
        </xdr:cNvPr>
        <xdr:cNvSpPr/>
      </xdr:nvSpPr>
      <xdr:spPr>
        <a:xfrm>
          <a:off x="13501973156" y="45461504"/>
          <a:ext cx="543216" cy="809204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314691</xdr:colOff>
      <xdr:row>217</xdr:row>
      <xdr:rowOff>33716</xdr:rowOff>
    </xdr:from>
    <xdr:to>
      <xdr:col>1</xdr:col>
      <xdr:colOff>678083</xdr:colOff>
      <xdr:row>218</xdr:row>
      <xdr:rowOff>37464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A7F8AE37-B5CA-18B0-F7EF-BDB534CE8171}"/>
            </a:ext>
          </a:extLst>
        </xdr:cNvPr>
        <xdr:cNvSpPr/>
      </xdr:nvSpPr>
      <xdr:spPr>
        <a:xfrm>
          <a:off x="13502006873" y="44322625"/>
          <a:ext cx="363392" cy="20604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500"/>
            <a:t>פילוס</a:t>
          </a:r>
          <a:endParaRPr lang="en-US" sz="500"/>
        </a:p>
      </xdr:txBody>
    </xdr:sp>
    <xdr:clientData/>
  </xdr:twoCellAnchor>
  <xdr:twoCellAnchor>
    <xdr:from>
      <xdr:col>0</xdr:col>
      <xdr:colOff>513245</xdr:colOff>
      <xdr:row>216</xdr:row>
      <xdr:rowOff>179823</xdr:rowOff>
    </xdr:from>
    <xdr:to>
      <xdr:col>1</xdr:col>
      <xdr:colOff>112390</xdr:colOff>
      <xdr:row>217</xdr:row>
      <xdr:rowOff>183570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ABC82309-449D-3856-67E0-D6DBAA7B1FCF}"/>
            </a:ext>
          </a:extLst>
        </xdr:cNvPr>
        <xdr:cNvSpPr/>
      </xdr:nvSpPr>
      <xdr:spPr>
        <a:xfrm>
          <a:off x="13502572566" y="44266431"/>
          <a:ext cx="423334" cy="20604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500"/>
            <a:t>סתונית</a:t>
          </a:r>
          <a:endParaRPr lang="en-US" sz="5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75227</xdr:colOff>
      <xdr:row>25</xdr:row>
      <xdr:rowOff>79394</xdr:rowOff>
    </xdr:from>
    <xdr:to>
      <xdr:col>4</xdr:col>
      <xdr:colOff>504461</xdr:colOff>
      <xdr:row>29</xdr:row>
      <xdr:rowOff>138051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72BB2F-7270-6FC6-D314-68B0C3B8C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53802856" y="5168244"/>
          <a:ext cx="3739199" cy="872873"/>
        </a:xfrm>
        <a:prstGeom prst="rect">
          <a:avLst/>
        </a:prstGeom>
      </xdr:spPr>
    </xdr:pic>
    <xdr:clientData/>
  </xdr:twoCellAnchor>
  <xdr:twoCellAnchor editAs="oneCell">
    <xdr:from>
      <xdr:col>0</xdr:col>
      <xdr:colOff>4426</xdr:colOff>
      <xdr:row>29</xdr:row>
      <xdr:rowOff>110627</xdr:rowOff>
    </xdr:from>
    <xdr:to>
      <xdr:col>4</xdr:col>
      <xdr:colOff>615088</xdr:colOff>
      <xdr:row>31</xdr:row>
      <xdr:rowOff>57756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9674EB-FDAA-7FBB-24CE-760C18203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53692229" y="6013693"/>
          <a:ext cx="3920627" cy="35423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31</xdr:row>
      <xdr:rowOff>61951</xdr:rowOff>
    </xdr:from>
    <xdr:to>
      <xdr:col>4</xdr:col>
      <xdr:colOff>623937</xdr:colOff>
      <xdr:row>34</xdr:row>
      <xdr:rowOff>28344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B9EB2B-C711-CBF7-7D38-1D12A163C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53683380" y="6372125"/>
          <a:ext cx="3933901" cy="577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hay.tsaba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4463-8E2D-DE40-A14A-E95275BA117E}">
  <dimension ref="A1:H200"/>
  <sheetViews>
    <sheetView rightToLeft="1" topLeftCell="A189" zoomScale="339" zoomScaleNormal="380" workbookViewId="0">
      <selection activeCell="E191" sqref="E191"/>
    </sheetView>
  </sheetViews>
  <sheetFormatPr baseColWidth="10" defaultRowHeight="16" x14ac:dyDescent="0.2"/>
  <cols>
    <col min="1" max="4" width="10.83203125" style="1"/>
    <col min="5" max="5" width="11.1640625" style="1" bestFit="1" customWidth="1"/>
    <col min="6" max="6" width="11.6640625" style="1" bestFit="1" customWidth="1"/>
    <col min="7" max="7" width="10.83203125" style="1"/>
    <col min="8" max="8" width="12.33203125" style="1" customWidth="1"/>
    <col min="9" max="16384" width="10.83203125" style="1"/>
  </cols>
  <sheetData>
    <row r="1" spans="1:8" x14ac:dyDescent="0.2">
      <c r="A1" s="3" t="s">
        <v>0</v>
      </c>
      <c r="B1" s="3"/>
      <c r="C1" s="3"/>
      <c r="D1" s="3"/>
      <c r="E1" s="3"/>
      <c r="F1" s="3"/>
      <c r="G1" s="3"/>
      <c r="H1" s="3"/>
    </row>
    <row r="2" spans="1:8" ht="17" thickBot="1" x14ac:dyDescent="0.25"/>
    <row r="3" spans="1:8" x14ac:dyDescent="0.2">
      <c r="A3" s="4" t="s">
        <v>1</v>
      </c>
      <c r="B3" s="5" t="s">
        <v>2</v>
      </c>
      <c r="C3" s="5"/>
      <c r="D3" s="5"/>
      <c r="E3" s="5"/>
      <c r="F3" s="5"/>
      <c r="G3" s="5"/>
      <c r="H3" s="6"/>
    </row>
    <row r="4" spans="1:8" x14ac:dyDescent="0.2">
      <c r="A4" s="7" t="s">
        <v>5</v>
      </c>
      <c r="C4" s="8" t="s">
        <v>3</v>
      </c>
      <c r="H4" s="9"/>
    </row>
    <row r="5" spans="1:8" x14ac:dyDescent="0.2">
      <c r="A5" s="7" t="s">
        <v>6</v>
      </c>
      <c r="C5" s="1" t="s">
        <v>4</v>
      </c>
      <c r="H5" s="9"/>
    </row>
    <row r="6" spans="1:8" x14ac:dyDescent="0.2">
      <c r="A6" s="7" t="s">
        <v>7</v>
      </c>
      <c r="C6" s="1" t="s">
        <v>8</v>
      </c>
      <c r="H6" s="9"/>
    </row>
    <row r="7" spans="1:8" ht="17" thickBot="1" x14ac:dyDescent="0.25">
      <c r="A7" s="10" t="s">
        <v>9</v>
      </c>
      <c r="B7" s="11"/>
      <c r="C7" s="11" t="s">
        <v>10</v>
      </c>
      <c r="D7" s="11"/>
      <c r="E7" s="11"/>
      <c r="F7" s="11"/>
      <c r="G7" s="11"/>
      <c r="H7" s="12"/>
    </row>
    <row r="8" spans="1:8" ht="17" thickBot="1" x14ac:dyDescent="0.25"/>
    <row r="9" spans="1:8" x14ac:dyDescent="0.2">
      <c r="A9" s="13" t="s">
        <v>11</v>
      </c>
      <c r="B9" s="5"/>
      <c r="C9" s="5"/>
      <c r="D9" s="5"/>
      <c r="E9" s="5"/>
      <c r="F9" s="5"/>
      <c r="G9" s="5"/>
      <c r="H9" s="6"/>
    </row>
    <row r="10" spans="1:8" x14ac:dyDescent="0.2">
      <c r="A10" s="7" t="s">
        <v>12</v>
      </c>
      <c r="H10" s="9"/>
    </row>
    <row r="11" spans="1:8" x14ac:dyDescent="0.2">
      <c r="A11" s="7" t="s">
        <v>13</v>
      </c>
      <c r="H11" s="9"/>
    </row>
    <row r="12" spans="1:8" x14ac:dyDescent="0.2">
      <c r="A12" s="7" t="s">
        <v>14</v>
      </c>
      <c r="H12" s="9"/>
    </row>
    <row r="13" spans="1:8" x14ac:dyDescent="0.2">
      <c r="A13" s="7" t="s">
        <v>15</v>
      </c>
      <c r="H13" s="9"/>
    </row>
    <row r="14" spans="1:8" x14ac:dyDescent="0.2">
      <c r="A14" s="7"/>
      <c r="H14" s="9" t="s">
        <v>16</v>
      </c>
    </row>
    <row r="15" spans="1:8" x14ac:dyDescent="0.2">
      <c r="A15" s="7"/>
      <c r="H15" s="9" t="s">
        <v>17</v>
      </c>
    </row>
    <row r="16" spans="1:8" ht="17" thickBot="1" x14ac:dyDescent="0.25">
      <c r="A16" s="10"/>
      <c r="B16" s="11"/>
      <c r="C16" s="11"/>
      <c r="D16" s="11"/>
      <c r="E16" s="11"/>
      <c r="F16" s="11"/>
      <c r="G16" s="11"/>
      <c r="H16" s="12" t="s">
        <v>18</v>
      </c>
    </row>
    <row r="17" spans="1:8" ht="17" thickBot="1" x14ac:dyDescent="0.25"/>
    <row r="18" spans="1:8" x14ac:dyDescent="0.2">
      <c r="A18" s="13" t="s">
        <v>19</v>
      </c>
      <c r="B18" s="5"/>
      <c r="C18" s="5"/>
      <c r="D18" s="5"/>
      <c r="E18" s="5"/>
      <c r="F18" s="5"/>
      <c r="G18" s="5"/>
      <c r="H18" s="6"/>
    </row>
    <row r="19" spans="1:8" x14ac:dyDescent="0.2">
      <c r="A19" s="7" t="s">
        <v>20</v>
      </c>
      <c r="H19" s="9"/>
    </row>
    <row r="20" spans="1:8" x14ac:dyDescent="0.2">
      <c r="A20" s="7" t="s">
        <v>21</v>
      </c>
      <c r="H20" s="9"/>
    </row>
    <row r="21" spans="1:8" x14ac:dyDescent="0.2">
      <c r="A21" s="7" t="s">
        <v>22</v>
      </c>
      <c r="H21" s="9"/>
    </row>
    <row r="22" spans="1:8" x14ac:dyDescent="0.2">
      <c r="A22" s="7" t="s">
        <v>23</v>
      </c>
      <c r="H22" s="9"/>
    </row>
    <row r="23" spans="1:8" x14ac:dyDescent="0.2">
      <c r="A23" s="7" t="s">
        <v>24</v>
      </c>
      <c r="H23" s="9"/>
    </row>
    <row r="24" spans="1:8" x14ac:dyDescent="0.2">
      <c r="A24" s="7" t="s">
        <v>25</v>
      </c>
      <c r="H24" s="9"/>
    </row>
    <row r="25" spans="1:8" ht="17" thickBot="1" x14ac:dyDescent="0.25">
      <c r="A25" s="10" t="s">
        <v>26</v>
      </c>
      <c r="B25" s="11"/>
      <c r="C25" s="11"/>
      <c r="D25" s="11"/>
      <c r="E25" s="11"/>
      <c r="F25" s="11"/>
      <c r="G25" s="11"/>
      <c r="H25" s="12"/>
    </row>
    <row r="27" spans="1:8" x14ac:dyDescent="0.2">
      <c r="A27" s="97" t="s">
        <v>27</v>
      </c>
      <c r="B27" s="97"/>
      <c r="C27" s="97"/>
      <c r="D27" s="97"/>
      <c r="E27" s="97"/>
      <c r="F27" s="97"/>
      <c r="G27" s="97"/>
      <c r="H27" s="97"/>
    </row>
    <row r="29" spans="1:8" x14ac:dyDescent="0.2">
      <c r="A29" s="1" t="s">
        <v>28</v>
      </c>
    </row>
    <row r="30" spans="1:8" x14ac:dyDescent="0.2">
      <c r="A30" s="1" t="s">
        <v>29</v>
      </c>
    </row>
    <row r="31" spans="1:8" x14ac:dyDescent="0.2">
      <c r="A31" s="1" t="s">
        <v>30</v>
      </c>
    </row>
    <row r="32" spans="1:8" x14ac:dyDescent="0.2">
      <c r="A32" s="1" t="s">
        <v>34</v>
      </c>
      <c r="B32" s="1" t="s">
        <v>31</v>
      </c>
    </row>
    <row r="33" spans="1:8" x14ac:dyDescent="0.2">
      <c r="B33" s="1" t="s">
        <v>32</v>
      </c>
    </row>
    <row r="34" spans="1:8" x14ac:dyDescent="0.2">
      <c r="B34" s="1" t="s">
        <v>33</v>
      </c>
    </row>
    <row r="36" spans="1:8" x14ac:dyDescent="0.2">
      <c r="A36" s="14" t="s">
        <v>35</v>
      </c>
      <c r="B36" s="14"/>
      <c r="C36" s="14"/>
      <c r="D36" s="14"/>
      <c r="E36" s="14"/>
      <c r="F36" s="14"/>
      <c r="G36" s="14"/>
      <c r="H36" s="14"/>
    </row>
    <row r="43" spans="1:8" x14ac:dyDescent="0.2">
      <c r="A43" s="1" t="s">
        <v>39</v>
      </c>
    </row>
    <row r="44" spans="1:8" x14ac:dyDescent="0.2">
      <c r="A44" s="1" t="s">
        <v>36</v>
      </c>
    </row>
    <row r="45" spans="1:8" x14ac:dyDescent="0.2">
      <c r="A45" s="1" t="s">
        <v>37</v>
      </c>
    </row>
    <row r="46" spans="1:8" x14ac:dyDescent="0.2">
      <c r="A46" s="1" t="s">
        <v>38</v>
      </c>
    </row>
    <row r="48" spans="1:8" x14ac:dyDescent="0.2">
      <c r="A48" s="1" t="s">
        <v>40</v>
      </c>
    </row>
    <row r="50" spans="1:2" x14ac:dyDescent="0.2">
      <c r="A50" s="1" t="s">
        <v>42</v>
      </c>
    </row>
    <row r="51" spans="1:2" x14ac:dyDescent="0.2">
      <c r="A51" s="1" t="s">
        <v>41</v>
      </c>
    </row>
    <row r="53" spans="1:2" x14ac:dyDescent="0.2">
      <c r="A53" s="1" t="s">
        <v>43</v>
      </c>
    </row>
    <row r="55" spans="1:2" x14ac:dyDescent="0.2">
      <c r="A55" s="15" t="s">
        <v>45</v>
      </c>
    </row>
    <row r="56" spans="1:2" x14ac:dyDescent="0.2">
      <c r="A56" s="1" t="s">
        <v>44</v>
      </c>
    </row>
    <row r="61" spans="1:2" x14ac:dyDescent="0.2">
      <c r="A61" s="2" t="s">
        <v>46</v>
      </c>
    </row>
    <row r="62" spans="1:2" x14ac:dyDescent="0.2">
      <c r="B62" s="1" t="s">
        <v>47</v>
      </c>
    </row>
    <row r="63" spans="1:2" x14ac:dyDescent="0.2">
      <c r="B63" s="1" t="s">
        <v>48</v>
      </c>
    </row>
    <row r="64" spans="1:2" ht="17" thickBot="1" x14ac:dyDescent="0.25"/>
    <row r="65" spans="1:8" ht="17" thickBot="1" x14ac:dyDescent="0.25">
      <c r="A65" s="16" t="s">
        <v>49</v>
      </c>
      <c r="B65" s="17"/>
      <c r="C65" s="17"/>
      <c r="D65" s="17"/>
      <c r="E65" s="17"/>
      <c r="F65" s="17"/>
      <c r="G65" s="17"/>
      <c r="H65" s="18"/>
    </row>
    <row r="66" spans="1:8" x14ac:dyDescent="0.2">
      <c r="A66" s="1" t="s">
        <v>50</v>
      </c>
    </row>
    <row r="67" spans="1:8" x14ac:dyDescent="0.2">
      <c r="A67" s="1" t="s">
        <v>51</v>
      </c>
    </row>
    <row r="68" spans="1:8" x14ac:dyDescent="0.2">
      <c r="A68" s="1" t="s">
        <v>52</v>
      </c>
    </row>
    <row r="69" spans="1:8" x14ac:dyDescent="0.2">
      <c r="A69" s="1" t="s">
        <v>53</v>
      </c>
    </row>
    <row r="71" spans="1:8" ht="17" thickBot="1" x14ac:dyDescent="0.25">
      <c r="B71" s="11" t="s">
        <v>54</v>
      </c>
      <c r="C71" s="11" t="s">
        <v>55</v>
      </c>
      <c r="D71" s="11"/>
    </row>
    <row r="72" spans="1:8" x14ac:dyDescent="0.2">
      <c r="B72" s="1">
        <v>4</v>
      </c>
      <c r="C72" s="1" t="s">
        <v>56</v>
      </c>
    </row>
    <row r="73" spans="1:8" x14ac:dyDescent="0.2">
      <c r="B73" s="1">
        <v>1</v>
      </c>
      <c r="C73" s="1" t="s">
        <v>57</v>
      </c>
    </row>
    <row r="74" spans="1:8" x14ac:dyDescent="0.2">
      <c r="B74" s="1">
        <v>2</v>
      </c>
      <c r="C74" s="1" t="s">
        <v>58</v>
      </c>
    </row>
    <row r="75" spans="1:8" x14ac:dyDescent="0.2">
      <c r="B75" s="1">
        <v>3</v>
      </c>
      <c r="C75" s="1" t="s">
        <v>59</v>
      </c>
    </row>
    <row r="77" spans="1:8" x14ac:dyDescent="0.2">
      <c r="A77" s="1" t="s">
        <v>60</v>
      </c>
    </row>
    <row r="78" spans="1:8" x14ac:dyDescent="0.2">
      <c r="A78" s="1" t="s">
        <v>61</v>
      </c>
    </row>
    <row r="79" spans="1:8" x14ac:dyDescent="0.2">
      <c r="A79" s="1" t="s">
        <v>62</v>
      </c>
    </row>
    <row r="80" spans="1:8" x14ac:dyDescent="0.2">
      <c r="A80" s="1" t="s">
        <v>63</v>
      </c>
    </row>
    <row r="82" spans="1:8" ht="17" thickBot="1" x14ac:dyDescent="0.25">
      <c r="A82" s="11" t="s">
        <v>64</v>
      </c>
      <c r="B82" s="11" t="s">
        <v>66</v>
      </c>
      <c r="C82" s="11"/>
      <c r="D82" s="11"/>
      <c r="E82" s="11"/>
      <c r="F82" s="11"/>
      <c r="G82" s="11"/>
      <c r="H82" s="11"/>
    </row>
    <row r="83" spans="1:8" x14ac:dyDescent="0.2">
      <c r="A83" s="1" t="s">
        <v>65</v>
      </c>
      <c r="B83" s="1" t="s">
        <v>67</v>
      </c>
    </row>
    <row r="84" spans="1:8" x14ac:dyDescent="0.2">
      <c r="B84" s="1" t="s">
        <v>68</v>
      </c>
    </row>
    <row r="85" spans="1:8" x14ac:dyDescent="0.2">
      <c r="A85" s="1" t="s">
        <v>69</v>
      </c>
      <c r="B85" s="1" t="s">
        <v>70</v>
      </c>
    </row>
    <row r="86" spans="1:8" x14ac:dyDescent="0.2">
      <c r="A86" s="1" t="s">
        <v>71</v>
      </c>
      <c r="B86" s="1" t="s">
        <v>72</v>
      </c>
    </row>
    <row r="87" spans="1:8" x14ac:dyDescent="0.2">
      <c r="B87" s="1" t="s">
        <v>73</v>
      </c>
    </row>
    <row r="88" spans="1:8" x14ac:dyDescent="0.2">
      <c r="B88" s="1" t="s">
        <v>74</v>
      </c>
    </row>
    <row r="94" spans="1:8" x14ac:dyDescent="0.2">
      <c r="A94" s="1" t="s">
        <v>75</v>
      </c>
    </row>
    <row r="95" spans="1:8" ht="17" thickBot="1" x14ac:dyDescent="0.25"/>
    <row r="96" spans="1:8" ht="17" thickBot="1" x14ac:dyDescent="0.25">
      <c r="A96" s="16" t="s">
        <v>76</v>
      </c>
      <c r="B96" s="17"/>
      <c r="C96" s="17"/>
      <c r="D96" s="17"/>
      <c r="E96" s="17"/>
      <c r="F96" s="17"/>
      <c r="G96" s="17"/>
      <c r="H96" s="18"/>
    </row>
    <row r="98" spans="1:1" x14ac:dyDescent="0.2">
      <c r="A98" s="1" t="s">
        <v>77</v>
      </c>
    </row>
    <row r="99" spans="1:1" x14ac:dyDescent="0.2">
      <c r="A99" s="1" t="s">
        <v>78</v>
      </c>
    </row>
    <row r="100" spans="1:1" x14ac:dyDescent="0.2">
      <c r="A100" s="1" t="s">
        <v>79</v>
      </c>
    </row>
    <row r="101" spans="1:1" x14ac:dyDescent="0.2">
      <c r="A101" s="1" t="s">
        <v>60</v>
      </c>
    </row>
    <row r="102" spans="1:1" x14ac:dyDescent="0.2">
      <c r="A102" s="1" t="s">
        <v>80</v>
      </c>
    </row>
    <row r="103" spans="1:1" x14ac:dyDescent="0.2">
      <c r="A103" s="1" t="s">
        <v>81</v>
      </c>
    </row>
    <row r="104" spans="1:1" x14ac:dyDescent="0.2">
      <c r="A104" s="1" t="s">
        <v>82</v>
      </c>
    </row>
    <row r="105" spans="1:1" x14ac:dyDescent="0.2">
      <c r="A105" s="1" t="s">
        <v>83</v>
      </c>
    </row>
    <row r="106" spans="1:1" x14ac:dyDescent="0.2">
      <c r="A106" s="1" t="s">
        <v>84</v>
      </c>
    </row>
    <row r="107" spans="1:1" x14ac:dyDescent="0.2">
      <c r="A107" s="1" t="s">
        <v>85</v>
      </c>
    </row>
    <row r="109" spans="1:1" x14ac:dyDescent="0.2">
      <c r="A109" s="1" t="s">
        <v>86</v>
      </c>
    </row>
    <row r="110" spans="1:1" x14ac:dyDescent="0.2">
      <c r="A110" s="1" t="s">
        <v>87</v>
      </c>
    </row>
    <row r="111" spans="1:1" x14ac:dyDescent="0.2">
      <c r="A111" s="1" t="s">
        <v>88</v>
      </c>
    </row>
    <row r="112" spans="1:1" x14ac:dyDescent="0.2">
      <c r="A112" s="1" t="s">
        <v>89</v>
      </c>
    </row>
    <row r="113" spans="1:6" x14ac:dyDescent="0.2">
      <c r="A113" s="1" t="s">
        <v>92</v>
      </c>
    </row>
    <row r="115" spans="1:6" x14ac:dyDescent="0.2">
      <c r="D115" s="19"/>
      <c r="E115" s="19" t="s">
        <v>90</v>
      </c>
      <c r="F115" s="19" t="s">
        <v>91</v>
      </c>
    </row>
    <row r="116" spans="1:6" ht="17" thickBot="1" x14ac:dyDescent="0.25">
      <c r="B116" s="11" t="s">
        <v>93</v>
      </c>
      <c r="C116" s="11"/>
      <c r="D116" s="20">
        <v>45657</v>
      </c>
      <c r="E116" s="20">
        <v>46387</v>
      </c>
      <c r="F116" s="20">
        <v>46387</v>
      </c>
    </row>
    <row r="117" spans="1:6" x14ac:dyDescent="0.2">
      <c r="A117" s="1" t="s">
        <v>95</v>
      </c>
      <c r="B117" s="1" t="s">
        <v>94</v>
      </c>
      <c r="D117" s="21">
        <v>1000000</v>
      </c>
      <c r="E117" s="21">
        <v>1000000</v>
      </c>
      <c r="F117" s="21">
        <v>1000000</v>
      </c>
    </row>
    <row r="118" spans="1:6" x14ac:dyDescent="0.2">
      <c r="A118" s="1" t="s">
        <v>98</v>
      </c>
      <c r="B118" s="1" t="s">
        <v>96</v>
      </c>
      <c r="D118" s="21">
        <f>-1000000/50*5</f>
        <v>-100000</v>
      </c>
      <c r="E118" s="21">
        <f>-1000000/50*7</f>
        <v>-140000</v>
      </c>
      <c r="F118" s="21">
        <f>E118</f>
        <v>-140000</v>
      </c>
    </row>
    <row r="119" spans="1:6" x14ac:dyDescent="0.2">
      <c r="A119" s="1" t="s">
        <v>98</v>
      </c>
      <c r="B119" s="1" t="s">
        <v>97</v>
      </c>
      <c r="D119" s="21">
        <v>0</v>
      </c>
      <c r="E119" s="21">
        <v>0</v>
      </c>
      <c r="F119" s="21">
        <f>F120-E120</f>
        <v>-160000</v>
      </c>
    </row>
    <row r="120" spans="1:6" x14ac:dyDescent="0.2">
      <c r="B120" s="1" t="s">
        <v>99</v>
      </c>
      <c r="D120" s="22">
        <f>SUM(D117:D119)</f>
        <v>900000</v>
      </c>
      <c r="E120" s="22">
        <f>SUM(E117:E119)</f>
        <v>860000</v>
      </c>
      <c r="F120" s="27">
        <f>G150</f>
        <v>700000</v>
      </c>
    </row>
    <row r="122" spans="1:6" s="19" customFormat="1" x14ac:dyDescent="0.2">
      <c r="B122" s="19" t="s">
        <v>100</v>
      </c>
      <c r="D122" s="21">
        <f>1000000/50</f>
        <v>20000</v>
      </c>
      <c r="E122" s="21">
        <f>D122</f>
        <v>20000</v>
      </c>
      <c r="F122" s="21">
        <f>E122</f>
        <v>20000</v>
      </c>
    </row>
    <row r="123" spans="1:6" s="19" customFormat="1" x14ac:dyDescent="0.2">
      <c r="B123" s="28" t="s">
        <v>136</v>
      </c>
      <c r="D123" s="21"/>
      <c r="E123" s="21"/>
      <c r="F123" s="21">
        <f>-F119</f>
        <v>160000</v>
      </c>
    </row>
    <row r="125" spans="1:6" x14ac:dyDescent="0.2">
      <c r="A125" s="1" t="s">
        <v>101</v>
      </c>
    </row>
    <row r="126" spans="1:6" x14ac:dyDescent="0.2">
      <c r="A126" s="1" t="s">
        <v>102</v>
      </c>
    </row>
    <row r="127" spans="1:6" x14ac:dyDescent="0.2">
      <c r="A127" s="1" t="s">
        <v>103</v>
      </c>
    </row>
    <row r="128" spans="1:6" x14ac:dyDescent="0.2">
      <c r="A128" s="1" t="s">
        <v>104</v>
      </c>
      <c r="C128" s="1" t="s">
        <v>105</v>
      </c>
      <c r="D128" s="23">
        <v>20000</v>
      </c>
    </row>
    <row r="129" spans="1:7" x14ac:dyDescent="0.2">
      <c r="C129" s="1" t="s">
        <v>106</v>
      </c>
      <c r="D129" s="1">
        <v>43</v>
      </c>
      <c r="E129" s="1" t="s">
        <v>107</v>
      </c>
    </row>
    <row r="130" spans="1:7" x14ac:dyDescent="0.2">
      <c r="C130" s="1" t="s">
        <v>108</v>
      </c>
      <c r="D130" s="24">
        <v>0.05</v>
      </c>
      <c r="E130" s="1" t="s">
        <v>109</v>
      </c>
    </row>
    <row r="132" spans="1:7" x14ac:dyDescent="0.2">
      <c r="A132" s="1" t="s">
        <v>123</v>
      </c>
    </row>
    <row r="133" spans="1:7" x14ac:dyDescent="0.2">
      <c r="A133" s="1" t="s">
        <v>110</v>
      </c>
    </row>
    <row r="134" spans="1:7" x14ac:dyDescent="0.2">
      <c r="A134" s="1" t="s">
        <v>111</v>
      </c>
    </row>
    <row r="136" spans="1:7" x14ac:dyDescent="0.2">
      <c r="A136" s="1" t="s">
        <v>112</v>
      </c>
    </row>
    <row r="138" spans="1:7" x14ac:dyDescent="0.2">
      <c r="C138" s="1" t="s">
        <v>118</v>
      </c>
      <c r="F138" s="24">
        <v>0.05</v>
      </c>
      <c r="G138" s="1" t="s">
        <v>113</v>
      </c>
    </row>
    <row r="139" spans="1:7" x14ac:dyDescent="0.2">
      <c r="C139" s="1" t="s">
        <v>119</v>
      </c>
      <c r="F139" s="1">
        <v>43</v>
      </c>
      <c r="G139" s="1" t="s">
        <v>114</v>
      </c>
    </row>
    <row r="140" spans="1:7" x14ac:dyDescent="0.2">
      <c r="C140" s="1" t="s">
        <v>120</v>
      </c>
      <c r="F140" s="23">
        <f>D128</f>
        <v>20000</v>
      </c>
      <c r="G140" s="1" t="s">
        <v>115</v>
      </c>
    </row>
    <row r="141" spans="1:7" x14ac:dyDescent="0.2">
      <c r="C141" s="1" t="s">
        <v>122</v>
      </c>
      <c r="F141" s="25">
        <f>PV(F138,F139,F140,F142)</f>
        <v>-350918.23956798518</v>
      </c>
      <c r="G141" s="1" t="s">
        <v>116</v>
      </c>
    </row>
    <row r="142" spans="1:7" x14ac:dyDescent="0.2">
      <c r="C142" s="1" t="s">
        <v>121</v>
      </c>
      <c r="F142" s="1">
        <v>0</v>
      </c>
      <c r="G142" s="1" t="s">
        <v>117</v>
      </c>
    </row>
    <row r="144" spans="1:7" x14ac:dyDescent="0.2">
      <c r="A144" s="1" t="s">
        <v>124</v>
      </c>
    </row>
    <row r="145" spans="1:8" x14ac:dyDescent="0.2">
      <c r="A145" s="1" t="s">
        <v>125</v>
      </c>
    </row>
    <row r="146" spans="1:8" x14ac:dyDescent="0.2">
      <c r="A146" s="1" t="s">
        <v>126</v>
      </c>
    </row>
    <row r="148" spans="1:8" x14ac:dyDescent="0.2">
      <c r="A148" s="1" t="s">
        <v>127</v>
      </c>
      <c r="C148" s="1" t="s">
        <v>128</v>
      </c>
      <c r="G148" s="23">
        <v>700000</v>
      </c>
    </row>
    <row r="149" spans="1:8" x14ac:dyDescent="0.2">
      <c r="C149" s="1" t="s">
        <v>129</v>
      </c>
      <c r="G149" s="23">
        <f>-F141</f>
        <v>350918.23956798518</v>
      </c>
    </row>
    <row r="150" spans="1:8" x14ac:dyDescent="0.2">
      <c r="C150" s="1" t="s">
        <v>130</v>
      </c>
      <c r="G150" s="26">
        <f>G148</f>
        <v>700000</v>
      </c>
      <c r="H150" s="1" t="s">
        <v>131</v>
      </c>
    </row>
    <row r="152" spans="1:8" x14ac:dyDescent="0.2">
      <c r="A152" s="2" t="s">
        <v>132</v>
      </c>
    </row>
    <row r="153" spans="1:8" x14ac:dyDescent="0.2">
      <c r="A153" s="1" t="s">
        <v>133</v>
      </c>
    </row>
    <row r="154" spans="1:8" x14ac:dyDescent="0.2">
      <c r="A154" s="1" t="s">
        <v>134</v>
      </c>
    </row>
    <row r="155" spans="1:8" x14ac:dyDescent="0.2">
      <c r="A155" s="1" t="s">
        <v>135</v>
      </c>
    </row>
    <row r="160" spans="1:8" x14ac:dyDescent="0.2">
      <c r="A160" s="1" t="s">
        <v>137</v>
      </c>
    </row>
    <row r="161" spans="1:6" x14ac:dyDescent="0.2">
      <c r="A161" s="1" t="s">
        <v>138</v>
      </c>
    </row>
    <row r="162" spans="1:6" x14ac:dyDescent="0.2">
      <c r="A162" s="1" t="s">
        <v>139</v>
      </c>
    </row>
    <row r="163" spans="1:6" x14ac:dyDescent="0.2">
      <c r="A163" s="1" t="s">
        <v>140</v>
      </c>
    </row>
    <row r="164" spans="1:6" x14ac:dyDescent="0.2">
      <c r="A164" s="1" t="s">
        <v>141</v>
      </c>
    </row>
    <row r="165" spans="1:6" x14ac:dyDescent="0.2">
      <c r="A165" s="1" t="s">
        <v>142</v>
      </c>
    </row>
    <row r="166" spans="1:6" x14ac:dyDescent="0.2">
      <c r="A166" s="1" t="s">
        <v>143</v>
      </c>
    </row>
    <row r="167" spans="1:6" x14ac:dyDescent="0.2">
      <c r="A167" s="1" t="s">
        <v>144</v>
      </c>
    </row>
    <row r="168" spans="1:6" x14ac:dyDescent="0.2">
      <c r="A168" s="1" t="s">
        <v>145</v>
      </c>
    </row>
    <row r="170" spans="1:6" x14ac:dyDescent="0.2">
      <c r="A170" s="1" t="s">
        <v>146</v>
      </c>
    </row>
    <row r="172" spans="1:6" x14ac:dyDescent="0.2">
      <c r="B172" s="29" t="s">
        <v>147</v>
      </c>
      <c r="E172" s="29" t="s">
        <v>148</v>
      </c>
      <c r="F172" s="29" t="s">
        <v>149</v>
      </c>
    </row>
    <row r="173" spans="1:6" x14ac:dyDescent="0.2">
      <c r="B173" s="29" t="s">
        <v>150</v>
      </c>
      <c r="E173" s="30">
        <v>50000</v>
      </c>
      <c r="F173" s="29" t="s">
        <v>161</v>
      </c>
    </row>
    <row r="174" spans="1:6" x14ac:dyDescent="0.2">
      <c r="A174" s="1" t="s">
        <v>152</v>
      </c>
      <c r="B174" s="1" t="s">
        <v>151</v>
      </c>
      <c r="E174" s="23">
        <f>E182</f>
        <v>165289.25619834708</v>
      </c>
      <c r="F174" s="1" t="s">
        <v>162</v>
      </c>
    </row>
    <row r="175" spans="1:6" x14ac:dyDescent="0.2">
      <c r="B175" s="1" t="s">
        <v>163</v>
      </c>
      <c r="E175" s="23">
        <v>80000</v>
      </c>
    </row>
    <row r="176" spans="1:6" x14ac:dyDescent="0.2">
      <c r="B176" s="1" t="s">
        <v>185</v>
      </c>
      <c r="E176" s="23">
        <v>5000</v>
      </c>
    </row>
    <row r="178" spans="2:7" x14ac:dyDescent="0.2">
      <c r="B178" s="19" t="s">
        <v>152</v>
      </c>
      <c r="C178" s="1" t="s">
        <v>153</v>
      </c>
    </row>
    <row r="179" spans="2:7" x14ac:dyDescent="0.2">
      <c r="C179" s="1" t="s">
        <v>155</v>
      </c>
      <c r="E179" s="24">
        <v>0.1</v>
      </c>
      <c r="F179" s="1" t="s">
        <v>113</v>
      </c>
    </row>
    <row r="180" spans="2:7" x14ac:dyDescent="0.2">
      <c r="C180" s="1" t="s">
        <v>154</v>
      </c>
      <c r="E180" s="1">
        <v>2</v>
      </c>
      <c r="F180" s="1" t="s">
        <v>114</v>
      </c>
    </row>
    <row r="181" spans="2:7" x14ac:dyDescent="0.2">
      <c r="C181" s="1" t="s">
        <v>156</v>
      </c>
      <c r="E181" s="1">
        <v>0</v>
      </c>
      <c r="F181" s="1" t="s">
        <v>115</v>
      </c>
      <c r="G181" s="1" t="s">
        <v>157</v>
      </c>
    </row>
    <row r="182" spans="2:7" x14ac:dyDescent="0.2">
      <c r="C182" s="1" t="s">
        <v>160</v>
      </c>
      <c r="E182" s="31">
        <f>PV(E179,E180,E181,E183)</f>
        <v>165289.25619834708</v>
      </c>
      <c r="F182" s="1" t="s">
        <v>116</v>
      </c>
    </row>
    <row r="183" spans="2:7" x14ac:dyDescent="0.2">
      <c r="C183" s="1" t="s">
        <v>158</v>
      </c>
      <c r="E183" s="23">
        <v>-200000</v>
      </c>
      <c r="F183" s="1" t="s">
        <v>117</v>
      </c>
      <c r="G183" s="1" t="s">
        <v>159</v>
      </c>
    </row>
    <row r="186" spans="2:7" x14ac:dyDescent="0.2">
      <c r="B186" s="2" t="s">
        <v>164</v>
      </c>
    </row>
    <row r="187" spans="2:7" x14ac:dyDescent="0.2">
      <c r="B187" s="1" t="s">
        <v>165</v>
      </c>
    </row>
    <row r="188" spans="2:7" x14ac:dyDescent="0.2">
      <c r="B188" s="1" t="s">
        <v>166</v>
      </c>
    </row>
    <row r="189" spans="2:7" x14ac:dyDescent="0.2">
      <c r="B189" s="1" t="s">
        <v>167</v>
      </c>
    </row>
    <row r="190" spans="2:7" x14ac:dyDescent="0.2">
      <c r="B190" s="1" t="s">
        <v>168</v>
      </c>
    </row>
    <row r="191" spans="2:7" x14ac:dyDescent="0.2">
      <c r="B191" s="1" t="s">
        <v>169</v>
      </c>
    </row>
    <row r="193" spans="1:8" x14ac:dyDescent="0.2">
      <c r="A193" s="19"/>
      <c r="B193" s="19"/>
      <c r="C193" s="19"/>
      <c r="D193" s="19"/>
      <c r="E193" s="19"/>
      <c r="F193" s="19"/>
      <c r="G193" s="19"/>
      <c r="H193" s="19"/>
    </row>
    <row r="194" spans="1:8" x14ac:dyDescent="0.2">
      <c r="A194" s="19"/>
      <c r="B194" s="19"/>
      <c r="C194" s="19"/>
      <c r="D194" s="19"/>
      <c r="E194" s="19"/>
      <c r="F194" s="19"/>
      <c r="G194" s="19"/>
      <c r="H194" s="19"/>
    </row>
    <row r="195" spans="1:8" x14ac:dyDescent="0.2">
      <c r="A195" s="19" t="s">
        <v>182</v>
      </c>
      <c r="B195" s="19" t="s">
        <v>181</v>
      </c>
      <c r="C195" s="19" t="s">
        <v>179</v>
      </c>
      <c r="D195" s="19" t="s">
        <v>175</v>
      </c>
      <c r="E195" s="19" t="s">
        <v>173</v>
      </c>
      <c r="F195" s="19" t="s">
        <v>172</v>
      </c>
      <c r="G195" s="19" t="s">
        <v>171</v>
      </c>
      <c r="H195" s="19" t="s">
        <v>170</v>
      </c>
    </row>
    <row r="196" spans="1:8" x14ac:dyDescent="0.2">
      <c r="A196" s="19" t="s">
        <v>186</v>
      </c>
      <c r="B196" s="19"/>
      <c r="C196" s="19" t="s">
        <v>180</v>
      </c>
      <c r="D196" s="19" t="s">
        <v>176</v>
      </c>
      <c r="E196" s="19" t="s">
        <v>174</v>
      </c>
      <c r="F196" s="19"/>
      <c r="G196" s="19"/>
      <c r="H196" s="19"/>
    </row>
    <row r="199" spans="1:8" x14ac:dyDescent="0.2">
      <c r="A199" s="1" t="s">
        <v>183</v>
      </c>
      <c r="F199" s="1" t="s">
        <v>177</v>
      </c>
    </row>
    <row r="200" spans="1:8" x14ac:dyDescent="0.2">
      <c r="A200" s="1" t="s">
        <v>184</v>
      </c>
      <c r="F200" s="1" t="s">
        <v>178</v>
      </c>
    </row>
  </sheetData>
  <mergeCells count="1">
    <mergeCell ref="A27:H27"/>
  </mergeCells>
  <hyperlinks>
    <hyperlink ref="C4" r:id="rId1" xr:uid="{CF3CC791-4997-B14E-AA29-F26037EF751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AE40-155E-864A-B4A5-4B95BE557E7D}">
  <dimension ref="A1:J459"/>
  <sheetViews>
    <sheetView rightToLeft="1" topLeftCell="A437" zoomScale="193" workbookViewId="0">
      <selection activeCell="B251" sqref="B251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187</v>
      </c>
    </row>
    <row r="3" spans="1:8" x14ac:dyDescent="0.2">
      <c r="A3" s="1" t="s">
        <v>188</v>
      </c>
    </row>
    <row r="5" spans="1:8" x14ac:dyDescent="0.2">
      <c r="A5" s="2" t="s">
        <v>189</v>
      </c>
    </row>
    <row r="6" spans="1:8" x14ac:dyDescent="0.2">
      <c r="A6" s="1" t="s">
        <v>190</v>
      </c>
    </row>
    <row r="11" spans="1:8" ht="17" thickBot="1" x14ac:dyDescent="0.25"/>
    <row r="12" spans="1:8" ht="17" thickBot="1" x14ac:dyDescent="0.25">
      <c r="A12" s="16" t="s">
        <v>191</v>
      </c>
      <c r="B12" s="33"/>
      <c r="C12" s="33"/>
      <c r="D12" s="33"/>
      <c r="E12" s="33"/>
      <c r="F12" s="33"/>
      <c r="G12" s="33"/>
      <c r="H12" s="34"/>
    </row>
    <row r="13" spans="1:8" x14ac:dyDescent="0.2">
      <c r="A13" s="1" t="s">
        <v>192</v>
      </c>
    </row>
    <row r="14" spans="1:8" x14ac:dyDescent="0.2">
      <c r="A14" s="1" t="s">
        <v>193</v>
      </c>
    </row>
    <row r="15" spans="1:8" x14ac:dyDescent="0.2">
      <c r="A15" s="1" t="s">
        <v>194</v>
      </c>
    </row>
    <row r="16" spans="1:8" x14ac:dyDescent="0.2">
      <c r="A16" s="1" t="s">
        <v>195</v>
      </c>
    </row>
    <row r="17" spans="1:9" x14ac:dyDescent="0.2">
      <c r="A17" s="1" t="s">
        <v>196</v>
      </c>
    </row>
    <row r="18" spans="1:9" x14ac:dyDescent="0.2">
      <c r="A18" s="1" t="s">
        <v>197</v>
      </c>
    </row>
    <row r="19" spans="1:9" x14ac:dyDescent="0.2">
      <c r="A19" s="1" t="s">
        <v>198</v>
      </c>
    </row>
    <row r="21" spans="1:9" x14ac:dyDescent="0.2">
      <c r="A21" s="1" t="s">
        <v>60</v>
      </c>
    </row>
    <row r="22" spans="1:9" x14ac:dyDescent="0.2">
      <c r="A22" s="1" t="s">
        <v>199</v>
      </c>
    </row>
    <row r="23" spans="1:9" x14ac:dyDescent="0.2">
      <c r="A23" s="1" t="s">
        <v>200</v>
      </c>
    </row>
    <row r="25" spans="1:9" x14ac:dyDescent="0.2">
      <c r="D25" s="36">
        <v>44196</v>
      </c>
      <c r="E25" s="36">
        <v>44561</v>
      </c>
      <c r="G25" s="1" t="s">
        <v>202</v>
      </c>
    </row>
    <row r="26" spans="1:9" x14ac:dyDescent="0.2">
      <c r="B26" s="1" t="s">
        <v>95</v>
      </c>
      <c r="D26" s="38">
        <v>130000</v>
      </c>
      <c r="E26" s="38">
        <v>130000</v>
      </c>
      <c r="G26" s="1" t="s">
        <v>203</v>
      </c>
    </row>
    <row r="27" spans="1:9" x14ac:dyDescent="0.2">
      <c r="B27" s="1" t="s">
        <v>96</v>
      </c>
      <c r="D27" s="21">
        <f>-D31</f>
        <v>-23333.333333333332</v>
      </c>
      <c r="E27" s="21">
        <f>D27-E31</f>
        <v>-46666.666666666664</v>
      </c>
      <c r="G27" s="1" t="s">
        <v>204</v>
      </c>
    </row>
    <row r="28" spans="1:9" x14ac:dyDescent="0.2">
      <c r="B28" s="1" t="s">
        <v>201</v>
      </c>
      <c r="D28" s="19">
        <v>0</v>
      </c>
      <c r="E28" s="19">
        <v>0</v>
      </c>
      <c r="G28" s="1" t="s">
        <v>205</v>
      </c>
      <c r="I28" s="1">
        <f>130000-60000</f>
        <v>70000</v>
      </c>
    </row>
    <row r="29" spans="1:9" x14ac:dyDescent="0.2">
      <c r="B29" s="1" t="s">
        <v>99</v>
      </c>
      <c r="D29" s="39">
        <f>SUM(D26:D28)</f>
        <v>106666.66666666667</v>
      </c>
      <c r="E29" s="39">
        <f>SUM(E26:E28)</f>
        <v>83333.333333333343</v>
      </c>
      <c r="G29" s="1" t="s">
        <v>206</v>
      </c>
      <c r="I29" s="1">
        <v>3</v>
      </c>
    </row>
    <row r="31" spans="1:9" x14ac:dyDescent="0.2">
      <c r="B31" s="1" t="s">
        <v>100</v>
      </c>
      <c r="D31" s="21">
        <f>(130000-60000)/3</f>
        <v>23333.333333333332</v>
      </c>
      <c r="E31" s="21">
        <f>(130000-60000)/3</f>
        <v>23333.333333333332</v>
      </c>
    </row>
    <row r="33" spans="1:8" x14ac:dyDescent="0.2">
      <c r="A33" s="1" t="s">
        <v>207</v>
      </c>
    </row>
    <row r="34" spans="1:8" x14ac:dyDescent="0.2">
      <c r="A34" s="1" t="s">
        <v>208</v>
      </c>
    </row>
    <row r="35" spans="1:8" x14ac:dyDescent="0.2">
      <c r="A35" s="1" t="s">
        <v>209</v>
      </c>
    </row>
    <row r="36" spans="1:8" x14ac:dyDescent="0.2">
      <c r="A36" s="1" t="s">
        <v>210</v>
      </c>
    </row>
    <row r="37" spans="1:8" x14ac:dyDescent="0.2">
      <c r="A37" s="1" t="s">
        <v>211</v>
      </c>
    </row>
    <row r="38" spans="1:8" x14ac:dyDescent="0.2">
      <c r="A38" s="1" t="s">
        <v>212</v>
      </c>
    </row>
    <row r="39" spans="1:8" x14ac:dyDescent="0.2">
      <c r="A39" s="1" t="s">
        <v>213</v>
      </c>
    </row>
    <row r="41" spans="1:8" x14ac:dyDescent="0.2">
      <c r="A41" s="2" t="s">
        <v>214</v>
      </c>
    </row>
    <row r="42" spans="1:8" ht="17" thickBot="1" x14ac:dyDescent="0.25"/>
    <row r="43" spans="1:8" ht="17" thickBot="1" x14ac:dyDescent="0.25">
      <c r="A43" s="16" t="s">
        <v>215</v>
      </c>
      <c r="B43" s="33"/>
      <c r="C43" s="33"/>
      <c r="D43" s="33"/>
      <c r="E43" s="33"/>
      <c r="F43" s="33"/>
      <c r="G43" s="33"/>
      <c r="H43" s="34"/>
    </row>
    <row r="52" spans="1:10" x14ac:dyDescent="0.2">
      <c r="A52" s="1" t="s">
        <v>216</v>
      </c>
    </row>
    <row r="53" spans="1:10" x14ac:dyDescent="0.2">
      <c r="A53" s="1" t="s">
        <v>217</v>
      </c>
    </row>
    <row r="54" spans="1:10" x14ac:dyDescent="0.2">
      <c r="A54" s="1" t="s">
        <v>218</v>
      </c>
    </row>
    <row r="55" spans="1:10" ht="17" thickBot="1" x14ac:dyDescent="0.25"/>
    <row r="56" spans="1:10" ht="17" thickBot="1" x14ac:dyDescent="0.25">
      <c r="A56" s="32" t="s">
        <v>219</v>
      </c>
      <c r="B56" s="33"/>
      <c r="C56" s="33"/>
      <c r="D56" s="33"/>
      <c r="E56" s="33"/>
      <c r="F56" s="33"/>
      <c r="G56" s="33"/>
      <c r="H56" s="34"/>
    </row>
    <row r="57" spans="1:10" x14ac:dyDescent="0.2">
      <c r="A57" s="1" t="s">
        <v>220</v>
      </c>
    </row>
    <row r="58" spans="1:10" x14ac:dyDescent="0.2">
      <c r="A58" s="1" t="s">
        <v>221</v>
      </c>
      <c r="J58" s="1" t="s">
        <v>244</v>
      </c>
    </row>
    <row r="59" spans="1:10" x14ac:dyDescent="0.2">
      <c r="A59" s="1" t="s">
        <v>222</v>
      </c>
      <c r="J59" s="1" t="s">
        <v>245</v>
      </c>
    </row>
    <row r="60" spans="1:10" x14ac:dyDescent="0.2">
      <c r="A60" s="1" t="s">
        <v>223</v>
      </c>
      <c r="J60" s="1" t="s">
        <v>246</v>
      </c>
    </row>
    <row r="61" spans="1:10" x14ac:dyDescent="0.2">
      <c r="A61" s="1" t="s">
        <v>224</v>
      </c>
      <c r="J61" s="1" t="s">
        <v>247</v>
      </c>
    </row>
    <row r="62" spans="1:10" x14ac:dyDescent="0.2">
      <c r="J62" s="1" t="s">
        <v>248</v>
      </c>
    </row>
    <row r="63" spans="1:10" x14ac:dyDescent="0.2">
      <c r="C63" s="1" t="s">
        <v>225</v>
      </c>
      <c r="D63" s="1" t="s">
        <v>226</v>
      </c>
      <c r="J63" s="1" t="s">
        <v>249</v>
      </c>
    </row>
    <row r="64" spans="1:10" x14ac:dyDescent="0.2">
      <c r="C64" s="1">
        <v>2022</v>
      </c>
      <c r="D64" s="1">
        <v>80</v>
      </c>
      <c r="J64" s="1" t="s">
        <v>250</v>
      </c>
    </row>
    <row r="65" spans="1:10" x14ac:dyDescent="0.2">
      <c r="C65" s="1">
        <v>2023</v>
      </c>
      <c r="D65" s="1">
        <v>70</v>
      </c>
    </row>
    <row r="66" spans="1:10" x14ac:dyDescent="0.2">
      <c r="C66" s="1">
        <v>2024</v>
      </c>
      <c r="D66" s="1">
        <v>60</v>
      </c>
      <c r="J66"/>
    </row>
    <row r="67" spans="1:10" x14ac:dyDescent="0.2">
      <c r="C67" s="1">
        <v>2025</v>
      </c>
      <c r="D67" s="1">
        <v>40</v>
      </c>
    </row>
    <row r="69" spans="1:10" x14ac:dyDescent="0.2">
      <c r="A69" s="1" t="s">
        <v>227</v>
      </c>
    </row>
    <row r="71" spans="1:10" x14ac:dyDescent="0.2">
      <c r="C71" s="40">
        <v>2022</v>
      </c>
      <c r="D71" s="40">
        <v>2023</v>
      </c>
      <c r="E71" s="40">
        <v>2024</v>
      </c>
      <c r="F71" s="40">
        <v>2025</v>
      </c>
    </row>
    <row r="72" spans="1:10" x14ac:dyDescent="0.2">
      <c r="B72" s="1" t="s">
        <v>95</v>
      </c>
      <c r="C72" s="21">
        <v>500000</v>
      </c>
      <c r="D72" s="21">
        <v>500000</v>
      </c>
      <c r="E72" s="21">
        <v>500000</v>
      </c>
      <c r="F72" s="21">
        <v>500000</v>
      </c>
    </row>
    <row r="73" spans="1:10" x14ac:dyDescent="0.2">
      <c r="B73" s="1" t="s">
        <v>228</v>
      </c>
      <c r="C73" s="21">
        <f>-C76</f>
        <v>-160000</v>
      </c>
      <c r="D73" s="21">
        <f>C73-D76</f>
        <v>-300000</v>
      </c>
      <c r="E73" s="21">
        <f>D73-E76</f>
        <v>-420000</v>
      </c>
      <c r="F73" s="21">
        <f>E73-F76</f>
        <v>-500000</v>
      </c>
    </row>
    <row r="74" spans="1:10" x14ac:dyDescent="0.2">
      <c r="B74" s="1" t="s">
        <v>99</v>
      </c>
      <c r="C74" s="22">
        <f>C72+C73</f>
        <v>340000</v>
      </c>
      <c r="D74" s="22">
        <f>D72+D73</f>
        <v>200000</v>
      </c>
      <c r="E74" s="22">
        <f>E72+E73</f>
        <v>80000</v>
      </c>
      <c r="F74" s="22">
        <f>F72+F73</f>
        <v>0</v>
      </c>
    </row>
    <row r="75" spans="1:10" x14ac:dyDescent="0.2">
      <c r="C75" s="21"/>
      <c r="D75" s="21"/>
      <c r="E75" s="21"/>
      <c r="F75" s="21"/>
    </row>
    <row r="76" spans="1:10" x14ac:dyDescent="0.2">
      <c r="B76" s="1" t="s">
        <v>100</v>
      </c>
      <c r="C76" s="21">
        <f>D83*D64</f>
        <v>160000</v>
      </c>
      <c r="D76" s="21">
        <f>D83*D65</f>
        <v>140000</v>
      </c>
      <c r="E76" s="21">
        <f>D83*D66</f>
        <v>120000</v>
      </c>
      <c r="F76" s="21">
        <f>D83*D67</f>
        <v>80000</v>
      </c>
    </row>
    <row r="79" spans="1:10" x14ac:dyDescent="0.2">
      <c r="A79" s="1" t="s">
        <v>229</v>
      </c>
    </row>
    <row r="80" spans="1:10" x14ac:dyDescent="0.2">
      <c r="A80" s="1" t="s">
        <v>230</v>
      </c>
    </row>
    <row r="81" spans="1:9" x14ac:dyDescent="0.2">
      <c r="A81" s="1" t="s">
        <v>231</v>
      </c>
    </row>
    <row r="83" spans="1:9" x14ac:dyDescent="0.2">
      <c r="B83" s="1" t="s">
        <v>233</v>
      </c>
      <c r="D83" s="1">
        <f>500000/250</f>
        <v>2000</v>
      </c>
      <c r="F83" s="1" t="s">
        <v>232</v>
      </c>
    </row>
    <row r="85" spans="1:9" x14ac:dyDescent="0.2">
      <c r="A85" s="1" t="s">
        <v>234</v>
      </c>
    </row>
    <row r="86" spans="1:9" ht="17" thickBot="1" x14ac:dyDescent="0.25"/>
    <row r="87" spans="1:9" ht="17" thickBot="1" x14ac:dyDescent="0.25">
      <c r="A87" s="32" t="s">
        <v>235</v>
      </c>
      <c r="B87" s="33"/>
      <c r="C87" s="33"/>
      <c r="D87" s="33"/>
      <c r="E87" s="33"/>
      <c r="F87" s="33"/>
      <c r="G87" s="33"/>
      <c r="H87" s="34"/>
    </row>
    <row r="88" spans="1:9" x14ac:dyDescent="0.2">
      <c r="A88" s="1" t="s">
        <v>236</v>
      </c>
    </row>
    <row r="89" spans="1:9" x14ac:dyDescent="0.2">
      <c r="A89" s="1" t="s">
        <v>221</v>
      </c>
    </row>
    <row r="90" spans="1:9" x14ac:dyDescent="0.2">
      <c r="A90" s="1" t="s">
        <v>237</v>
      </c>
    </row>
    <row r="91" spans="1:9" x14ac:dyDescent="0.2">
      <c r="A91" s="1" t="s">
        <v>223</v>
      </c>
    </row>
    <row r="92" spans="1:9" x14ac:dyDescent="0.2">
      <c r="A92" s="1" t="s">
        <v>224</v>
      </c>
      <c r="I92" s="1" t="s">
        <v>239</v>
      </c>
    </row>
    <row r="93" spans="1:9" x14ac:dyDescent="0.2">
      <c r="I93" s="1" t="s">
        <v>240</v>
      </c>
    </row>
    <row r="94" spans="1:9" x14ac:dyDescent="0.2">
      <c r="C94" s="1" t="s">
        <v>225</v>
      </c>
      <c r="D94" s="1" t="s">
        <v>238</v>
      </c>
      <c r="I94" s="1" t="s">
        <v>241</v>
      </c>
    </row>
    <row r="95" spans="1:9" x14ac:dyDescent="0.2">
      <c r="C95" s="1">
        <v>2022</v>
      </c>
      <c r="D95" s="1">
        <v>350</v>
      </c>
      <c r="I95" s="1" t="s">
        <v>242</v>
      </c>
    </row>
    <row r="96" spans="1:9" x14ac:dyDescent="0.2">
      <c r="C96" s="1">
        <v>2023</v>
      </c>
      <c r="D96" s="1">
        <v>200</v>
      </c>
      <c r="I96" s="1" t="s">
        <v>243</v>
      </c>
    </row>
    <row r="97" spans="1:9" x14ac:dyDescent="0.2">
      <c r="C97" s="1">
        <v>2024</v>
      </c>
      <c r="D97" s="1">
        <v>150</v>
      </c>
    </row>
    <row r="98" spans="1:9" x14ac:dyDescent="0.2">
      <c r="C98" s="1">
        <v>2025</v>
      </c>
      <c r="D98" s="1">
        <v>400</v>
      </c>
      <c r="I98"/>
    </row>
    <row r="100" spans="1:9" x14ac:dyDescent="0.2">
      <c r="A100" s="1" t="s">
        <v>227</v>
      </c>
    </row>
    <row r="103" spans="1:9" x14ac:dyDescent="0.2">
      <c r="C103" s="40">
        <v>2022</v>
      </c>
      <c r="D103" s="40">
        <v>2023</v>
      </c>
      <c r="E103" s="40">
        <v>2024</v>
      </c>
      <c r="F103" s="40">
        <v>2025</v>
      </c>
    </row>
    <row r="104" spans="1:9" x14ac:dyDescent="0.2">
      <c r="B104" s="1" t="s">
        <v>95</v>
      </c>
      <c r="C104" s="21">
        <v>300000</v>
      </c>
      <c r="D104" s="21">
        <v>300000</v>
      </c>
      <c r="E104" s="21">
        <v>300000</v>
      </c>
      <c r="F104" s="21">
        <v>300000</v>
      </c>
    </row>
    <row r="105" spans="1:9" x14ac:dyDescent="0.2">
      <c r="B105" s="1" t="s">
        <v>228</v>
      </c>
      <c r="C105" s="21">
        <f>-C108</f>
        <v>-105000</v>
      </c>
      <c r="D105" s="21">
        <f>C105-D108</f>
        <v>-165000</v>
      </c>
      <c r="E105" s="21">
        <f>D105-E108</f>
        <v>-210000</v>
      </c>
      <c r="F105" s="21">
        <f>E105-F108</f>
        <v>-330000</v>
      </c>
    </row>
    <row r="106" spans="1:9" x14ac:dyDescent="0.2">
      <c r="B106" s="1" t="s">
        <v>99</v>
      </c>
      <c r="C106" s="22">
        <f>C104+C105</f>
        <v>195000</v>
      </c>
      <c r="D106" s="22">
        <f>D104+D105</f>
        <v>135000</v>
      </c>
      <c r="E106" s="22">
        <f>E104+E105</f>
        <v>90000</v>
      </c>
      <c r="F106" s="22">
        <f>F104+F105</f>
        <v>-30000</v>
      </c>
    </row>
    <row r="107" spans="1:9" x14ac:dyDescent="0.2">
      <c r="C107" s="21"/>
      <c r="D107" s="21"/>
      <c r="E107" s="21"/>
      <c r="F107" s="21"/>
      <c r="I107"/>
    </row>
    <row r="108" spans="1:9" x14ac:dyDescent="0.2">
      <c r="B108" s="1" t="s">
        <v>100</v>
      </c>
      <c r="C108" s="21">
        <f>300000/1000*D95</f>
        <v>105000</v>
      </c>
      <c r="D108" s="21">
        <f>300000/1000*D96</f>
        <v>60000</v>
      </c>
      <c r="E108" s="21">
        <f>300000/1000*D97</f>
        <v>45000</v>
      </c>
      <c r="F108" s="21">
        <f>300000/1000*D98</f>
        <v>120000</v>
      </c>
    </row>
    <row r="114" spans="1:6" x14ac:dyDescent="0.2">
      <c r="A114" s="1" t="s">
        <v>251</v>
      </c>
    </row>
    <row r="115" spans="1:6" x14ac:dyDescent="0.2">
      <c r="A115" s="1" t="s">
        <v>252</v>
      </c>
    </row>
    <row r="116" spans="1:6" x14ac:dyDescent="0.2">
      <c r="A116" s="1" t="s">
        <v>253</v>
      </c>
    </row>
    <row r="118" spans="1:6" x14ac:dyDescent="0.2">
      <c r="C118" s="1" t="s">
        <v>225</v>
      </c>
      <c r="D118" s="1" t="s">
        <v>238</v>
      </c>
    </row>
    <row r="119" spans="1:6" x14ac:dyDescent="0.2">
      <c r="C119" s="1">
        <v>2022</v>
      </c>
      <c r="D119" s="1">
        <v>350</v>
      </c>
    </row>
    <row r="120" spans="1:6" x14ac:dyDescent="0.2">
      <c r="C120" s="1">
        <v>2023</v>
      </c>
      <c r="D120" s="1">
        <v>200</v>
      </c>
    </row>
    <row r="121" spans="1:6" x14ac:dyDescent="0.2">
      <c r="C121" s="1">
        <v>2024</v>
      </c>
      <c r="D121" s="1">
        <v>150</v>
      </c>
    </row>
    <row r="122" spans="1:6" x14ac:dyDescent="0.2">
      <c r="C122" s="1">
        <v>2025</v>
      </c>
      <c r="D122" s="1">
        <v>400</v>
      </c>
    </row>
    <row r="123" spans="1:6" x14ac:dyDescent="0.2">
      <c r="C123" s="1" t="s">
        <v>254</v>
      </c>
      <c r="D123" s="41">
        <f>SUM(D119:D122)</f>
        <v>1100</v>
      </c>
      <c r="E123" s="19" t="s">
        <v>256</v>
      </c>
      <c r="F123" s="1">
        <v>1000</v>
      </c>
    </row>
    <row r="124" spans="1:6" x14ac:dyDescent="0.2">
      <c r="D124" s="1" t="s">
        <v>255</v>
      </c>
      <c r="F124" s="1" t="s">
        <v>257</v>
      </c>
    </row>
    <row r="126" spans="1:6" x14ac:dyDescent="0.2">
      <c r="A126" s="1" t="s">
        <v>258</v>
      </c>
    </row>
    <row r="127" spans="1:6" x14ac:dyDescent="0.2">
      <c r="A127" s="1" t="s">
        <v>259</v>
      </c>
    </row>
    <row r="129" spans="1:6" x14ac:dyDescent="0.2">
      <c r="A129" s="1" t="s">
        <v>260</v>
      </c>
    </row>
    <row r="131" spans="1:6" x14ac:dyDescent="0.2">
      <c r="C131" s="1" t="s">
        <v>225</v>
      </c>
      <c r="D131" s="1" t="s">
        <v>238</v>
      </c>
    </row>
    <row r="132" spans="1:6" x14ac:dyDescent="0.2">
      <c r="C132" s="1">
        <v>2022</v>
      </c>
      <c r="D132" s="1">
        <v>350</v>
      </c>
    </row>
    <row r="133" spans="1:6" x14ac:dyDescent="0.2">
      <c r="C133" s="1">
        <v>2023</v>
      </c>
      <c r="D133" s="1">
        <v>200</v>
      </c>
    </row>
    <row r="134" spans="1:6" x14ac:dyDescent="0.2">
      <c r="C134" s="1">
        <v>2024</v>
      </c>
      <c r="D134" s="1">
        <v>150</v>
      </c>
    </row>
    <row r="135" spans="1:6" x14ac:dyDescent="0.2">
      <c r="C135" s="1">
        <v>2025</v>
      </c>
      <c r="D135" s="42">
        <v>300</v>
      </c>
    </row>
    <row r="136" spans="1:6" x14ac:dyDescent="0.2">
      <c r="C136" s="1" t="s">
        <v>254</v>
      </c>
      <c r="D136" s="41">
        <f>SUM(D132:D135)</f>
        <v>1000</v>
      </c>
      <c r="E136" s="19" t="s">
        <v>256</v>
      </c>
      <c r="F136" s="1">
        <v>1000</v>
      </c>
    </row>
    <row r="137" spans="1:6" x14ac:dyDescent="0.2">
      <c r="D137" s="1" t="s">
        <v>261</v>
      </c>
      <c r="F137" s="1" t="s">
        <v>257</v>
      </c>
    </row>
    <row r="139" spans="1:6" x14ac:dyDescent="0.2">
      <c r="C139" s="40">
        <v>2022</v>
      </c>
      <c r="D139" s="40">
        <v>2023</v>
      </c>
      <c r="E139" s="40">
        <v>2024</v>
      </c>
      <c r="F139" s="40">
        <v>2025</v>
      </c>
    </row>
    <row r="140" spans="1:6" x14ac:dyDescent="0.2">
      <c r="B140" s="1" t="s">
        <v>95</v>
      </c>
      <c r="C140" s="21">
        <v>300000</v>
      </c>
      <c r="D140" s="21">
        <v>300000</v>
      </c>
      <c r="E140" s="21">
        <v>300000</v>
      </c>
      <c r="F140" s="21">
        <v>300000</v>
      </c>
    </row>
    <row r="141" spans="1:6" x14ac:dyDescent="0.2">
      <c r="B141" s="1" t="s">
        <v>228</v>
      </c>
      <c r="C141" s="21">
        <f>C105</f>
        <v>-105000</v>
      </c>
      <c r="D141" s="21">
        <f>C141-D144</f>
        <v>-165000</v>
      </c>
      <c r="E141" s="21">
        <f>D141-E144</f>
        <v>-210000</v>
      </c>
      <c r="F141" s="43">
        <f>E141-F144</f>
        <v>-300000</v>
      </c>
    </row>
    <row r="142" spans="1:6" x14ac:dyDescent="0.2">
      <c r="B142" s="1" t="s">
        <v>99</v>
      </c>
      <c r="C142" s="22">
        <f>C140+C141</f>
        <v>195000</v>
      </c>
      <c r="D142" s="22">
        <f>D140+D141</f>
        <v>135000</v>
      </c>
      <c r="E142" s="22">
        <f>E140+E141</f>
        <v>90000</v>
      </c>
      <c r="F142" s="22">
        <f>F140+F141</f>
        <v>0</v>
      </c>
    </row>
    <row r="143" spans="1:6" x14ac:dyDescent="0.2">
      <c r="C143" s="21"/>
      <c r="D143" s="21"/>
      <c r="E143" s="21"/>
      <c r="F143" s="21"/>
    </row>
    <row r="144" spans="1:6" x14ac:dyDescent="0.2">
      <c r="B144" s="1" t="s">
        <v>100</v>
      </c>
      <c r="C144" s="21">
        <f>C108</f>
        <v>105000</v>
      </c>
      <c r="D144" s="21">
        <f t="shared" ref="D144:E144" si="0">D108</f>
        <v>60000</v>
      </c>
      <c r="E144" s="21">
        <f t="shared" si="0"/>
        <v>45000</v>
      </c>
      <c r="F144" s="43">
        <f>300000/1000*300</f>
        <v>90000</v>
      </c>
    </row>
    <row r="146" spans="1:8" x14ac:dyDescent="0.2">
      <c r="A146" s="2" t="s">
        <v>262</v>
      </c>
      <c r="B146" s="2"/>
      <c r="C146" s="2"/>
      <c r="D146" s="2"/>
      <c r="E146" s="2"/>
      <c r="F146" s="2"/>
      <c r="G146" s="2"/>
      <c r="H146" s="2"/>
    </row>
    <row r="148" spans="1:8" x14ac:dyDescent="0.2">
      <c r="A148" s="1" t="s">
        <v>263</v>
      </c>
    </row>
    <row r="149" spans="1:8" x14ac:dyDescent="0.2">
      <c r="A149" s="1" t="s">
        <v>264</v>
      </c>
    </row>
    <row r="150" spans="1:8" x14ac:dyDescent="0.2">
      <c r="A150" s="1" t="s">
        <v>265</v>
      </c>
    </row>
    <row r="151" spans="1:8" x14ac:dyDescent="0.2">
      <c r="A151" s="1" t="s">
        <v>266</v>
      </c>
    </row>
    <row r="152" spans="1:8" x14ac:dyDescent="0.2">
      <c r="A152" s="1" t="s">
        <v>267</v>
      </c>
    </row>
    <row r="153" spans="1:8" x14ac:dyDescent="0.2">
      <c r="A153" s="1" t="s">
        <v>268</v>
      </c>
    </row>
    <row r="154" spans="1:8" x14ac:dyDescent="0.2">
      <c r="A154" s="1" t="s">
        <v>269</v>
      </c>
    </row>
    <row r="155" spans="1:8" x14ac:dyDescent="0.2">
      <c r="A155" s="1" t="s">
        <v>270</v>
      </c>
    </row>
    <row r="157" spans="1:8" x14ac:dyDescent="0.2">
      <c r="A157" s="1" t="s">
        <v>271</v>
      </c>
    </row>
    <row r="159" spans="1:8" x14ac:dyDescent="0.2">
      <c r="A159" s="1" t="s">
        <v>272</v>
      </c>
    </row>
    <row r="160" spans="1:8" x14ac:dyDescent="0.2">
      <c r="B160" s="1" t="s">
        <v>273</v>
      </c>
    </row>
    <row r="161" spans="1:8" x14ac:dyDescent="0.2">
      <c r="B161" s="1" t="s">
        <v>274</v>
      </c>
    </row>
    <row r="162" spans="1:8" x14ac:dyDescent="0.2">
      <c r="B162" s="1" t="s">
        <v>298</v>
      </c>
    </row>
    <row r="163" spans="1:8" ht="17" thickBot="1" x14ac:dyDescent="0.25"/>
    <row r="164" spans="1:8" ht="17" thickBot="1" x14ac:dyDescent="0.25">
      <c r="A164" s="16" t="s">
        <v>191</v>
      </c>
      <c r="B164" s="33"/>
      <c r="C164" s="33"/>
      <c r="D164" s="33"/>
      <c r="E164" s="33"/>
      <c r="F164" s="33"/>
      <c r="G164" s="33"/>
      <c r="H164" s="34"/>
    </row>
    <row r="166" spans="1:8" x14ac:dyDescent="0.2">
      <c r="A166" s="1" t="s">
        <v>283</v>
      </c>
    </row>
    <row r="167" spans="1:8" x14ac:dyDescent="0.2">
      <c r="A167" s="1" t="s">
        <v>275</v>
      </c>
    </row>
    <row r="168" spans="1:8" x14ac:dyDescent="0.2">
      <c r="A168" s="1" t="s">
        <v>294</v>
      </c>
    </row>
    <row r="169" spans="1:8" x14ac:dyDescent="0.2">
      <c r="A169" s="45" t="s">
        <v>276</v>
      </c>
    </row>
    <row r="170" spans="1:8" x14ac:dyDescent="0.2">
      <c r="A170" s="45" t="s">
        <v>277</v>
      </c>
    </row>
    <row r="171" spans="1:8" x14ac:dyDescent="0.2">
      <c r="A171" s="1" t="s">
        <v>278</v>
      </c>
    </row>
    <row r="172" spans="1:8" x14ac:dyDescent="0.2">
      <c r="A172" s="1" t="s">
        <v>279</v>
      </c>
    </row>
    <row r="173" spans="1:8" x14ac:dyDescent="0.2">
      <c r="A173" s="1" t="s">
        <v>280</v>
      </c>
    </row>
    <row r="174" spans="1:8" x14ac:dyDescent="0.2">
      <c r="A174" s="1" t="s">
        <v>281</v>
      </c>
    </row>
    <row r="175" spans="1:8" x14ac:dyDescent="0.2">
      <c r="A175" s="1" t="s">
        <v>282</v>
      </c>
    </row>
    <row r="177" spans="1:9" x14ac:dyDescent="0.2">
      <c r="A177" s="2" t="s">
        <v>284</v>
      </c>
    </row>
    <row r="178" spans="1:9" x14ac:dyDescent="0.2">
      <c r="C178" s="1" t="s">
        <v>295</v>
      </c>
      <c r="D178" s="1" t="s">
        <v>295</v>
      </c>
      <c r="E178" s="1" t="s">
        <v>295</v>
      </c>
      <c r="F178" s="1" t="s">
        <v>296</v>
      </c>
      <c r="H178" s="1" t="s">
        <v>299</v>
      </c>
      <c r="I178" s="1" t="s">
        <v>300</v>
      </c>
    </row>
    <row r="179" spans="1:9" x14ac:dyDescent="0.2">
      <c r="C179" s="35">
        <v>43100</v>
      </c>
      <c r="D179" s="35">
        <v>43465</v>
      </c>
      <c r="E179" s="35">
        <v>43830</v>
      </c>
      <c r="F179" s="1" t="s">
        <v>297</v>
      </c>
      <c r="G179" s="35">
        <v>44196</v>
      </c>
      <c r="H179" s="35">
        <v>44561</v>
      </c>
      <c r="I179" s="1" t="s">
        <v>301</v>
      </c>
    </row>
    <row r="180" spans="1:9" x14ac:dyDescent="0.2">
      <c r="B180" s="1" t="s">
        <v>95</v>
      </c>
      <c r="C180" s="44">
        <f>D192</f>
        <v>182000</v>
      </c>
      <c r="D180" s="23">
        <f>C180</f>
        <v>182000</v>
      </c>
      <c r="E180" s="23">
        <f>D180</f>
        <v>182000</v>
      </c>
      <c r="F180" s="23">
        <f>E180+80000</f>
        <v>262000</v>
      </c>
      <c r="G180" s="23">
        <f>F180</f>
        <v>262000</v>
      </c>
      <c r="H180" s="23">
        <f>G180</f>
        <v>262000</v>
      </c>
      <c r="I180" s="1">
        <v>0</v>
      </c>
    </row>
    <row r="181" spans="1:9" x14ac:dyDescent="0.2">
      <c r="B181" s="1" t="s">
        <v>96</v>
      </c>
      <c r="C181" s="1">
        <f>-C184</f>
        <v>-32400</v>
      </c>
      <c r="D181" s="1">
        <f>C181-D184</f>
        <v>-64800</v>
      </c>
      <c r="E181" s="1">
        <f>D181-E184</f>
        <v>-97200</v>
      </c>
      <c r="F181" s="1">
        <f>E181</f>
        <v>-97200</v>
      </c>
      <c r="G181" s="1">
        <f>F181-G184</f>
        <v>-164600</v>
      </c>
      <c r="H181" s="1">
        <f>G181-H184</f>
        <v>-232000</v>
      </c>
      <c r="I181" s="1">
        <v>0</v>
      </c>
    </row>
    <row r="182" spans="1:9" x14ac:dyDescent="0.2">
      <c r="B182" s="1" t="s">
        <v>99</v>
      </c>
      <c r="C182" s="23">
        <f>SUM(C180:C181)</f>
        <v>149600</v>
      </c>
      <c r="D182" s="23">
        <f>D180+D181</f>
        <v>117200</v>
      </c>
      <c r="E182" s="23">
        <f>E180+E181</f>
        <v>84800</v>
      </c>
      <c r="F182" s="23">
        <f>E182+80000</f>
        <v>164800</v>
      </c>
      <c r="G182" s="23">
        <f>G180+G181</f>
        <v>97400</v>
      </c>
      <c r="H182" s="23">
        <f>H180+H181</f>
        <v>30000</v>
      </c>
      <c r="I182" s="1">
        <v>0</v>
      </c>
    </row>
    <row r="184" spans="1:9" x14ac:dyDescent="0.2">
      <c r="B184" s="1" t="s">
        <v>100</v>
      </c>
      <c r="C184" s="1">
        <f>(182000-20000)/5</f>
        <v>32400</v>
      </c>
      <c r="D184" s="1">
        <f>C184</f>
        <v>32400</v>
      </c>
      <c r="E184" s="1">
        <f>D184</f>
        <v>32400</v>
      </c>
      <c r="F184" s="46"/>
      <c r="G184" s="1">
        <f>(F182-30000)/2</f>
        <v>67400</v>
      </c>
      <c r="H184" s="1">
        <f>G184</f>
        <v>67400</v>
      </c>
      <c r="I184" s="1">
        <f>H184</f>
        <v>67400</v>
      </c>
    </row>
    <row r="186" spans="1:9" x14ac:dyDescent="0.2">
      <c r="B186" s="1" t="s">
        <v>302</v>
      </c>
      <c r="I186" s="23">
        <f>28000-H182</f>
        <v>-2000</v>
      </c>
    </row>
    <row r="188" spans="1:9" x14ac:dyDescent="0.2">
      <c r="A188" s="1" t="s">
        <v>285</v>
      </c>
      <c r="F188" s="1" t="s">
        <v>289</v>
      </c>
    </row>
    <row r="189" spans="1:9" x14ac:dyDescent="0.2">
      <c r="B189" s="1" t="s">
        <v>286</v>
      </c>
      <c r="D189" s="23">
        <v>150000</v>
      </c>
      <c r="F189" s="1" t="s">
        <v>290</v>
      </c>
    </row>
    <row r="190" spans="1:9" x14ac:dyDescent="0.2">
      <c r="B190" s="1" t="s">
        <v>287</v>
      </c>
      <c r="D190" s="23">
        <v>20000</v>
      </c>
      <c r="F190" s="1" t="s">
        <v>291</v>
      </c>
    </row>
    <row r="191" spans="1:9" x14ac:dyDescent="0.2">
      <c r="B191" s="1" t="s">
        <v>288</v>
      </c>
      <c r="D191" s="23">
        <v>12000</v>
      </c>
      <c r="F191" s="1" t="s">
        <v>292</v>
      </c>
    </row>
    <row r="192" spans="1:9" x14ac:dyDescent="0.2">
      <c r="B192" s="1" t="s">
        <v>293</v>
      </c>
      <c r="D192" s="44">
        <f>SUM(D189:D191)</f>
        <v>182000</v>
      </c>
    </row>
    <row r="194" spans="2:2" x14ac:dyDescent="0.2">
      <c r="B194"/>
    </row>
    <row r="212" spans="1:8" ht="17" thickBot="1" x14ac:dyDescent="0.25"/>
    <row r="213" spans="1:8" x14ac:dyDescent="0.2">
      <c r="A213" s="13" t="s">
        <v>303</v>
      </c>
      <c r="B213" s="5"/>
      <c r="C213" s="5"/>
      <c r="D213" s="5"/>
      <c r="E213" s="5"/>
      <c r="F213" s="5"/>
      <c r="G213" s="5"/>
      <c r="H213" s="6"/>
    </row>
    <row r="214" spans="1:8" x14ac:dyDescent="0.2">
      <c r="A214" s="7" t="s">
        <v>304</v>
      </c>
      <c r="H214" s="9"/>
    </row>
    <row r="215" spans="1:8" x14ac:dyDescent="0.2">
      <c r="A215" s="7" t="s">
        <v>305</v>
      </c>
      <c r="H215" s="9"/>
    </row>
    <row r="216" spans="1:8" x14ac:dyDescent="0.2">
      <c r="A216" s="7"/>
      <c r="H216" s="9"/>
    </row>
    <row r="217" spans="1:8" x14ac:dyDescent="0.2">
      <c r="A217" s="7"/>
      <c r="B217" s="98" t="s">
        <v>306</v>
      </c>
      <c r="C217" s="98"/>
      <c r="D217" s="98"/>
      <c r="E217" s="19" t="s">
        <v>307</v>
      </c>
      <c r="F217" s="99" t="s">
        <v>308</v>
      </c>
      <c r="G217" s="99"/>
      <c r="H217" s="100"/>
    </row>
    <row r="218" spans="1:8" x14ac:dyDescent="0.2">
      <c r="A218" s="7"/>
      <c r="E218" s="19" t="s">
        <v>309</v>
      </c>
      <c r="H218" s="9"/>
    </row>
    <row r="219" spans="1:8" x14ac:dyDescent="0.2">
      <c r="A219" s="7"/>
      <c r="H219" s="9"/>
    </row>
    <row r="220" spans="1:8" x14ac:dyDescent="0.2">
      <c r="A220" s="7" t="s">
        <v>310</v>
      </c>
      <c r="H220" s="9"/>
    </row>
    <row r="221" spans="1:8" x14ac:dyDescent="0.2">
      <c r="A221" s="7"/>
      <c r="B221" s="1" t="s">
        <v>311</v>
      </c>
      <c r="F221" s="1" t="s">
        <v>312</v>
      </c>
      <c r="H221" s="9"/>
    </row>
    <row r="222" spans="1:8" x14ac:dyDescent="0.2">
      <c r="A222" s="7"/>
      <c r="B222" s="1" t="s">
        <v>313</v>
      </c>
      <c r="F222" s="1" t="s">
        <v>314</v>
      </c>
      <c r="H222" s="9"/>
    </row>
    <row r="223" spans="1:8" x14ac:dyDescent="0.2">
      <c r="A223" s="7"/>
      <c r="B223" s="1" t="s">
        <v>315</v>
      </c>
      <c r="F223" s="1" t="s">
        <v>316</v>
      </c>
      <c r="H223" s="9"/>
    </row>
    <row r="224" spans="1:8" x14ac:dyDescent="0.2">
      <c r="A224" s="7"/>
      <c r="B224" s="1" t="s">
        <v>317</v>
      </c>
      <c r="H224" s="9"/>
    </row>
    <row r="225" spans="1:8" x14ac:dyDescent="0.2">
      <c r="A225" s="7"/>
      <c r="D225" s="1" t="s">
        <v>318</v>
      </c>
      <c r="H225" s="9"/>
    </row>
    <row r="226" spans="1:8" x14ac:dyDescent="0.2">
      <c r="A226" s="7"/>
      <c r="D226" s="1" t="s">
        <v>319</v>
      </c>
      <c r="H226" s="9"/>
    </row>
    <row r="227" spans="1:8" x14ac:dyDescent="0.2">
      <c r="A227" s="7"/>
      <c r="D227" s="1" t="s">
        <v>320</v>
      </c>
      <c r="H227" s="9"/>
    </row>
    <row r="228" spans="1:8" x14ac:dyDescent="0.2">
      <c r="A228" s="7"/>
      <c r="H228" s="9"/>
    </row>
    <row r="229" spans="1:8" x14ac:dyDescent="0.2">
      <c r="A229" s="7"/>
      <c r="D229" s="1" t="s">
        <v>321</v>
      </c>
      <c r="H229" s="9"/>
    </row>
    <row r="230" spans="1:8" x14ac:dyDescent="0.2">
      <c r="A230" s="7"/>
      <c r="D230" s="1" t="s">
        <v>322</v>
      </c>
      <c r="H230" s="9"/>
    </row>
    <row r="231" spans="1:8" ht="17" thickBot="1" x14ac:dyDescent="0.25">
      <c r="A231" s="10"/>
      <c r="B231" s="11"/>
      <c r="C231" s="11"/>
      <c r="D231" s="11" t="s">
        <v>323</v>
      </c>
      <c r="E231" s="11"/>
      <c r="F231" s="11"/>
      <c r="G231" s="11"/>
      <c r="H231" s="12"/>
    </row>
    <row r="233" spans="1:8" x14ac:dyDescent="0.2">
      <c r="A233" s="3" t="s">
        <v>324</v>
      </c>
      <c r="B233" s="41"/>
      <c r="C233" s="41"/>
      <c r="D233" s="41"/>
      <c r="E233" s="41"/>
      <c r="F233" s="41"/>
      <c r="G233" s="41"/>
      <c r="H233" s="41"/>
    </row>
    <row r="234" spans="1:8" x14ac:dyDescent="0.2">
      <c r="A234" s="1" t="s">
        <v>325</v>
      </c>
    </row>
    <row r="235" spans="1:8" x14ac:dyDescent="0.2">
      <c r="A235" s="1" t="s">
        <v>326</v>
      </c>
    </row>
    <row r="236" spans="1:8" x14ac:dyDescent="0.2">
      <c r="A236" s="1" t="s">
        <v>327</v>
      </c>
    </row>
    <row r="237" spans="1:8" x14ac:dyDescent="0.2">
      <c r="A237" s="1" t="s">
        <v>328</v>
      </c>
    </row>
    <row r="238" spans="1:8" x14ac:dyDescent="0.2">
      <c r="A238" s="1" t="s">
        <v>329</v>
      </c>
    </row>
    <row r="239" spans="1:8" x14ac:dyDescent="0.2">
      <c r="A239" s="1" t="s">
        <v>330</v>
      </c>
    </row>
    <row r="240" spans="1:8" x14ac:dyDescent="0.2">
      <c r="A240" s="1" t="s">
        <v>331</v>
      </c>
    </row>
    <row r="242" spans="1:9" x14ac:dyDescent="0.2">
      <c r="B242" s="47"/>
      <c r="C242" s="47"/>
      <c r="D242" s="47" t="s">
        <v>296</v>
      </c>
      <c r="E242" s="47" t="s">
        <v>296</v>
      </c>
      <c r="H242" s="1" t="s">
        <v>296</v>
      </c>
    </row>
    <row r="243" spans="1:9" x14ac:dyDescent="0.2">
      <c r="B243" s="47"/>
      <c r="C243" s="47"/>
      <c r="D243" s="47" t="s">
        <v>307</v>
      </c>
      <c r="E243" s="47" t="s">
        <v>297</v>
      </c>
      <c r="H243" s="1" t="s">
        <v>332</v>
      </c>
    </row>
    <row r="244" spans="1:9" x14ac:dyDescent="0.2">
      <c r="B244" s="48">
        <v>43465</v>
      </c>
      <c r="C244" s="48">
        <v>43830</v>
      </c>
      <c r="D244" s="48">
        <v>44012</v>
      </c>
      <c r="E244" s="48">
        <v>44012</v>
      </c>
      <c r="F244" s="49">
        <v>44196</v>
      </c>
      <c r="G244" s="49">
        <v>44561</v>
      </c>
      <c r="H244" s="50">
        <v>44834</v>
      </c>
      <c r="I244" s="49">
        <v>44926</v>
      </c>
    </row>
    <row r="245" spans="1:9" x14ac:dyDescent="0.2">
      <c r="A245" s="1" t="s">
        <v>95</v>
      </c>
      <c r="B245" s="23">
        <v>150000</v>
      </c>
      <c r="C245" s="23">
        <f>B245</f>
        <v>150000</v>
      </c>
      <c r="D245" s="23">
        <f>C245</f>
        <v>150000</v>
      </c>
      <c r="E245" s="23">
        <f>D245+70000</f>
        <v>220000</v>
      </c>
      <c r="F245" s="23">
        <f>E245</f>
        <v>220000</v>
      </c>
      <c r="G245" s="23">
        <f>F245</f>
        <v>220000</v>
      </c>
      <c r="H245" s="23">
        <f>G245</f>
        <v>220000</v>
      </c>
      <c r="I245" s="1">
        <v>0</v>
      </c>
    </row>
    <row r="246" spans="1:9" x14ac:dyDescent="0.2">
      <c r="A246" s="1" t="s">
        <v>96</v>
      </c>
      <c r="B246" s="1">
        <f>-B249</f>
        <v>-30000</v>
      </c>
      <c r="C246" s="1">
        <f>B246-C249</f>
        <v>-60000</v>
      </c>
      <c r="D246" s="1">
        <f>C246-D249</f>
        <v>-75000</v>
      </c>
      <c r="E246" s="1">
        <f>D246</f>
        <v>-75000</v>
      </c>
      <c r="F246" s="23">
        <f>C246-F249</f>
        <v>-85416.666666666657</v>
      </c>
      <c r="G246" s="23">
        <f>F246-G249</f>
        <v>-106249.99999999999</v>
      </c>
      <c r="H246" s="23">
        <f>G246-H249</f>
        <v>-121874.99999999999</v>
      </c>
      <c r="I246" s="1">
        <v>0</v>
      </c>
    </row>
    <row r="247" spans="1:9" x14ac:dyDescent="0.2">
      <c r="A247" s="1" t="s">
        <v>99</v>
      </c>
      <c r="B247" s="51">
        <f>B245+B246</f>
        <v>120000</v>
      </c>
      <c r="C247" s="51">
        <f t="shared" ref="C247:D247" si="1">C245+C246</f>
        <v>90000</v>
      </c>
      <c r="D247" s="51">
        <f t="shared" si="1"/>
        <v>75000</v>
      </c>
      <c r="E247" s="52">
        <f>E245+E246</f>
        <v>145000</v>
      </c>
      <c r="F247" s="51">
        <f>F245+F246</f>
        <v>134583.33333333334</v>
      </c>
      <c r="G247" s="51">
        <f>G245+G246</f>
        <v>113750.00000000001</v>
      </c>
      <c r="H247" s="51">
        <f>H245+H246</f>
        <v>98125.000000000015</v>
      </c>
      <c r="I247" s="37">
        <v>0</v>
      </c>
    </row>
    <row r="249" spans="1:9" x14ac:dyDescent="0.2">
      <c r="A249" s="1" t="s">
        <v>100</v>
      </c>
      <c r="B249" s="1">
        <f>(150000-0)/5</f>
        <v>30000</v>
      </c>
      <c r="C249" s="1">
        <f>B249</f>
        <v>30000</v>
      </c>
      <c r="D249" s="1">
        <f>C249*6/12</f>
        <v>15000</v>
      </c>
      <c r="F249" s="53">
        <f>15000+((75000+70000)-20000)/(5-2.5+3.5)*(6/12)</f>
        <v>25416.666666666664</v>
      </c>
      <c r="G249" s="53">
        <f>((75000+70000)-20000)/(5-2.5+3.5)</f>
        <v>20833.333333333332</v>
      </c>
      <c r="H249" s="23">
        <f>(145000-20000)/(5-2.5+3.5)*(9/12)</f>
        <v>15625</v>
      </c>
      <c r="I249" s="23">
        <f>H249</f>
        <v>15625</v>
      </c>
    </row>
    <row r="251" spans="1:9" x14ac:dyDescent="0.2">
      <c r="A251" s="1" t="s">
        <v>302</v>
      </c>
      <c r="I251" s="23">
        <f>44000-H247</f>
        <v>-54125.000000000015</v>
      </c>
    </row>
    <row r="252" spans="1:9" x14ac:dyDescent="0.2">
      <c r="I252" s="23"/>
    </row>
    <row r="253" spans="1:9" x14ac:dyDescent="0.2">
      <c r="A253" s="3" t="s">
        <v>333</v>
      </c>
      <c r="B253" s="41"/>
      <c r="C253" s="41"/>
      <c r="D253" s="41"/>
      <c r="E253" s="41"/>
      <c r="F253" s="41"/>
      <c r="G253" s="41"/>
      <c r="H253" s="41"/>
    </row>
    <row r="254" spans="1:9" x14ac:dyDescent="0.2">
      <c r="A254" s="1" t="s">
        <v>334</v>
      </c>
    </row>
    <row r="255" spans="1:9" x14ac:dyDescent="0.2">
      <c r="A255" s="1" t="s">
        <v>326</v>
      </c>
    </row>
    <row r="256" spans="1:9" x14ac:dyDescent="0.2">
      <c r="A256" s="1" t="s">
        <v>335</v>
      </c>
    </row>
    <row r="257" spans="1:9" x14ac:dyDescent="0.2">
      <c r="A257" s="1" t="s">
        <v>328</v>
      </c>
    </row>
    <row r="258" spans="1:9" x14ac:dyDescent="0.2">
      <c r="A258" s="1" t="s">
        <v>329</v>
      </c>
    </row>
    <row r="259" spans="1:9" x14ac:dyDescent="0.2">
      <c r="A259" s="1" t="s">
        <v>330</v>
      </c>
    </row>
    <row r="260" spans="1:9" ht="17" thickBot="1" x14ac:dyDescent="0.25"/>
    <row r="261" spans="1:9" ht="17" thickBot="1" x14ac:dyDescent="0.25">
      <c r="A261" s="32" t="s">
        <v>331</v>
      </c>
      <c r="B261" s="33"/>
      <c r="C261" s="33"/>
      <c r="D261" s="33"/>
      <c r="E261" s="33"/>
      <c r="F261" s="33"/>
      <c r="G261" s="33"/>
      <c r="H261" s="34"/>
    </row>
    <row r="263" spans="1:9" x14ac:dyDescent="0.2">
      <c r="A263" s="2" t="s">
        <v>336</v>
      </c>
    </row>
    <row r="264" spans="1:9" x14ac:dyDescent="0.2">
      <c r="A264" s="2" t="s">
        <v>337</v>
      </c>
    </row>
    <row r="265" spans="1:9" x14ac:dyDescent="0.2">
      <c r="D265" s="1" t="s">
        <v>338</v>
      </c>
      <c r="E265" s="1" t="s">
        <v>339</v>
      </c>
      <c r="H265" s="1" t="s">
        <v>340</v>
      </c>
    </row>
    <row r="266" spans="1:9" x14ac:dyDescent="0.2">
      <c r="B266" s="49">
        <v>43465</v>
      </c>
      <c r="C266" s="49">
        <v>43830</v>
      </c>
      <c r="D266" s="49">
        <v>44012</v>
      </c>
      <c r="E266" s="49">
        <v>44012</v>
      </c>
      <c r="F266" s="49">
        <v>44196</v>
      </c>
      <c r="G266" s="49">
        <v>44561</v>
      </c>
      <c r="H266" s="49">
        <v>44834</v>
      </c>
      <c r="I266" s="49">
        <v>44926</v>
      </c>
    </row>
    <row r="267" spans="1:9" x14ac:dyDescent="0.2">
      <c r="A267" s="1" t="s">
        <v>95</v>
      </c>
      <c r="B267" s="1">
        <v>150000</v>
      </c>
      <c r="C267" s="1">
        <v>150000</v>
      </c>
      <c r="D267" s="1">
        <v>150000</v>
      </c>
      <c r="E267" s="1">
        <f>D267+70000</f>
        <v>220000</v>
      </c>
      <c r="F267" s="1">
        <f>E267</f>
        <v>220000</v>
      </c>
      <c r="G267" s="1">
        <f>F267</f>
        <v>220000</v>
      </c>
      <c r="H267" s="1">
        <f>G267</f>
        <v>220000</v>
      </c>
      <c r="I267" s="1">
        <v>0</v>
      </c>
    </row>
    <row r="268" spans="1:9" x14ac:dyDescent="0.2">
      <c r="A268" s="1" t="s">
        <v>96</v>
      </c>
      <c r="B268" s="1">
        <f>-B271</f>
        <v>-50000</v>
      </c>
      <c r="C268" s="1">
        <f>B268-C271</f>
        <v>-90000</v>
      </c>
      <c r="D268" s="1">
        <f>C268-D271</f>
        <v>-105000</v>
      </c>
      <c r="E268" s="1">
        <f>D268</f>
        <v>-105000</v>
      </c>
      <c r="F268" s="54">
        <f>C268-F271</f>
        <v>-118571.42857142858</v>
      </c>
      <c r="G268" s="54">
        <f>F268-G271</f>
        <v>-143452.38095238095</v>
      </c>
      <c r="H268" s="54">
        <f>G268-H271</f>
        <v>-159285.71428571429</v>
      </c>
      <c r="I268" s="1">
        <v>0</v>
      </c>
    </row>
    <row r="269" spans="1:9" x14ac:dyDescent="0.2">
      <c r="A269" s="1" t="s">
        <v>341</v>
      </c>
      <c r="B269" s="1">
        <f t="shared" ref="B269:H269" si="2">B267+B268</f>
        <v>100000</v>
      </c>
      <c r="C269" s="1">
        <f t="shared" si="2"/>
        <v>60000</v>
      </c>
      <c r="D269" s="1">
        <f t="shared" si="2"/>
        <v>45000</v>
      </c>
      <c r="E269" s="1">
        <f t="shared" si="2"/>
        <v>115000</v>
      </c>
      <c r="F269" s="54">
        <f t="shared" si="2"/>
        <v>101428.57142857142</v>
      </c>
      <c r="G269" s="54">
        <f t="shared" si="2"/>
        <v>76547.619047619053</v>
      </c>
      <c r="H269" s="54">
        <f t="shared" si="2"/>
        <v>60714.28571428571</v>
      </c>
      <c r="I269" s="1">
        <v>0</v>
      </c>
    </row>
    <row r="271" spans="1:9" x14ac:dyDescent="0.2">
      <c r="A271" s="1" t="s">
        <v>100</v>
      </c>
      <c r="B271" s="1">
        <f>(150000-0)*5/(5*6/2)</f>
        <v>50000</v>
      </c>
      <c r="C271" s="1">
        <f>(150000-0)*4/(5*6/2)</f>
        <v>40000</v>
      </c>
      <c r="D271" s="1">
        <f>(150000-0)*3*(6/12)/(5*6/2)</f>
        <v>15000</v>
      </c>
      <c r="F271" s="54">
        <f>D271+(115000-20000)*6*(6/12)/(6*7/2)</f>
        <v>28571.428571428572</v>
      </c>
      <c r="G271" s="54">
        <f>(115000-20000)*6*(6/12)/(6*7/2)+(115000-20000)*5*(6/12)/(6*7/2)</f>
        <v>24880.952380952382</v>
      </c>
      <c r="H271" s="54">
        <f>(115000-20000)*5*(6/12)/(6*7/2)+(115000-20000)*4*(3/12)/(6*7/2)</f>
        <v>15833.333333333332</v>
      </c>
      <c r="I271" s="54">
        <f>H271</f>
        <v>15833.333333333332</v>
      </c>
    </row>
    <row r="273" spans="1:9" x14ac:dyDescent="0.2">
      <c r="A273" s="1" t="s">
        <v>302</v>
      </c>
      <c r="I273" s="54">
        <f>44000-H269</f>
        <v>-16714.28571428571</v>
      </c>
    </row>
    <row r="275" spans="1:9" x14ac:dyDescent="0.2">
      <c r="A275" s="1" t="s">
        <v>342</v>
      </c>
      <c r="D275" s="1" t="s">
        <v>343</v>
      </c>
      <c r="F275" s="23">
        <f>E269</f>
        <v>115000</v>
      </c>
    </row>
    <row r="276" spans="1:9" x14ac:dyDescent="0.2">
      <c r="D276" s="1" t="s">
        <v>344</v>
      </c>
      <c r="F276" s="1">
        <v>20000</v>
      </c>
    </row>
    <row r="277" spans="1:9" x14ac:dyDescent="0.2">
      <c r="D277" s="1" t="s">
        <v>345</v>
      </c>
      <c r="F277" s="55">
        <f>F275-F276</f>
        <v>95000</v>
      </c>
    </row>
    <row r="279" spans="1:9" x14ac:dyDescent="0.2">
      <c r="D279" s="1" t="s">
        <v>346</v>
      </c>
    </row>
    <row r="280" spans="1:9" x14ac:dyDescent="0.2">
      <c r="D280" s="1" t="s">
        <v>347</v>
      </c>
      <c r="F280" s="1">
        <v>5</v>
      </c>
    </row>
    <row r="281" spans="1:9" x14ac:dyDescent="0.2">
      <c r="D281" s="1" t="s">
        <v>348</v>
      </c>
      <c r="F281" s="1">
        <v>-2.5</v>
      </c>
      <c r="G281" s="1" t="s">
        <v>349</v>
      </c>
    </row>
    <row r="282" spans="1:9" x14ac:dyDescent="0.2">
      <c r="D282" s="1" t="s">
        <v>350</v>
      </c>
      <c r="F282" s="1">
        <v>3.5</v>
      </c>
      <c r="G282" s="1" t="s">
        <v>351</v>
      </c>
    </row>
    <row r="283" spans="1:9" x14ac:dyDescent="0.2">
      <c r="D283" s="1" t="s">
        <v>352</v>
      </c>
      <c r="F283" s="45">
        <f>SUM(F280:F282)</f>
        <v>6</v>
      </c>
    </row>
    <row r="285" spans="1:9" x14ac:dyDescent="0.2">
      <c r="D285" s="1" t="s">
        <v>353</v>
      </c>
      <c r="F285" s="1" t="s">
        <v>354</v>
      </c>
    </row>
    <row r="287" spans="1:9" x14ac:dyDescent="0.2">
      <c r="D287" s="1" t="s">
        <v>355</v>
      </c>
    </row>
    <row r="288" spans="1:9" x14ac:dyDescent="0.2">
      <c r="G288" s="1" t="s">
        <v>356</v>
      </c>
    </row>
    <row r="290" spans="2:9" x14ac:dyDescent="0.2">
      <c r="D290" s="1" t="s">
        <v>357</v>
      </c>
      <c r="F290" s="1" t="s">
        <v>358</v>
      </c>
      <c r="H290" s="1" t="s">
        <v>359</v>
      </c>
    </row>
    <row r="291" spans="2:9" x14ac:dyDescent="0.2">
      <c r="B291" s="19"/>
      <c r="C291" s="19"/>
      <c r="D291" s="19" t="s">
        <v>301</v>
      </c>
      <c r="E291" s="19"/>
      <c r="F291" s="19"/>
      <c r="G291" s="19"/>
      <c r="H291" s="19"/>
      <c r="I291" s="19"/>
    </row>
    <row r="292" spans="2:9" x14ac:dyDescent="0.2">
      <c r="C292" s="56">
        <v>45107</v>
      </c>
      <c r="D292" s="56">
        <v>44834</v>
      </c>
      <c r="E292" s="56">
        <v>44742</v>
      </c>
      <c r="F292" s="57">
        <v>44561</v>
      </c>
      <c r="G292" s="56">
        <v>44377</v>
      </c>
      <c r="H292" s="57">
        <v>44196</v>
      </c>
      <c r="I292" s="56">
        <v>44012</v>
      </c>
    </row>
    <row r="295" spans="2:9" x14ac:dyDescent="0.2">
      <c r="I295" s="1" t="s">
        <v>360</v>
      </c>
    </row>
    <row r="296" spans="2:9" x14ac:dyDescent="0.2">
      <c r="C296" s="1" t="s">
        <v>361</v>
      </c>
      <c r="F296" s="1" t="s">
        <v>362</v>
      </c>
      <c r="I296" s="1" t="s">
        <v>363</v>
      </c>
    </row>
    <row r="297" spans="2:9" x14ac:dyDescent="0.2">
      <c r="I297" s="31">
        <f>95000*6*0.5/21</f>
        <v>13571.428571428571</v>
      </c>
    </row>
    <row r="298" spans="2:9" x14ac:dyDescent="0.2">
      <c r="I298" s="1" t="s">
        <v>100</v>
      </c>
    </row>
    <row r="299" spans="2:9" x14ac:dyDescent="0.2">
      <c r="D299" s="1" t="s">
        <v>362</v>
      </c>
      <c r="I299" s="1" t="s">
        <v>364</v>
      </c>
    </row>
    <row r="300" spans="2:9" x14ac:dyDescent="0.2">
      <c r="G300" s="1" t="s">
        <v>360</v>
      </c>
      <c r="I300" s="1">
        <v>2020</v>
      </c>
    </row>
    <row r="301" spans="2:9" x14ac:dyDescent="0.2">
      <c r="D301" s="31">
        <f>95000*5*0.5/21+95000*4*0.25/21</f>
        <v>15833.333333333332</v>
      </c>
    </row>
    <row r="302" spans="2:9" x14ac:dyDescent="0.2">
      <c r="D302" s="1" t="s">
        <v>365</v>
      </c>
      <c r="G302" s="1" t="s">
        <v>363</v>
      </c>
    </row>
    <row r="303" spans="2:9" x14ac:dyDescent="0.2">
      <c r="G303" s="31">
        <f>95000*(6*6/12)/21+95000*5*0.5/21</f>
        <v>24880.952380952382</v>
      </c>
    </row>
    <row r="304" spans="2:9" x14ac:dyDescent="0.2">
      <c r="G304" s="1" t="s">
        <v>366</v>
      </c>
    </row>
    <row r="307" spans="1:8" x14ac:dyDescent="0.2">
      <c r="D307" s="2" t="s">
        <v>367</v>
      </c>
    </row>
    <row r="313" spans="1:8" x14ac:dyDescent="0.2">
      <c r="A313" s="58" t="s">
        <v>368</v>
      </c>
      <c r="B313" s="59"/>
      <c r="C313" s="59"/>
      <c r="D313" s="59"/>
      <c r="E313" s="59"/>
      <c r="F313" s="59"/>
      <c r="G313" s="59"/>
      <c r="H313" s="58" t="s">
        <v>369</v>
      </c>
    </row>
    <row r="314" spans="1:8" x14ac:dyDescent="0.2">
      <c r="H314" s="1" t="s">
        <v>370</v>
      </c>
    </row>
    <row r="315" spans="1:8" x14ac:dyDescent="0.2">
      <c r="H315" s="1" t="s">
        <v>371</v>
      </c>
    </row>
    <row r="316" spans="1:8" x14ac:dyDescent="0.2">
      <c r="H316" s="1" t="s">
        <v>372</v>
      </c>
    </row>
    <row r="317" spans="1:8" x14ac:dyDescent="0.2">
      <c r="H317" s="1" t="s">
        <v>373</v>
      </c>
    </row>
    <row r="318" spans="1:8" x14ac:dyDescent="0.2">
      <c r="H318" s="1" t="s">
        <v>374</v>
      </c>
    </row>
    <row r="319" spans="1:8" x14ac:dyDescent="0.2">
      <c r="H319" s="1" t="s">
        <v>375</v>
      </c>
    </row>
    <row r="320" spans="1:8" x14ac:dyDescent="0.2">
      <c r="H320" s="1" t="s">
        <v>376</v>
      </c>
    </row>
    <row r="321" spans="1:8" x14ac:dyDescent="0.2">
      <c r="H321" s="1" t="s">
        <v>377</v>
      </c>
    </row>
    <row r="322" spans="1:8" x14ac:dyDescent="0.2">
      <c r="H322" s="1" t="s">
        <v>378</v>
      </c>
    </row>
    <row r="323" spans="1:8" x14ac:dyDescent="0.2">
      <c r="H323" s="1" t="s">
        <v>379</v>
      </c>
    </row>
    <row r="324" spans="1:8" x14ac:dyDescent="0.2">
      <c r="H324" s="1" t="s">
        <v>380</v>
      </c>
    </row>
    <row r="325" spans="1:8" x14ac:dyDescent="0.2">
      <c r="H325" s="1" t="s">
        <v>381</v>
      </c>
    </row>
    <row r="326" spans="1:8" x14ac:dyDescent="0.2">
      <c r="H326" s="1" t="s">
        <v>382</v>
      </c>
    </row>
    <row r="328" spans="1:8" x14ac:dyDescent="0.2">
      <c r="A328" s="58" t="s">
        <v>383</v>
      </c>
      <c r="B328" s="59"/>
      <c r="C328" s="59"/>
      <c r="D328" s="59"/>
      <c r="E328" s="59"/>
      <c r="F328" s="59"/>
      <c r="G328" s="59"/>
      <c r="H328" s="59"/>
    </row>
    <row r="329" spans="1:8" x14ac:dyDescent="0.2">
      <c r="A329" s="1" t="s">
        <v>384</v>
      </c>
    </row>
    <row r="330" spans="1:8" x14ac:dyDescent="0.2">
      <c r="A330" s="1" t="s">
        <v>385</v>
      </c>
    </row>
    <row r="331" spans="1:8" x14ac:dyDescent="0.2">
      <c r="A331" s="1" t="s">
        <v>386</v>
      </c>
    </row>
    <row r="333" spans="1:8" x14ac:dyDescent="0.2">
      <c r="A333" s="3" t="s">
        <v>387</v>
      </c>
      <c r="B333" s="3"/>
      <c r="C333" s="3"/>
      <c r="D333" s="3"/>
      <c r="E333" s="3"/>
      <c r="F333" s="3"/>
      <c r="G333" s="3"/>
      <c r="H333" s="3"/>
    </row>
    <row r="334" spans="1:8" x14ac:dyDescent="0.2">
      <c r="A334" s="1" t="s">
        <v>388</v>
      </c>
    </row>
    <row r="335" spans="1:8" x14ac:dyDescent="0.2">
      <c r="A335" s="1" t="s">
        <v>389</v>
      </c>
    </row>
    <row r="336" spans="1:8" x14ac:dyDescent="0.2">
      <c r="A336" s="1" t="s">
        <v>390</v>
      </c>
    </row>
    <row r="337" spans="1:8" x14ac:dyDescent="0.2">
      <c r="A337" s="1" t="s">
        <v>391</v>
      </c>
    </row>
    <row r="338" spans="1:8" x14ac:dyDescent="0.2">
      <c r="A338" s="1" t="s">
        <v>392</v>
      </c>
    </row>
    <row r="339" spans="1:8" x14ac:dyDescent="0.2">
      <c r="A339" s="1" t="s">
        <v>393</v>
      </c>
    </row>
    <row r="341" spans="1:8" x14ac:dyDescent="0.2">
      <c r="A341" s="1" t="s">
        <v>394</v>
      </c>
    </row>
    <row r="342" spans="1:8" s="47" customFormat="1" x14ac:dyDescent="0.2"/>
    <row r="343" spans="1:8" s="47" customFormat="1" x14ac:dyDescent="0.2">
      <c r="A343" s="47" t="s">
        <v>395</v>
      </c>
    </row>
    <row r="344" spans="1:8" s="47" customFormat="1" x14ac:dyDescent="0.2">
      <c r="A344" s="47" t="s">
        <v>396</v>
      </c>
    </row>
    <row r="345" spans="1:8" s="47" customFormat="1" x14ac:dyDescent="0.2">
      <c r="A345" s="47" t="s">
        <v>397</v>
      </c>
    </row>
    <row r="346" spans="1:8" s="47" customFormat="1" x14ac:dyDescent="0.2"/>
    <row r="347" spans="1:8" s="47" customFormat="1" x14ac:dyDescent="0.2"/>
    <row r="348" spans="1:8" x14ac:dyDescent="0.2">
      <c r="A348" s="58" t="s">
        <v>398</v>
      </c>
      <c r="B348" s="58"/>
      <c r="C348" s="58"/>
      <c r="D348" s="58"/>
      <c r="E348" s="58"/>
      <c r="F348" s="58"/>
      <c r="G348" s="58"/>
      <c r="H348" s="58" t="s">
        <v>399</v>
      </c>
    </row>
    <row r="349" spans="1:8" x14ac:dyDescent="0.2">
      <c r="H349" s="1" t="s">
        <v>400</v>
      </c>
    </row>
    <row r="350" spans="1:8" x14ac:dyDescent="0.2">
      <c r="H350" s="1" t="s">
        <v>401</v>
      </c>
    </row>
    <row r="351" spans="1:8" x14ac:dyDescent="0.2">
      <c r="H351" s="1" t="s">
        <v>402</v>
      </c>
    </row>
    <row r="352" spans="1:8" x14ac:dyDescent="0.2">
      <c r="H352" s="1" t="s">
        <v>403</v>
      </c>
    </row>
    <row r="353" spans="1:8" x14ac:dyDescent="0.2">
      <c r="H353" s="1" t="s">
        <v>404</v>
      </c>
    </row>
    <row r="355" spans="1:8" x14ac:dyDescent="0.2">
      <c r="A355" s="58" t="s">
        <v>383</v>
      </c>
      <c r="B355" s="58"/>
      <c r="C355" s="58"/>
      <c r="D355" s="58"/>
      <c r="E355" s="58"/>
      <c r="F355" s="58"/>
      <c r="G355" s="58"/>
      <c r="H355" s="58"/>
    </row>
    <row r="356" spans="1:8" x14ac:dyDescent="0.2">
      <c r="A356" s="1" t="s">
        <v>405</v>
      </c>
    </row>
    <row r="357" spans="1:8" x14ac:dyDescent="0.2">
      <c r="A357" s="1" t="s">
        <v>406</v>
      </c>
    </row>
    <row r="358" spans="1:8" x14ac:dyDescent="0.2">
      <c r="A358" s="1" t="s">
        <v>407</v>
      </c>
    </row>
    <row r="362" spans="1:8" x14ac:dyDescent="0.2">
      <c r="A362" s="3" t="s">
        <v>408</v>
      </c>
      <c r="B362" s="3"/>
      <c r="C362" s="3"/>
      <c r="D362" s="3"/>
      <c r="E362" s="3"/>
      <c r="F362" s="3"/>
      <c r="G362" s="3"/>
      <c r="H362" s="3"/>
    </row>
    <row r="363" spans="1:8" x14ac:dyDescent="0.2">
      <c r="A363" s="60" t="s">
        <v>409</v>
      </c>
      <c r="B363" s="60"/>
      <c r="C363" s="60"/>
      <c r="D363" s="60"/>
      <c r="E363" s="60"/>
      <c r="F363" s="60"/>
      <c r="G363" s="60"/>
      <c r="H363" s="60"/>
    </row>
    <row r="364" spans="1:8" x14ac:dyDescent="0.2">
      <c r="A364" s="60" t="s">
        <v>410</v>
      </c>
      <c r="B364" s="60"/>
      <c r="C364" s="60"/>
      <c r="D364" s="60"/>
      <c r="E364" s="60"/>
      <c r="F364" s="60"/>
      <c r="G364" s="60"/>
      <c r="H364" s="60"/>
    </row>
    <row r="365" spans="1:8" x14ac:dyDescent="0.2">
      <c r="A365" s="60" t="s">
        <v>411</v>
      </c>
      <c r="B365" s="60"/>
      <c r="C365" s="60"/>
      <c r="D365" s="60"/>
      <c r="E365" s="60"/>
      <c r="F365" s="60"/>
      <c r="G365" s="60"/>
      <c r="H365" s="60"/>
    </row>
    <row r="366" spans="1:8" x14ac:dyDescent="0.2">
      <c r="A366" s="60"/>
      <c r="B366" s="60"/>
      <c r="C366" s="60"/>
      <c r="D366" s="60"/>
      <c r="E366" s="60"/>
      <c r="F366" s="60"/>
      <c r="G366" s="60"/>
      <c r="H366" s="60"/>
    </row>
    <row r="367" spans="1:8" x14ac:dyDescent="0.2">
      <c r="A367" s="61" t="s">
        <v>412</v>
      </c>
      <c r="B367" s="60"/>
      <c r="C367" s="60"/>
      <c r="D367" s="60"/>
      <c r="E367" s="60"/>
      <c r="F367" s="60"/>
      <c r="G367" s="60"/>
      <c r="H367" s="60"/>
    </row>
    <row r="368" spans="1:8" x14ac:dyDescent="0.2">
      <c r="A368" s="60" t="s">
        <v>413</v>
      </c>
      <c r="B368" s="60"/>
      <c r="C368" s="60"/>
      <c r="D368" s="60"/>
      <c r="E368" s="60"/>
      <c r="F368" s="60"/>
      <c r="G368" s="60"/>
      <c r="H368" s="60"/>
    </row>
    <row r="369" spans="1:8" x14ac:dyDescent="0.2">
      <c r="A369" s="60" t="s">
        <v>414</v>
      </c>
      <c r="B369" s="60"/>
      <c r="C369" s="60"/>
      <c r="D369" s="60"/>
      <c r="E369" s="60"/>
      <c r="F369" s="60"/>
      <c r="G369" s="60"/>
      <c r="H369" s="60"/>
    </row>
    <row r="370" spans="1:8" x14ac:dyDescent="0.2">
      <c r="A370" s="60" t="s">
        <v>415</v>
      </c>
      <c r="B370" s="60"/>
      <c r="C370" s="60"/>
      <c r="D370" s="60"/>
      <c r="E370" s="60"/>
      <c r="F370" s="60"/>
      <c r="G370" s="60"/>
      <c r="H370" s="60"/>
    </row>
    <row r="371" spans="1:8" x14ac:dyDescent="0.2">
      <c r="A371" s="60" t="s">
        <v>416</v>
      </c>
      <c r="B371" s="60"/>
      <c r="C371" s="60"/>
      <c r="D371" s="60"/>
      <c r="E371" s="60"/>
      <c r="F371" s="60"/>
      <c r="G371" s="60"/>
      <c r="H371" s="60"/>
    </row>
    <row r="372" spans="1:8" x14ac:dyDescent="0.2">
      <c r="A372" s="60"/>
      <c r="B372" s="60"/>
      <c r="C372" s="60"/>
      <c r="D372" s="60"/>
      <c r="E372" s="60"/>
      <c r="F372" s="60"/>
      <c r="G372" s="60"/>
      <c r="H372" s="60"/>
    </row>
    <row r="373" spans="1:8" x14ac:dyDescent="0.2">
      <c r="A373" s="60" t="s">
        <v>417</v>
      </c>
      <c r="B373" s="60"/>
      <c r="C373" s="60"/>
      <c r="D373" s="60"/>
      <c r="E373" s="60"/>
      <c r="F373" s="60"/>
      <c r="G373" s="60"/>
      <c r="H373" s="60"/>
    </row>
    <row r="374" spans="1:8" x14ac:dyDescent="0.2">
      <c r="A374" s="60" t="s">
        <v>418</v>
      </c>
      <c r="B374" s="60"/>
      <c r="C374" s="60"/>
      <c r="D374" s="60"/>
      <c r="E374" s="60"/>
      <c r="F374" s="60"/>
      <c r="G374" s="60"/>
      <c r="H374" s="60"/>
    </row>
    <row r="375" spans="1:8" ht="17" thickBot="1" x14ac:dyDescent="0.25">
      <c r="A375" s="60"/>
      <c r="B375" s="60"/>
      <c r="C375" s="60"/>
      <c r="D375" s="60"/>
      <c r="E375" s="60"/>
      <c r="F375" s="60"/>
      <c r="G375" s="60"/>
      <c r="H375" s="60"/>
    </row>
    <row r="376" spans="1:8" s="2" customFormat="1" x14ac:dyDescent="0.2">
      <c r="A376" s="62" t="s">
        <v>419</v>
      </c>
      <c r="B376" s="63"/>
      <c r="C376" s="63"/>
      <c r="D376" s="63"/>
      <c r="E376" s="63"/>
      <c r="F376" s="63"/>
      <c r="G376" s="63"/>
      <c r="H376" s="64"/>
    </row>
    <row r="377" spans="1:8" s="2" customFormat="1" ht="17" thickBot="1" x14ac:dyDescent="0.25">
      <c r="A377" s="65" t="s">
        <v>420</v>
      </c>
      <c r="B377" s="66"/>
      <c r="C377" s="66"/>
      <c r="D377" s="66"/>
      <c r="E377" s="66"/>
      <c r="F377" s="66"/>
      <c r="G377" s="66"/>
      <c r="H377" s="67"/>
    </row>
    <row r="381" spans="1:8" x14ac:dyDescent="0.2">
      <c r="A381" s="58" t="s">
        <v>398</v>
      </c>
      <c r="B381" s="58"/>
      <c r="C381" s="58"/>
      <c r="D381" s="58"/>
      <c r="E381" s="58"/>
      <c r="F381" s="58"/>
      <c r="G381" s="58"/>
      <c r="H381" s="58" t="s">
        <v>421</v>
      </c>
    </row>
    <row r="382" spans="1:8" x14ac:dyDescent="0.2">
      <c r="H382" s="1" t="s">
        <v>422</v>
      </c>
    </row>
    <row r="383" spans="1:8" x14ac:dyDescent="0.2">
      <c r="H383" s="1" t="s">
        <v>423</v>
      </c>
    </row>
    <row r="384" spans="1:8" x14ac:dyDescent="0.2">
      <c r="H384" s="1" t="s">
        <v>424</v>
      </c>
    </row>
    <row r="385" spans="1:8" x14ac:dyDescent="0.2">
      <c r="H385" s="1" t="s">
        <v>425</v>
      </c>
    </row>
    <row r="386" spans="1:8" x14ac:dyDescent="0.2">
      <c r="H386" s="1" t="s">
        <v>426</v>
      </c>
    </row>
    <row r="387" spans="1:8" x14ac:dyDescent="0.2">
      <c r="H387" s="1" t="s">
        <v>427</v>
      </c>
    </row>
    <row r="388" spans="1:8" x14ac:dyDescent="0.2">
      <c r="H388" s="1" t="s">
        <v>428</v>
      </c>
    </row>
    <row r="389" spans="1:8" x14ac:dyDescent="0.2">
      <c r="H389" s="1" t="s">
        <v>429</v>
      </c>
    </row>
    <row r="390" spans="1:8" x14ac:dyDescent="0.2">
      <c r="H390" s="1" t="s">
        <v>430</v>
      </c>
    </row>
    <row r="392" spans="1:8" x14ac:dyDescent="0.2">
      <c r="A392" s="58" t="s">
        <v>383</v>
      </c>
      <c r="B392" s="58"/>
      <c r="C392" s="58"/>
      <c r="D392" s="58"/>
      <c r="E392" s="58"/>
      <c r="F392" s="58"/>
      <c r="G392" s="58"/>
      <c r="H392" s="58"/>
    </row>
    <row r="393" spans="1:8" x14ac:dyDescent="0.2">
      <c r="A393" s="1" t="s">
        <v>431</v>
      </c>
    </row>
    <row r="394" spans="1:8" x14ac:dyDescent="0.2">
      <c r="A394" s="1" t="s">
        <v>432</v>
      </c>
    </row>
    <row r="395" spans="1:8" x14ac:dyDescent="0.2">
      <c r="A395" s="1" t="s">
        <v>433</v>
      </c>
    </row>
    <row r="396" spans="1:8" x14ac:dyDescent="0.2">
      <c r="A396" s="1" t="s">
        <v>434</v>
      </c>
    </row>
    <row r="397" spans="1:8" x14ac:dyDescent="0.2">
      <c r="A397" s="1" t="s">
        <v>435</v>
      </c>
    </row>
    <row r="399" spans="1:8" x14ac:dyDescent="0.2">
      <c r="A399" s="3" t="s">
        <v>436</v>
      </c>
      <c r="B399" s="3"/>
      <c r="C399" s="3"/>
      <c r="D399" s="3"/>
      <c r="E399" s="3"/>
      <c r="F399" s="3"/>
      <c r="G399" s="3"/>
      <c r="H399" s="3"/>
    </row>
    <row r="400" spans="1:8" x14ac:dyDescent="0.2">
      <c r="A400" s="1" t="s">
        <v>437</v>
      </c>
    </row>
    <row r="401" spans="1:7" x14ac:dyDescent="0.2">
      <c r="A401" s="1" t="s">
        <v>438</v>
      </c>
    </row>
    <row r="403" spans="1:7" x14ac:dyDescent="0.2">
      <c r="A403" s="2" t="s">
        <v>433</v>
      </c>
    </row>
    <row r="404" spans="1:7" x14ac:dyDescent="0.2">
      <c r="A404" s="1" t="s">
        <v>439</v>
      </c>
    </row>
    <row r="405" spans="1:7" x14ac:dyDescent="0.2">
      <c r="A405" s="1" t="s">
        <v>440</v>
      </c>
    </row>
    <row r="406" spans="1:7" x14ac:dyDescent="0.2">
      <c r="A406" s="1" t="s">
        <v>441</v>
      </c>
    </row>
    <row r="408" spans="1:7" x14ac:dyDescent="0.2">
      <c r="C408" s="1" t="s">
        <v>442</v>
      </c>
    </row>
    <row r="409" spans="1:7" x14ac:dyDescent="0.2">
      <c r="C409" s="1" t="s">
        <v>95</v>
      </c>
      <c r="E409" s="23">
        <v>20000</v>
      </c>
    </row>
    <row r="410" spans="1:7" ht="17" thickBot="1" x14ac:dyDescent="0.25">
      <c r="C410" s="1" t="s">
        <v>443</v>
      </c>
      <c r="E410" s="1">
        <f>-E409/10*7</f>
        <v>-14000</v>
      </c>
      <c r="G410" s="1" t="s">
        <v>444</v>
      </c>
    </row>
    <row r="411" spans="1:7" ht="17" thickBot="1" x14ac:dyDescent="0.25">
      <c r="C411" s="1" t="s">
        <v>445</v>
      </c>
      <c r="E411" s="68">
        <f>E409+E410</f>
        <v>6000</v>
      </c>
    </row>
    <row r="413" spans="1:7" x14ac:dyDescent="0.2">
      <c r="A413" s="1" t="s">
        <v>446</v>
      </c>
      <c r="C413" s="1" t="s">
        <v>447</v>
      </c>
      <c r="F413" s="23">
        <f>E409</f>
        <v>20000</v>
      </c>
    </row>
    <row r="414" spans="1:7" x14ac:dyDescent="0.2">
      <c r="A414" s="1" t="s">
        <v>448</v>
      </c>
      <c r="C414" s="1" t="s">
        <v>449</v>
      </c>
      <c r="F414" s="23">
        <f>-E410</f>
        <v>14000</v>
      </c>
    </row>
    <row r="415" spans="1:7" x14ac:dyDescent="0.2">
      <c r="A415" s="1" t="s">
        <v>450</v>
      </c>
      <c r="C415" s="1" t="s">
        <v>451</v>
      </c>
      <c r="F415" s="23">
        <f>E411</f>
        <v>6000</v>
      </c>
    </row>
    <row r="416" spans="1:7" x14ac:dyDescent="0.2">
      <c r="E416" s="23"/>
    </row>
    <row r="417" spans="1:8" x14ac:dyDescent="0.2">
      <c r="A417" s="2" t="s">
        <v>434</v>
      </c>
      <c r="E417" s="23"/>
    </row>
    <row r="418" spans="1:8" x14ac:dyDescent="0.2">
      <c r="E418" s="23"/>
    </row>
    <row r="419" spans="1:8" x14ac:dyDescent="0.2">
      <c r="A419" s="2" t="s">
        <v>452</v>
      </c>
      <c r="E419" s="23"/>
    </row>
    <row r="420" spans="1:8" x14ac:dyDescent="0.2">
      <c r="C420" s="1" t="s">
        <v>453</v>
      </c>
      <c r="E420" s="23">
        <v>18000</v>
      </c>
    </row>
    <row r="421" spans="1:8" x14ac:dyDescent="0.2">
      <c r="C421" s="1" t="s">
        <v>454</v>
      </c>
      <c r="E421" s="23">
        <f>E420</f>
        <v>18000</v>
      </c>
    </row>
    <row r="426" spans="1:8" x14ac:dyDescent="0.2">
      <c r="A426" s="58" t="s">
        <v>455</v>
      </c>
      <c r="B426" s="59"/>
      <c r="C426" s="59"/>
      <c r="D426" s="59"/>
      <c r="E426" s="59"/>
      <c r="F426" s="59"/>
      <c r="G426" s="59"/>
      <c r="H426" s="58" t="s">
        <v>456</v>
      </c>
    </row>
    <row r="427" spans="1:8" x14ac:dyDescent="0.2">
      <c r="H427" s="1" t="s">
        <v>457</v>
      </c>
    </row>
    <row r="428" spans="1:8" x14ac:dyDescent="0.2">
      <c r="H428" s="1" t="s">
        <v>458</v>
      </c>
    </row>
    <row r="429" spans="1:8" x14ac:dyDescent="0.2">
      <c r="H429" s="1" t="s">
        <v>459</v>
      </c>
    </row>
    <row r="430" spans="1:8" x14ac:dyDescent="0.2">
      <c r="H430" s="1" t="s">
        <v>460</v>
      </c>
    </row>
    <row r="431" spans="1:8" x14ac:dyDescent="0.2">
      <c r="H431" s="1" t="s">
        <v>461</v>
      </c>
    </row>
    <row r="432" spans="1:8" x14ac:dyDescent="0.2">
      <c r="H432" s="1" t="s">
        <v>462</v>
      </c>
    </row>
    <row r="433" spans="1:8" x14ac:dyDescent="0.2">
      <c r="H433" s="1" t="s">
        <v>463</v>
      </c>
    </row>
    <row r="434" spans="1:8" x14ac:dyDescent="0.2">
      <c r="H434" s="1" t="s">
        <v>464</v>
      </c>
    </row>
    <row r="435" spans="1:8" x14ac:dyDescent="0.2">
      <c r="H435" s="1" t="s">
        <v>465</v>
      </c>
    </row>
    <row r="436" spans="1:8" x14ac:dyDescent="0.2">
      <c r="H436" s="1" t="s">
        <v>466</v>
      </c>
    </row>
    <row r="437" spans="1:8" x14ac:dyDescent="0.2">
      <c r="H437" s="1" t="s">
        <v>467</v>
      </c>
    </row>
    <row r="438" spans="1:8" x14ac:dyDescent="0.2">
      <c r="H438" s="1" t="s">
        <v>468</v>
      </c>
    </row>
    <row r="439" spans="1:8" x14ac:dyDescent="0.2">
      <c r="H439" s="1" t="s">
        <v>469</v>
      </c>
    </row>
    <row r="440" spans="1:8" x14ac:dyDescent="0.2">
      <c r="H440" s="1" t="s">
        <v>470</v>
      </c>
    </row>
    <row r="441" spans="1:8" x14ac:dyDescent="0.2">
      <c r="H441" s="1" t="s">
        <v>471</v>
      </c>
    </row>
    <row r="442" spans="1:8" x14ac:dyDescent="0.2">
      <c r="H442" s="1" t="s">
        <v>472</v>
      </c>
    </row>
    <row r="443" spans="1:8" x14ac:dyDescent="0.2">
      <c r="H443" s="1" t="s">
        <v>473</v>
      </c>
    </row>
    <row r="444" spans="1:8" x14ac:dyDescent="0.2">
      <c r="H444" s="1" t="s">
        <v>474</v>
      </c>
    </row>
    <row r="445" spans="1:8" x14ac:dyDescent="0.2">
      <c r="H445" s="1" t="s">
        <v>475</v>
      </c>
    </row>
    <row r="447" spans="1:8" x14ac:dyDescent="0.2">
      <c r="A447" s="58" t="s">
        <v>383</v>
      </c>
      <c r="B447" s="58"/>
      <c r="C447" s="58"/>
      <c r="D447" s="58"/>
      <c r="E447" s="58"/>
      <c r="F447" s="58"/>
      <c r="G447" s="58"/>
      <c r="H447" s="58"/>
    </row>
    <row r="448" spans="1:8" x14ac:dyDescent="0.2">
      <c r="A448" s="1" t="s">
        <v>476</v>
      </c>
    </row>
    <row r="449" spans="1:8" x14ac:dyDescent="0.2">
      <c r="A449" s="1" t="s">
        <v>477</v>
      </c>
    </row>
    <row r="450" spans="1:8" x14ac:dyDescent="0.2">
      <c r="A450" s="1" t="s">
        <v>478</v>
      </c>
    </row>
    <row r="451" spans="1:8" x14ac:dyDescent="0.2">
      <c r="A451" s="1" t="s">
        <v>479</v>
      </c>
    </row>
    <row r="452" spans="1:8" x14ac:dyDescent="0.2">
      <c r="A452" s="1" t="s">
        <v>480</v>
      </c>
    </row>
    <row r="454" spans="1:8" x14ac:dyDescent="0.2">
      <c r="A454" s="3" t="s">
        <v>481</v>
      </c>
      <c r="B454" s="3" t="s">
        <v>482</v>
      </c>
      <c r="C454" s="3"/>
      <c r="D454" s="3"/>
      <c r="E454" s="3"/>
      <c r="F454" s="3"/>
      <c r="G454" s="3"/>
      <c r="H454" s="3"/>
    </row>
    <row r="455" spans="1:8" x14ac:dyDescent="0.2">
      <c r="A455" s="1" t="s">
        <v>483</v>
      </c>
    </row>
    <row r="457" spans="1:8" x14ac:dyDescent="0.2">
      <c r="A457" s="2" t="s">
        <v>412</v>
      </c>
    </row>
    <row r="458" spans="1:8" x14ac:dyDescent="0.2">
      <c r="A458" s="1" t="s">
        <v>484</v>
      </c>
    </row>
    <row r="459" spans="1:8" x14ac:dyDescent="0.2">
      <c r="A459" s="1" t="s">
        <v>485</v>
      </c>
    </row>
  </sheetData>
  <mergeCells count="2">
    <mergeCell ref="B217:D217"/>
    <mergeCell ref="F217:H2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FFD9-3AE9-2244-9393-781FB9F359E8}">
  <dimension ref="A1:I250"/>
  <sheetViews>
    <sheetView rightToLeft="1" topLeftCell="A245" zoomScale="206" workbookViewId="0">
      <selection activeCell="B253" sqref="B253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70" t="s">
        <v>486</v>
      </c>
      <c r="B1" s="70"/>
      <c r="C1" s="70"/>
      <c r="D1" s="70"/>
      <c r="E1" s="70"/>
      <c r="F1" s="70"/>
      <c r="G1" s="70"/>
      <c r="H1" s="70"/>
    </row>
    <row r="2" spans="1:8" x14ac:dyDescent="0.2">
      <c r="A2" s="70"/>
      <c r="B2" s="70"/>
      <c r="C2" s="70"/>
      <c r="D2" s="70"/>
      <c r="E2" s="70"/>
      <c r="F2" s="70"/>
      <c r="G2" s="70"/>
      <c r="H2" s="71">
        <v>45743</v>
      </c>
    </row>
    <row r="15" spans="1:8" x14ac:dyDescent="0.2">
      <c r="A15" s="1" t="s">
        <v>487</v>
      </c>
    </row>
    <row r="16" spans="1:8" x14ac:dyDescent="0.2">
      <c r="A16" s="1" t="s">
        <v>488</v>
      </c>
    </row>
    <row r="17" spans="1:8" x14ac:dyDescent="0.2">
      <c r="A17" s="1" t="s">
        <v>489</v>
      </c>
    </row>
    <row r="18" spans="1:8" x14ac:dyDescent="0.2">
      <c r="A18" s="1" t="s">
        <v>490</v>
      </c>
    </row>
    <row r="19" spans="1:8" x14ac:dyDescent="0.2">
      <c r="A19" s="1" t="s">
        <v>491</v>
      </c>
    </row>
    <row r="21" spans="1:8" x14ac:dyDescent="0.2">
      <c r="A21" s="72" t="s">
        <v>492</v>
      </c>
      <c r="B21" s="72"/>
      <c r="C21" s="72"/>
      <c r="D21" s="72"/>
      <c r="E21" s="72"/>
      <c r="F21" s="72"/>
      <c r="G21" s="72"/>
      <c r="H21" s="72"/>
    </row>
    <row r="22" spans="1:8" x14ac:dyDescent="0.2">
      <c r="A22" s="1" t="s">
        <v>493</v>
      </c>
    </row>
    <row r="23" spans="1:8" x14ac:dyDescent="0.2">
      <c r="A23" s="1" t="s">
        <v>494</v>
      </c>
    </row>
    <row r="24" spans="1:8" x14ac:dyDescent="0.2">
      <c r="A24" s="1" t="s">
        <v>495</v>
      </c>
    </row>
    <row r="25" spans="1:8" x14ac:dyDescent="0.2">
      <c r="A25" s="1" t="s">
        <v>496</v>
      </c>
    </row>
    <row r="27" spans="1:8" x14ac:dyDescent="0.2">
      <c r="B27" s="1" t="s">
        <v>497</v>
      </c>
      <c r="D27" s="1" t="s">
        <v>501</v>
      </c>
      <c r="E27" s="1" t="s">
        <v>502</v>
      </c>
    </row>
    <row r="28" spans="1:8" x14ac:dyDescent="0.2">
      <c r="B28" s="1" t="s">
        <v>498</v>
      </c>
      <c r="D28" s="23">
        <v>250000</v>
      </c>
      <c r="E28" s="1">
        <v>10</v>
      </c>
      <c r="F28" s="1" t="s">
        <v>505</v>
      </c>
    </row>
    <row r="29" spans="1:8" x14ac:dyDescent="0.2">
      <c r="B29" s="1" t="s">
        <v>499</v>
      </c>
      <c r="D29" s="23">
        <v>200000</v>
      </c>
      <c r="E29" s="1">
        <v>5</v>
      </c>
      <c r="F29" s="1" t="s">
        <v>505</v>
      </c>
    </row>
    <row r="30" spans="1:8" x14ac:dyDescent="0.2">
      <c r="B30" s="1" t="s">
        <v>500</v>
      </c>
      <c r="D30" s="23">
        <v>1550000</v>
      </c>
      <c r="E30" s="1">
        <v>20</v>
      </c>
      <c r="F30" s="1" t="s">
        <v>505</v>
      </c>
    </row>
    <row r="32" spans="1:8" x14ac:dyDescent="0.2">
      <c r="A32" s="1" t="s">
        <v>503</v>
      </c>
    </row>
    <row r="34" spans="1:4" x14ac:dyDescent="0.2">
      <c r="A34" s="1" t="s">
        <v>504</v>
      </c>
    </row>
    <row r="36" spans="1:4" x14ac:dyDescent="0.2">
      <c r="A36" s="1" t="s">
        <v>506</v>
      </c>
    </row>
    <row r="38" spans="1:4" x14ac:dyDescent="0.2">
      <c r="C38" s="49">
        <v>44196</v>
      </c>
      <c r="D38" s="49">
        <v>44561</v>
      </c>
    </row>
    <row r="39" spans="1:4" x14ac:dyDescent="0.2">
      <c r="B39" s="1" t="s">
        <v>95</v>
      </c>
      <c r="C39" s="73">
        <v>2000000</v>
      </c>
      <c r="D39" s="73">
        <v>2000000</v>
      </c>
    </row>
    <row r="40" spans="1:4" x14ac:dyDescent="0.2">
      <c r="B40" s="1" t="s">
        <v>96</v>
      </c>
      <c r="C40" s="73">
        <f>C43</f>
        <v>142500</v>
      </c>
      <c r="D40" s="73">
        <f>C40+D43</f>
        <v>285000</v>
      </c>
    </row>
    <row r="41" spans="1:4" x14ac:dyDescent="0.2">
      <c r="B41" s="1" t="s">
        <v>99</v>
      </c>
      <c r="C41" s="74">
        <f>C39-C40</f>
        <v>1857500</v>
      </c>
      <c r="D41" s="74">
        <f>D39-D40</f>
        <v>1715000</v>
      </c>
    </row>
    <row r="42" spans="1:4" x14ac:dyDescent="0.2">
      <c r="C42" s="73"/>
      <c r="D42" s="73"/>
    </row>
    <row r="43" spans="1:4" x14ac:dyDescent="0.2">
      <c r="B43" s="1" t="s">
        <v>100</v>
      </c>
      <c r="C43" s="73">
        <f>D28/E28+D29/E29+D30/E30</f>
        <v>142500</v>
      </c>
      <c r="D43" s="73">
        <f>C43</f>
        <v>142500</v>
      </c>
    </row>
    <row r="54" spans="1:8" x14ac:dyDescent="0.2">
      <c r="A54" s="1" t="s">
        <v>507</v>
      </c>
    </row>
    <row r="55" spans="1:8" x14ac:dyDescent="0.2">
      <c r="A55" s="1" t="s">
        <v>508</v>
      </c>
    </row>
    <row r="56" spans="1:8" x14ac:dyDescent="0.2">
      <c r="A56" s="1" t="s">
        <v>509</v>
      </c>
    </row>
    <row r="57" spans="1:8" x14ac:dyDescent="0.2">
      <c r="A57" s="1" t="s">
        <v>510</v>
      </c>
    </row>
    <row r="58" spans="1:8" x14ac:dyDescent="0.2">
      <c r="A58" s="1" t="s">
        <v>511</v>
      </c>
    </row>
    <row r="60" spans="1:8" x14ac:dyDescent="0.2">
      <c r="A60" s="75" t="s">
        <v>512</v>
      </c>
      <c r="B60" s="75"/>
      <c r="C60" s="75"/>
      <c r="D60" s="75"/>
      <c r="E60" s="75"/>
      <c r="F60" s="75"/>
      <c r="G60" s="75"/>
      <c r="H60" s="75"/>
    </row>
    <row r="62" spans="1:8" x14ac:dyDescent="0.2">
      <c r="A62" s="1" t="s">
        <v>513</v>
      </c>
    </row>
    <row r="63" spans="1:8" x14ac:dyDescent="0.2">
      <c r="A63" s="1" t="s">
        <v>514</v>
      </c>
    </row>
    <row r="64" spans="1:8" x14ac:dyDescent="0.2">
      <c r="A64" s="1" t="s">
        <v>515</v>
      </c>
    </row>
    <row r="65" spans="1:8" x14ac:dyDescent="0.2">
      <c r="A65" s="1" t="s">
        <v>516</v>
      </c>
    </row>
    <row r="66" spans="1:8" x14ac:dyDescent="0.2">
      <c r="A66" s="1" t="s">
        <v>520</v>
      </c>
    </row>
    <row r="67" spans="1:8" x14ac:dyDescent="0.2">
      <c r="A67" s="1" t="s">
        <v>517</v>
      </c>
    </row>
    <row r="69" spans="1:8" x14ac:dyDescent="0.2">
      <c r="A69" s="1" t="s">
        <v>518</v>
      </c>
    </row>
    <row r="70" spans="1:8" x14ac:dyDescent="0.2">
      <c r="A70" s="1" t="s">
        <v>519</v>
      </c>
    </row>
    <row r="71" spans="1:8" x14ac:dyDescent="0.2">
      <c r="E71" s="56">
        <v>44927</v>
      </c>
      <c r="F71" s="56">
        <v>44927</v>
      </c>
    </row>
    <row r="72" spans="1:8" x14ac:dyDescent="0.2">
      <c r="E72" s="19" t="s">
        <v>296</v>
      </c>
      <c r="F72" s="19" t="s">
        <v>296</v>
      </c>
    </row>
    <row r="73" spans="1:8" x14ac:dyDescent="0.2">
      <c r="E73" s="19" t="s">
        <v>533</v>
      </c>
      <c r="F73" s="19" t="s">
        <v>535</v>
      </c>
    </row>
    <row r="74" spans="1:8" x14ac:dyDescent="0.2">
      <c r="B74" s="36">
        <v>44196</v>
      </c>
      <c r="C74" s="36">
        <v>44561</v>
      </c>
      <c r="D74" s="36">
        <v>44926</v>
      </c>
      <c r="E74" s="40" t="s">
        <v>497</v>
      </c>
      <c r="F74" s="40" t="s">
        <v>536</v>
      </c>
      <c r="G74" s="36">
        <v>45291</v>
      </c>
      <c r="H74" s="36">
        <v>45657</v>
      </c>
    </row>
    <row r="75" spans="1:8" x14ac:dyDescent="0.2">
      <c r="A75" s="1" t="s">
        <v>95</v>
      </c>
      <c r="B75" s="38">
        <v>500000</v>
      </c>
      <c r="C75" s="38">
        <v>500000</v>
      </c>
      <c r="D75" s="38">
        <v>500000</v>
      </c>
      <c r="E75" s="38">
        <f>D75-150000</f>
        <v>350000</v>
      </c>
      <c r="F75" s="38">
        <f>E75+150000</f>
        <v>500000</v>
      </c>
      <c r="G75" s="38">
        <f>F75</f>
        <v>500000</v>
      </c>
      <c r="H75" s="38">
        <f>G75</f>
        <v>500000</v>
      </c>
    </row>
    <row r="76" spans="1:8" x14ac:dyDescent="0.2">
      <c r="A76" s="1" t="s">
        <v>96</v>
      </c>
      <c r="B76" s="38">
        <f>B79</f>
        <v>100000</v>
      </c>
      <c r="C76" s="38">
        <f>B76+C79</f>
        <v>200000</v>
      </c>
      <c r="D76" s="38">
        <f>C76+D79</f>
        <v>300000</v>
      </c>
      <c r="E76" s="38">
        <f>D76-90000</f>
        <v>210000</v>
      </c>
      <c r="F76" s="38">
        <f>E76</f>
        <v>210000</v>
      </c>
      <c r="G76" s="38">
        <f>F76+G79</f>
        <v>355000</v>
      </c>
      <c r="H76" s="38">
        <f>G76+H79</f>
        <v>500000</v>
      </c>
    </row>
    <row r="77" spans="1:8" x14ac:dyDescent="0.2">
      <c r="A77" s="1" t="s">
        <v>99</v>
      </c>
      <c r="B77" s="39">
        <f t="shared" ref="B77:H77" si="0">B75-B76</f>
        <v>400000</v>
      </c>
      <c r="C77" s="39">
        <f t="shared" si="0"/>
        <v>300000</v>
      </c>
      <c r="D77" s="39">
        <f t="shared" si="0"/>
        <v>200000</v>
      </c>
      <c r="E77" s="39">
        <f t="shared" si="0"/>
        <v>140000</v>
      </c>
      <c r="F77" s="39">
        <f t="shared" si="0"/>
        <v>290000</v>
      </c>
      <c r="G77" s="39">
        <f t="shared" si="0"/>
        <v>145000</v>
      </c>
      <c r="H77" s="39">
        <f t="shared" si="0"/>
        <v>0</v>
      </c>
    </row>
    <row r="78" spans="1:8" x14ac:dyDescent="0.2">
      <c r="B78" s="38"/>
      <c r="C78" s="38"/>
      <c r="D78" s="38"/>
      <c r="E78" s="19"/>
      <c r="F78" s="19"/>
      <c r="G78" s="19"/>
      <c r="H78" s="19"/>
    </row>
    <row r="79" spans="1:8" x14ac:dyDescent="0.2">
      <c r="A79" s="1" t="s">
        <v>100</v>
      </c>
      <c r="B79" s="38">
        <f>B75/5</f>
        <v>100000</v>
      </c>
      <c r="C79" s="38">
        <f>C75/5</f>
        <v>100000</v>
      </c>
      <c r="D79" s="38">
        <f>D75/5</f>
        <v>100000</v>
      </c>
      <c r="E79" s="19"/>
      <c r="F79" s="19"/>
      <c r="G79" s="19">
        <f>F77/2</f>
        <v>145000</v>
      </c>
      <c r="H79" s="19">
        <f>G79</f>
        <v>145000</v>
      </c>
    </row>
    <row r="80" spans="1:8" x14ac:dyDescent="0.2">
      <c r="B80" s="38"/>
      <c r="C80" s="38"/>
      <c r="D80" s="38"/>
      <c r="E80" s="19"/>
      <c r="F80" s="19"/>
      <c r="G80" s="19"/>
      <c r="H80" s="19"/>
    </row>
    <row r="81" spans="1:8" x14ac:dyDescent="0.2">
      <c r="A81" s="1" t="s">
        <v>534</v>
      </c>
      <c r="B81" s="38"/>
      <c r="C81" s="38"/>
      <c r="D81" s="38"/>
      <c r="E81" s="101">
        <f>F95</f>
        <v>60000</v>
      </c>
      <c r="F81" s="101"/>
      <c r="G81" s="38">
        <f>E81</f>
        <v>60000</v>
      </c>
      <c r="H81" s="19"/>
    </row>
    <row r="83" spans="1:8" x14ac:dyDescent="0.2">
      <c r="A83" s="1" t="s">
        <v>521</v>
      </c>
    </row>
    <row r="84" spans="1:8" x14ac:dyDescent="0.2">
      <c r="B84" s="1" t="s">
        <v>522</v>
      </c>
    </row>
    <row r="85" spans="1:8" x14ac:dyDescent="0.2">
      <c r="B85" s="1" t="s">
        <v>523</v>
      </c>
    </row>
    <row r="87" spans="1:8" x14ac:dyDescent="0.2">
      <c r="A87" s="1" t="s">
        <v>524</v>
      </c>
    </row>
    <row r="88" spans="1:8" x14ac:dyDescent="0.2">
      <c r="B88" s="1" t="s">
        <v>525</v>
      </c>
    </row>
    <row r="89" spans="1:8" x14ac:dyDescent="0.2">
      <c r="B89" s="1" t="s">
        <v>526</v>
      </c>
    </row>
    <row r="90" spans="1:8" x14ac:dyDescent="0.2">
      <c r="B90" s="1" t="s">
        <v>527</v>
      </c>
    </row>
    <row r="91" spans="1:8" x14ac:dyDescent="0.2">
      <c r="B91" s="1" t="s">
        <v>528</v>
      </c>
    </row>
    <row r="93" spans="1:8" x14ac:dyDescent="0.2">
      <c r="C93" s="1" t="s">
        <v>529</v>
      </c>
      <c r="F93" s="23">
        <v>150000</v>
      </c>
    </row>
    <row r="94" spans="1:8" x14ac:dyDescent="0.2">
      <c r="C94" s="1" t="s">
        <v>530</v>
      </c>
      <c r="F94" s="23">
        <v>90000</v>
      </c>
      <c r="H94" s="1" t="s">
        <v>531</v>
      </c>
    </row>
    <row r="95" spans="1:8" x14ac:dyDescent="0.2">
      <c r="C95" s="1" t="s">
        <v>532</v>
      </c>
      <c r="F95" s="23">
        <f>F93-F94</f>
        <v>60000</v>
      </c>
    </row>
    <row r="97" spans="1:8" x14ac:dyDescent="0.2">
      <c r="A97" s="75" t="s">
        <v>537</v>
      </c>
      <c r="B97" s="75"/>
      <c r="C97" s="75"/>
      <c r="D97" s="75"/>
      <c r="E97" s="75"/>
      <c r="F97" s="75"/>
      <c r="G97" s="75"/>
      <c r="H97" s="75"/>
    </row>
    <row r="99" spans="1:8" x14ac:dyDescent="0.2">
      <c r="A99" s="1" t="s">
        <v>538</v>
      </c>
    </row>
    <row r="100" spans="1:8" x14ac:dyDescent="0.2">
      <c r="A100" s="1" t="s">
        <v>539</v>
      </c>
    </row>
    <row r="101" spans="1:8" x14ac:dyDescent="0.2">
      <c r="A101" s="1" t="s">
        <v>540</v>
      </c>
    </row>
    <row r="102" spans="1:8" x14ac:dyDescent="0.2">
      <c r="A102" s="1" t="s">
        <v>541</v>
      </c>
    </row>
    <row r="103" spans="1:8" x14ac:dyDescent="0.2">
      <c r="A103" s="1" t="s">
        <v>542</v>
      </c>
    </row>
    <row r="104" spans="1:8" x14ac:dyDescent="0.2">
      <c r="A104" s="1" t="s">
        <v>543</v>
      </c>
    </row>
    <row r="105" spans="1:8" x14ac:dyDescent="0.2">
      <c r="A105" s="1" t="s">
        <v>544</v>
      </c>
    </row>
    <row r="106" spans="1:8" x14ac:dyDescent="0.2">
      <c r="A106" s="1" t="s">
        <v>545</v>
      </c>
    </row>
    <row r="108" spans="1:8" x14ac:dyDescent="0.2">
      <c r="A108" s="1" t="s">
        <v>546</v>
      </c>
    </row>
    <row r="110" spans="1:8" x14ac:dyDescent="0.2">
      <c r="C110" s="19"/>
      <c r="D110" s="19" t="s">
        <v>549</v>
      </c>
      <c r="E110" s="19" t="s">
        <v>550</v>
      </c>
      <c r="F110" s="19"/>
    </row>
    <row r="111" spans="1:8" x14ac:dyDescent="0.2">
      <c r="C111" s="36">
        <v>44196</v>
      </c>
      <c r="D111" s="36">
        <v>44378</v>
      </c>
      <c r="E111" s="36">
        <v>44378</v>
      </c>
      <c r="F111" s="36">
        <v>44561</v>
      </c>
      <c r="G111" s="36">
        <v>44926</v>
      </c>
    </row>
    <row r="112" spans="1:8" x14ac:dyDescent="0.2">
      <c r="B112" s="1" t="s">
        <v>95</v>
      </c>
      <c r="C112" s="21">
        <v>7200</v>
      </c>
      <c r="D112" s="21">
        <f>C112</f>
        <v>7200</v>
      </c>
      <c r="E112" s="21">
        <f>D112-G127+1000</f>
        <v>7200</v>
      </c>
      <c r="F112" s="21">
        <f>E112</f>
        <v>7200</v>
      </c>
      <c r="G112" s="21">
        <f>F112</f>
        <v>7200</v>
      </c>
    </row>
    <row r="113" spans="2:9" x14ac:dyDescent="0.2">
      <c r="B113" s="1" t="s">
        <v>96</v>
      </c>
      <c r="C113" s="21">
        <f>-C118</f>
        <v>-2400</v>
      </c>
      <c r="D113" s="21">
        <f>C113-D118</f>
        <v>-3600</v>
      </c>
      <c r="E113" s="21">
        <f>D113+G128</f>
        <v>-3100</v>
      </c>
      <c r="F113" s="21">
        <f>E113-E114/1.5*0.5</f>
        <v>-4466.666666666667</v>
      </c>
      <c r="G113" s="21">
        <f>F113-G118</f>
        <v>-7200</v>
      </c>
    </row>
    <row r="114" spans="2:9" x14ac:dyDescent="0.2">
      <c r="B114" s="1" t="s">
        <v>99</v>
      </c>
      <c r="C114" s="76">
        <f>C112+C113</f>
        <v>4800</v>
      </c>
      <c r="D114" s="76">
        <f>D112+D113</f>
        <v>3600</v>
      </c>
      <c r="E114" s="76">
        <f>E112+E113</f>
        <v>4100</v>
      </c>
      <c r="F114" s="76">
        <f>F112+F113</f>
        <v>2733.333333333333</v>
      </c>
      <c r="G114" s="76">
        <f>G112+G113</f>
        <v>0</v>
      </c>
    </row>
    <row r="115" spans="2:9" x14ac:dyDescent="0.2">
      <c r="C115" s="21"/>
      <c r="D115" s="21"/>
      <c r="E115" s="21"/>
      <c r="F115" s="21"/>
      <c r="G115" s="21"/>
    </row>
    <row r="116" spans="2:9" x14ac:dyDescent="0.2">
      <c r="B116" s="1" t="s">
        <v>547</v>
      </c>
      <c r="C116" s="21">
        <v>8000</v>
      </c>
      <c r="D116" s="21">
        <v>0</v>
      </c>
      <c r="E116" s="21">
        <v>0</v>
      </c>
      <c r="F116" s="21">
        <v>0</v>
      </c>
      <c r="G116" s="21"/>
    </row>
    <row r="117" spans="2:9" x14ac:dyDescent="0.2">
      <c r="C117" s="21"/>
      <c r="D117" s="21"/>
      <c r="E117" s="21"/>
      <c r="F117" s="21"/>
      <c r="G117" s="21"/>
    </row>
    <row r="118" spans="2:9" x14ac:dyDescent="0.2">
      <c r="B118" s="1" t="s">
        <v>100</v>
      </c>
      <c r="C118" s="21">
        <f>C112/3</f>
        <v>2400</v>
      </c>
      <c r="D118" s="102">
        <f>C118/2</f>
        <v>1200</v>
      </c>
      <c r="E118" s="102"/>
      <c r="F118" s="21">
        <f>D118+E114/1.5*(6/12)</f>
        <v>2566.666666666667</v>
      </c>
      <c r="G118" s="21">
        <f>E114/1.5</f>
        <v>2733.3333333333335</v>
      </c>
    </row>
    <row r="119" spans="2:9" x14ac:dyDescent="0.2">
      <c r="B119" s="1" t="s">
        <v>548</v>
      </c>
      <c r="C119" s="21">
        <v>800</v>
      </c>
      <c r="D119" s="21"/>
      <c r="E119" s="21"/>
      <c r="F119" s="21"/>
      <c r="G119" s="21"/>
    </row>
    <row r="120" spans="2:9" x14ac:dyDescent="0.2">
      <c r="C120" s="21"/>
      <c r="D120" s="21"/>
      <c r="E120" s="21"/>
      <c r="F120" s="21"/>
      <c r="G120" s="21"/>
    </row>
    <row r="121" spans="2:9" x14ac:dyDescent="0.2">
      <c r="B121" s="1" t="s">
        <v>551</v>
      </c>
      <c r="C121" s="21"/>
      <c r="D121" s="21"/>
      <c r="E121" s="21">
        <f>G129</f>
        <v>500</v>
      </c>
      <c r="F121" s="21">
        <f>E121</f>
        <v>500</v>
      </c>
      <c r="G121" s="21"/>
    </row>
    <row r="123" spans="2:9" x14ac:dyDescent="0.2">
      <c r="B123" s="1" t="s">
        <v>552</v>
      </c>
    </row>
    <row r="124" spans="2:9" x14ac:dyDescent="0.2">
      <c r="B124" s="1" t="s">
        <v>553</v>
      </c>
    </row>
    <row r="125" spans="2:9" x14ac:dyDescent="0.2">
      <c r="B125" s="1" t="s">
        <v>554</v>
      </c>
    </row>
    <row r="127" spans="2:9" x14ac:dyDescent="0.2">
      <c r="B127" s="1" t="s">
        <v>555</v>
      </c>
      <c r="G127" s="23">
        <v>1000</v>
      </c>
    </row>
    <row r="128" spans="2:9" x14ac:dyDescent="0.2">
      <c r="B128" s="1" t="s">
        <v>556</v>
      </c>
      <c r="G128" s="1">
        <v>500</v>
      </c>
      <c r="I128" s="1" t="s">
        <v>557</v>
      </c>
    </row>
    <row r="129" spans="2:9" x14ac:dyDescent="0.2">
      <c r="B129" s="1" t="s">
        <v>558</v>
      </c>
      <c r="G129" s="23">
        <f>G127-G128</f>
        <v>500</v>
      </c>
      <c r="I129" s="1" t="s">
        <v>559</v>
      </c>
    </row>
    <row r="131" spans="2:9" x14ac:dyDescent="0.2">
      <c r="B131" s="1" t="s">
        <v>560</v>
      </c>
    </row>
    <row r="132" spans="2:9" x14ac:dyDescent="0.2">
      <c r="B132" s="1" t="s">
        <v>561</v>
      </c>
    </row>
    <row r="134" spans="2:9" x14ac:dyDescent="0.2">
      <c r="F134" s="40" t="s">
        <v>501</v>
      </c>
    </row>
    <row r="135" spans="2:9" x14ac:dyDescent="0.2">
      <c r="B135" s="35">
        <v>43831</v>
      </c>
      <c r="C135" s="1" t="s">
        <v>562</v>
      </c>
      <c r="F135" s="21">
        <v>0</v>
      </c>
    </row>
    <row r="136" spans="2:9" x14ac:dyDescent="0.2">
      <c r="B136" s="35">
        <v>44196</v>
      </c>
      <c r="C136" s="1" t="s">
        <v>100</v>
      </c>
      <c r="F136" s="21">
        <v>2400</v>
      </c>
      <c r="H136" s="1" t="s">
        <v>568</v>
      </c>
    </row>
    <row r="137" spans="2:9" x14ac:dyDescent="0.2">
      <c r="B137" s="35">
        <v>44196</v>
      </c>
      <c r="C137" s="1" t="s">
        <v>563</v>
      </c>
      <c r="F137" s="78">
        <f>F135+F136</f>
        <v>2400</v>
      </c>
    </row>
    <row r="138" spans="2:9" x14ac:dyDescent="0.2">
      <c r="B138" s="35">
        <v>44378</v>
      </c>
      <c r="C138" s="1" t="s">
        <v>564</v>
      </c>
      <c r="F138" s="21">
        <v>1200</v>
      </c>
      <c r="H138" s="1" t="s">
        <v>569</v>
      </c>
    </row>
    <row r="139" spans="2:9" x14ac:dyDescent="0.2">
      <c r="B139" s="35">
        <v>44378</v>
      </c>
      <c r="C139" s="1" t="s">
        <v>566</v>
      </c>
      <c r="F139" s="21">
        <v>-500</v>
      </c>
      <c r="H139" s="1" t="s">
        <v>557</v>
      </c>
    </row>
    <row r="140" spans="2:9" x14ac:dyDescent="0.2">
      <c r="B140" s="35">
        <v>44561</v>
      </c>
      <c r="C140" s="1" t="s">
        <v>565</v>
      </c>
      <c r="F140" s="21">
        <f>4100/1.5*(6/12)</f>
        <v>1366.6666666666667</v>
      </c>
      <c r="H140" s="1" t="s">
        <v>570</v>
      </c>
    </row>
    <row r="141" spans="2:9" x14ac:dyDescent="0.2">
      <c r="B141" s="35">
        <v>44561</v>
      </c>
      <c r="C141" s="1" t="s">
        <v>563</v>
      </c>
      <c r="F141" s="78">
        <f>SUM(F137:F140)</f>
        <v>4466.666666666667</v>
      </c>
    </row>
    <row r="142" spans="2:9" x14ac:dyDescent="0.2">
      <c r="B142" s="35">
        <v>44926</v>
      </c>
      <c r="C142" s="1" t="s">
        <v>567</v>
      </c>
      <c r="F142" s="21">
        <f>4100/1.5</f>
        <v>2733.3333333333335</v>
      </c>
      <c r="H142" s="1" t="s">
        <v>571</v>
      </c>
    </row>
    <row r="143" spans="2:9" x14ac:dyDescent="0.2">
      <c r="B143" s="35">
        <v>44926</v>
      </c>
      <c r="C143" s="1" t="s">
        <v>563</v>
      </c>
      <c r="F143" s="78">
        <f>F141+F142</f>
        <v>7200</v>
      </c>
    </row>
    <row r="144" spans="2:9" ht="17" thickBot="1" x14ac:dyDescent="0.25"/>
    <row r="145" spans="1:8" ht="17" thickBot="1" x14ac:dyDescent="0.25">
      <c r="A145" s="103" t="s">
        <v>603</v>
      </c>
      <c r="B145" s="104"/>
      <c r="C145" s="104"/>
      <c r="D145" s="104"/>
      <c r="E145" s="104"/>
      <c r="F145" s="104"/>
      <c r="G145" s="104"/>
      <c r="H145" s="105"/>
    </row>
    <row r="146" spans="1:8" ht="17" thickBot="1" x14ac:dyDescent="0.25"/>
    <row r="147" spans="1:8" x14ac:dyDescent="0.2">
      <c r="B147" s="13" t="s">
        <v>572</v>
      </c>
      <c r="C147" s="5"/>
      <c r="D147" s="5"/>
      <c r="E147" s="5"/>
      <c r="F147" s="5"/>
      <c r="G147" s="6"/>
    </row>
    <row r="148" spans="1:8" x14ac:dyDescent="0.2">
      <c r="B148" s="7" t="s">
        <v>573</v>
      </c>
      <c r="G148" s="9"/>
    </row>
    <row r="149" spans="1:8" ht="17" thickBot="1" x14ac:dyDescent="0.25">
      <c r="B149" s="10" t="s">
        <v>574</v>
      </c>
      <c r="C149" s="11"/>
      <c r="D149" s="11"/>
      <c r="E149" s="11"/>
      <c r="F149" s="11"/>
      <c r="G149" s="12"/>
    </row>
    <row r="150" spans="1:8" x14ac:dyDescent="0.2">
      <c r="B150" s="79" t="s">
        <v>575</v>
      </c>
      <c r="F150" s="80" t="s">
        <v>575</v>
      </c>
    </row>
    <row r="151" spans="1:8" x14ac:dyDescent="0.2">
      <c r="B151" s="81" t="s">
        <v>576</v>
      </c>
      <c r="F151" s="82" t="s">
        <v>577</v>
      </c>
    </row>
    <row r="152" spans="1:8" x14ac:dyDescent="0.2">
      <c r="B152" s="81" t="s">
        <v>578</v>
      </c>
      <c r="F152" s="82" t="s">
        <v>578</v>
      </c>
    </row>
    <row r="153" spans="1:8" x14ac:dyDescent="0.2">
      <c r="B153" s="81" t="s">
        <v>579</v>
      </c>
      <c r="F153" s="82" t="s">
        <v>580</v>
      </c>
    </row>
    <row r="154" spans="1:8" ht="17" thickBot="1" x14ac:dyDescent="0.25">
      <c r="B154" s="83" t="s">
        <v>581</v>
      </c>
      <c r="F154" s="84" t="s">
        <v>581</v>
      </c>
    </row>
    <row r="155" spans="1:8" ht="17" thickBot="1" x14ac:dyDescent="0.25">
      <c r="B155" s="79" t="s">
        <v>582</v>
      </c>
      <c r="E155" s="80" t="s">
        <v>583</v>
      </c>
    </row>
    <row r="156" spans="1:8" ht="17" thickBot="1" x14ac:dyDescent="0.25">
      <c r="B156" s="81" t="s">
        <v>584</v>
      </c>
      <c r="C156" s="85" t="s">
        <v>585</v>
      </c>
      <c r="E156" s="82" t="s">
        <v>586</v>
      </c>
    </row>
    <row r="157" spans="1:8" x14ac:dyDescent="0.2">
      <c r="B157" s="81" t="s">
        <v>587</v>
      </c>
      <c r="C157" s="86" t="s">
        <v>588</v>
      </c>
      <c r="E157" s="82" t="s">
        <v>589</v>
      </c>
      <c r="F157" s="87" t="s">
        <v>590</v>
      </c>
      <c r="G157" s="88"/>
    </row>
    <row r="158" spans="1:8" x14ac:dyDescent="0.2">
      <c r="B158" s="81" t="s">
        <v>591</v>
      </c>
      <c r="C158" s="86" t="s">
        <v>592</v>
      </c>
      <c r="E158" s="82" t="s">
        <v>593</v>
      </c>
      <c r="F158" s="89" t="s">
        <v>594</v>
      </c>
      <c r="G158" s="90"/>
    </row>
    <row r="159" spans="1:8" x14ac:dyDescent="0.2">
      <c r="B159" s="81" t="s">
        <v>595</v>
      </c>
      <c r="C159" s="86" t="s">
        <v>596</v>
      </c>
      <c r="E159" s="82" t="s">
        <v>597</v>
      </c>
      <c r="F159" s="89" t="s">
        <v>598</v>
      </c>
      <c r="G159" s="90"/>
    </row>
    <row r="160" spans="1:8" ht="17" thickBot="1" x14ac:dyDescent="0.25">
      <c r="B160" s="81" t="s">
        <v>586</v>
      </c>
      <c r="C160" s="91" t="s">
        <v>599</v>
      </c>
      <c r="E160" s="82" t="s">
        <v>600</v>
      </c>
      <c r="F160" s="92" t="s">
        <v>601</v>
      </c>
      <c r="G160" s="93"/>
    </row>
    <row r="161" spans="1:8" ht="17" thickBot="1" x14ac:dyDescent="0.25">
      <c r="B161" s="83" t="s">
        <v>602</v>
      </c>
      <c r="E161" s="84" t="s">
        <v>584</v>
      </c>
    </row>
    <row r="163" spans="1:8" x14ac:dyDescent="0.2">
      <c r="A163" s="75" t="s">
        <v>604</v>
      </c>
      <c r="B163" s="75"/>
      <c r="C163" s="75"/>
      <c r="D163" s="75"/>
      <c r="E163" s="75"/>
      <c r="F163" s="75"/>
      <c r="G163" s="75"/>
      <c r="H163" s="75"/>
    </row>
    <row r="164" spans="1:8" x14ac:dyDescent="0.2">
      <c r="A164" s="1" t="s">
        <v>605</v>
      </c>
    </row>
    <row r="165" spans="1:8" x14ac:dyDescent="0.2">
      <c r="A165" s="1" t="s">
        <v>606</v>
      </c>
    </row>
    <row r="166" spans="1:8" x14ac:dyDescent="0.2">
      <c r="A166" s="1" t="s">
        <v>612</v>
      </c>
    </row>
    <row r="167" spans="1:8" x14ac:dyDescent="0.2">
      <c r="A167" s="1" t="s">
        <v>607</v>
      </c>
    </row>
    <row r="168" spans="1:8" x14ac:dyDescent="0.2">
      <c r="A168" s="1" t="s">
        <v>608</v>
      </c>
    </row>
    <row r="169" spans="1:8" x14ac:dyDescent="0.2">
      <c r="A169" s="1" t="s">
        <v>609</v>
      </c>
    </row>
    <row r="170" spans="1:8" x14ac:dyDescent="0.2">
      <c r="A170" s="1" t="s">
        <v>610</v>
      </c>
    </row>
    <row r="172" spans="1:8" x14ac:dyDescent="0.2">
      <c r="A172" s="1" t="s">
        <v>60</v>
      </c>
    </row>
    <row r="173" spans="1:8" x14ac:dyDescent="0.2">
      <c r="A173" s="2" t="s">
        <v>611</v>
      </c>
    </row>
    <row r="175" spans="1:8" x14ac:dyDescent="0.2">
      <c r="A175" s="1" t="s">
        <v>613</v>
      </c>
    </row>
    <row r="176" spans="1:8" x14ac:dyDescent="0.2">
      <c r="A176" s="1" t="s">
        <v>614</v>
      </c>
    </row>
    <row r="177" spans="1:8" x14ac:dyDescent="0.2">
      <c r="A177" s="1" t="s">
        <v>615</v>
      </c>
    </row>
    <row r="179" spans="1:8" x14ac:dyDescent="0.2">
      <c r="A179" s="2" t="s">
        <v>616</v>
      </c>
    </row>
    <row r="181" spans="1:8" x14ac:dyDescent="0.2">
      <c r="A181" s="1" t="s">
        <v>617</v>
      </c>
    </row>
    <row r="182" spans="1:8" x14ac:dyDescent="0.2">
      <c r="A182" s="1" t="s">
        <v>618</v>
      </c>
    </row>
    <row r="184" spans="1:8" x14ac:dyDescent="0.2">
      <c r="B184" s="94" t="s">
        <v>619</v>
      </c>
      <c r="C184" s="94"/>
      <c r="D184" s="94"/>
      <c r="F184" s="94" t="s">
        <v>622</v>
      </c>
      <c r="G184" s="94"/>
      <c r="H184" s="94"/>
    </row>
    <row r="185" spans="1:8" x14ac:dyDescent="0.2">
      <c r="B185" s="1" t="s">
        <v>620</v>
      </c>
      <c r="D185" s="23">
        <v>78000</v>
      </c>
      <c r="H185" s="95">
        <v>211000</v>
      </c>
    </row>
    <row r="186" spans="1:8" x14ac:dyDescent="0.2">
      <c r="B186" s="1" t="s">
        <v>621</v>
      </c>
      <c r="D186" s="23">
        <v>90000</v>
      </c>
    </row>
    <row r="187" spans="1:8" x14ac:dyDescent="0.2">
      <c r="B187" s="1" t="s">
        <v>254</v>
      </c>
      <c r="D187" s="51">
        <f>D185+D186</f>
        <v>168000</v>
      </c>
    </row>
    <row r="192" spans="1:8" x14ac:dyDescent="0.2">
      <c r="D192" s="1" t="s">
        <v>623</v>
      </c>
    </row>
    <row r="193" spans="1:8" x14ac:dyDescent="0.2">
      <c r="D193" s="1" t="s">
        <v>624</v>
      </c>
    </row>
    <row r="194" spans="1:8" x14ac:dyDescent="0.2">
      <c r="D194" s="1" t="s">
        <v>625</v>
      </c>
    </row>
    <row r="195" spans="1:8" x14ac:dyDescent="0.2">
      <c r="D195" s="1" t="s">
        <v>626</v>
      </c>
    </row>
    <row r="196" spans="1:8" x14ac:dyDescent="0.2">
      <c r="D196" s="1" t="s">
        <v>627</v>
      </c>
      <c r="H196" s="77">
        <v>211000</v>
      </c>
    </row>
    <row r="198" spans="1:8" x14ac:dyDescent="0.2">
      <c r="A198" s="2" t="s">
        <v>628</v>
      </c>
    </row>
    <row r="200" spans="1:8" x14ac:dyDescent="0.2">
      <c r="A200" s="1" t="s">
        <v>629</v>
      </c>
    </row>
    <row r="202" spans="1:8" x14ac:dyDescent="0.2">
      <c r="A202" s="1" t="s">
        <v>631</v>
      </c>
    </row>
    <row r="203" spans="1:8" x14ac:dyDescent="0.2">
      <c r="B203" s="1" t="s">
        <v>630</v>
      </c>
      <c r="E203" s="23">
        <f>D185</f>
        <v>78000</v>
      </c>
    </row>
    <row r="204" spans="1:8" x14ac:dyDescent="0.2">
      <c r="B204" s="1" t="s">
        <v>632</v>
      </c>
      <c r="E204" s="23">
        <v>100000</v>
      </c>
    </row>
    <row r="205" spans="1:8" x14ac:dyDescent="0.2">
      <c r="B205" s="1" t="s">
        <v>633</v>
      </c>
      <c r="E205" s="23">
        <f>E203+E204</f>
        <v>178000</v>
      </c>
    </row>
    <row r="207" spans="1:8" x14ac:dyDescent="0.2">
      <c r="B207" s="1" t="s">
        <v>634</v>
      </c>
      <c r="F207" s="23">
        <f>H196</f>
        <v>211000</v>
      </c>
    </row>
    <row r="208" spans="1:8" x14ac:dyDescent="0.2">
      <c r="B208" s="1" t="s">
        <v>635</v>
      </c>
      <c r="F208" s="23">
        <f>E205</f>
        <v>178000</v>
      </c>
    </row>
    <row r="209" spans="1:8" x14ac:dyDescent="0.2">
      <c r="B209" s="1" t="s">
        <v>636</v>
      </c>
      <c r="F209" s="77">
        <f>F207-F208</f>
        <v>33000</v>
      </c>
    </row>
    <row r="212" spans="1:8" ht="36" x14ac:dyDescent="0.4">
      <c r="A212" s="96" t="s">
        <v>637</v>
      </c>
      <c r="B212" s="96"/>
      <c r="C212" s="96"/>
      <c r="D212" s="96"/>
      <c r="E212" s="96"/>
      <c r="F212" s="96"/>
      <c r="G212" s="96"/>
      <c r="H212" s="96"/>
    </row>
    <row r="213" spans="1:8" x14ac:dyDescent="0.2">
      <c r="D213" s="1" t="s">
        <v>638</v>
      </c>
    </row>
    <row r="214" spans="1:8" x14ac:dyDescent="0.2">
      <c r="D214" s="1" t="s">
        <v>639</v>
      </c>
    </row>
    <row r="215" spans="1:8" x14ac:dyDescent="0.2">
      <c r="D215" s="1" t="s">
        <v>640</v>
      </c>
    </row>
    <row r="216" spans="1:8" x14ac:dyDescent="0.2">
      <c r="D216" s="1" t="s">
        <v>641</v>
      </c>
    </row>
    <row r="217" spans="1:8" x14ac:dyDescent="0.2">
      <c r="D217" s="1" t="s">
        <v>642</v>
      </c>
    </row>
    <row r="218" spans="1:8" x14ac:dyDescent="0.2">
      <c r="D218" s="1" t="s">
        <v>643</v>
      </c>
    </row>
    <row r="219" spans="1:8" x14ac:dyDescent="0.2">
      <c r="D219" s="1" t="s">
        <v>644</v>
      </c>
    </row>
    <row r="221" spans="1:8" x14ac:dyDescent="0.2">
      <c r="D221" s="1" t="s">
        <v>645</v>
      </c>
    </row>
    <row r="222" spans="1:8" x14ac:dyDescent="0.2">
      <c r="D222" s="1" t="s">
        <v>646</v>
      </c>
    </row>
    <row r="223" spans="1:8" x14ac:dyDescent="0.2">
      <c r="D223" s="1" t="s">
        <v>647</v>
      </c>
    </row>
    <row r="225" spans="1:4" x14ac:dyDescent="0.2">
      <c r="D225" s="1" t="s">
        <v>648</v>
      </c>
    </row>
    <row r="226" spans="1:4" x14ac:dyDescent="0.2">
      <c r="D226" s="1" t="s">
        <v>649</v>
      </c>
    </row>
    <row r="227" spans="1:4" x14ac:dyDescent="0.2">
      <c r="D227" s="1" t="s">
        <v>650</v>
      </c>
    </row>
    <row r="229" spans="1:4" x14ac:dyDescent="0.2">
      <c r="A229" s="1" t="s">
        <v>651</v>
      </c>
    </row>
    <row r="230" spans="1:4" x14ac:dyDescent="0.2">
      <c r="A230" s="1" t="s">
        <v>652</v>
      </c>
    </row>
    <row r="231" spans="1:4" x14ac:dyDescent="0.2">
      <c r="A231" s="1" t="s">
        <v>653</v>
      </c>
    </row>
    <row r="232" spans="1:4" x14ac:dyDescent="0.2">
      <c r="A232" s="1" t="s">
        <v>654</v>
      </c>
    </row>
    <row r="233" spans="1:4" x14ac:dyDescent="0.2">
      <c r="A233" s="1" t="s">
        <v>655</v>
      </c>
    </row>
    <row r="234" spans="1:4" x14ac:dyDescent="0.2">
      <c r="B234" s="94" t="s">
        <v>656</v>
      </c>
      <c r="C234" s="94" t="s">
        <v>501</v>
      </c>
    </row>
    <row r="235" spans="1:4" x14ac:dyDescent="0.2">
      <c r="B235" s="35">
        <v>44196</v>
      </c>
      <c r="C235" s="23">
        <v>550000</v>
      </c>
    </row>
    <row r="236" spans="1:4" x14ac:dyDescent="0.2">
      <c r="B236" s="35">
        <v>44561</v>
      </c>
      <c r="C236" s="23">
        <v>570000</v>
      </c>
    </row>
    <row r="237" spans="1:4" x14ac:dyDescent="0.2">
      <c r="B237" s="35">
        <v>44926</v>
      </c>
      <c r="C237" s="23">
        <v>590000</v>
      </c>
    </row>
    <row r="239" spans="1:4" x14ac:dyDescent="0.2">
      <c r="A239" s="1" t="s">
        <v>657</v>
      </c>
    </row>
    <row r="241" spans="1:8" x14ac:dyDescent="0.2">
      <c r="C241" s="19" t="s">
        <v>658</v>
      </c>
      <c r="D241" s="19" t="s">
        <v>659</v>
      </c>
      <c r="E241" s="19" t="s">
        <v>658</v>
      </c>
      <c r="F241" s="19" t="s">
        <v>660</v>
      </c>
      <c r="G241" s="19" t="s">
        <v>658</v>
      </c>
      <c r="H241" s="19" t="s">
        <v>659</v>
      </c>
    </row>
    <row r="242" spans="1:8" x14ac:dyDescent="0.2">
      <c r="C242" s="36">
        <v>44196</v>
      </c>
      <c r="D242" s="36">
        <v>44196</v>
      </c>
      <c r="E242" s="36">
        <v>44561</v>
      </c>
      <c r="F242" s="36">
        <v>44561</v>
      </c>
      <c r="G242" s="36">
        <v>44926</v>
      </c>
      <c r="H242" s="36">
        <v>44926</v>
      </c>
    </row>
    <row r="243" spans="1:8" x14ac:dyDescent="0.2">
      <c r="A243" s="1" t="s">
        <v>663</v>
      </c>
      <c r="C243" s="19">
        <v>500000</v>
      </c>
      <c r="D243" s="38">
        <f>D245</f>
        <v>550000</v>
      </c>
      <c r="E243" s="38">
        <f>D243</f>
        <v>550000</v>
      </c>
      <c r="F243" s="38">
        <f>F245</f>
        <v>570000</v>
      </c>
      <c r="G243" s="38">
        <f>F243</f>
        <v>570000</v>
      </c>
      <c r="H243" s="38">
        <f>H245</f>
        <v>590000</v>
      </c>
    </row>
    <row r="244" spans="1:8" x14ac:dyDescent="0.2">
      <c r="A244" s="1" t="s">
        <v>96</v>
      </c>
      <c r="C244" s="19">
        <f>-C247</f>
        <v>-50000</v>
      </c>
      <c r="D244" s="19">
        <v>0</v>
      </c>
      <c r="E244" s="38">
        <f>-E247</f>
        <v>-61111.111111111109</v>
      </c>
      <c r="F244" s="19">
        <v>0</v>
      </c>
      <c r="G244" s="19">
        <f>-G247</f>
        <v>-71250</v>
      </c>
      <c r="H244" s="19">
        <v>0</v>
      </c>
    </row>
    <row r="245" spans="1:8" x14ac:dyDescent="0.2">
      <c r="A245" s="1" t="s">
        <v>99</v>
      </c>
      <c r="C245" s="19">
        <f>C243+C244</f>
        <v>450000</v>
      </c>
      <c r="D245" s="38">
        <f>C235</f>
        <v>550000</v>
      </c>
      <c r="E245" s="38">
        <f>E243+E244</f>
        <v>488888.88888888888</v>
      </c>
      <c r="F245" s="38">
        <f>C236</f>
        <v>570000</v>
      </c>
      <c r="G245" s="38">
        <f>G243+G244</f>
        <v>498750</v>
      </c>
      <c r="H245" s="38">
        <f>C237</f>
        <v>590000</v>
      </c>
    </row>
    <row r="246" spans="1:8" x14ac:dyDescent="0.2">
      <c r="C246" s="19"/>
      <c r="D246" s="19"/>
      <c r="E246" s="19"/>
      <c r="F246" s="19"/>
      <c r="G246" s="19"/>
      <c r="H246" s="19"/>
    </row>
    <row r="247" spans="1:8" x14ac:dyDescent="0.2">
      <c r="A247" s="1" t="s">
        <v>100</v>
      </c>
      <c r="C247" s="19">
        <f>C243/10</f>
        <v>50000</v>
      </c>
      <c r="D247" s="19">
        <f>C247</f>
        <v>50000</v>
      </c>
      <c r="E247" s="38">
        <f>D245/9</f>
        <v>61111.111111111109</v>
      </c>
      <c r="F247" s="38">
        <f>E247</f>
        <v>61111.111111111109</v>
      </c>
      <c r="G247" s="19">
        <f>F245/8</f>
        <v>71250</v>
      </c>
      <c r="H247" s="19">
        <f>G247</f>
        <v>71250</v>
      </c>
    </row>
    <row r="248" spans="1:8" x14ac:dyDescent="0.2">
      <c r="C248" s="19"/>
      <c r="D248" s="19"/>
      <c r="E248" s="19"/>
      <c r="F248" s="19"/>
      <c r="G248" s="19"/>
      <c r="H248" s="19"/>
    </row>
    <row r="249" spans="1:8" x14ac:dyDescent="0.2">
      <c r="A249" s="1" t="s">
        <v>661</v>
      </c>
      <c r="C249" s="19"/>
      <c r="D249" s="38">
        <f>D245-C245</f>
        <v>100000</v>
      </c>
      <c r="E249" s="19"/>
      <c r="F249" s="38">
        <f>C236-E245</f>
        <v>81111.111111111124</v>
      </c>
      <c r="G249" s="19"/>
      <c r="H249" s="38">
        <f>H245-G245</f>
        <v>91250</v>
      </c>
    </row>
    <row r="250" spans="1:8" x14ac:dyDescent="0.2">
      <c r="A250" s="1" t="s">
        <v>662</v>
      </c>
      <c r="C250" s="19"/>
      <c r="D250" s="38">
        <f>D249</f>
        <v>100000</v>
      </c>
      <c r="E250" s="19"/>
      <c r="F250" s="38">
        <f>F249+D250</f>
        <v>181111.11111111112</v>
      </c>
      <c r="G250" s="19"/>
      <c r="H250" s="38">
        <f>H249+F250</f>
        <v>272361.11111111112</v>
      </c>
    </row>
  </sheetData>
  <mergeCells count="3">
    <mergeCell ref="E81:F81"/>
    <mergeCell ref="D118:E118"/>
    <mergeCell ref="A145:H1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9FD1-920F-B24D-BB0B-4654D39FE2B3}">
  <dimension ref="A1:AF107"/>
  <sheetViews>
    <sheetView rightToLeft="1" tabSelected="1" zoomScale="125" zoomScaleNormal="180" workbookViewId="0">
      <selection activeCell="Z80" sqref="Z80"/>
    </sheetView>
  </sheetViews>
  <sheetFormatPr baseColWidth="10" defaultRowHeight="16" x14ac:dyDescent="0.2"/>
  <cols>
    <col min="1" max="11" width="10.83203125" style="1"/>
    <col min="12" max="14" width="10.83203125" style="1" customWidth="1"/>
    <col min="15" max="15" width="11.1640625" style="1" customWidth="1"/>
    <col min="16" max="26" width="10.83203125" style="1" customWidth="1"/>
    <col min="27" max="16384" width="10.83203125" style="1"/>
  </cols>
  <sheetData>
    <row r="1" spans="1:8" x14ac:dyDescent="0.2">
      <c r="A1" s="3" t="s">
        <v>664</v>
      </c>
      <c r="B1" s="3"/>
      <c r="C1" s="3"/>
      <c r="D1" s="3"/>
      <c r="E1" s="3"/>
      <c r="F1" s="3"/>
      <c r="G1" s="3"/>
      <c r="H1" s="106">
        <v>45750</v>
      </c>
    </row>
    <row r="3" spans="1:8" x14ac:dyDescent="0.2">
      <c r="A3" s="107" t="s">
        <v>665</v>
      </c>
      <c r="B3" s="107"/>
      <c r="C3" s="107"/>
      <c r="D3" s="107"/>
      <c r="E3" s="107"/>
      <c r="F3" s="107"/>
      <c r="G3" s="107"/>
      <c r="H3" s="107"/>
    </row>
    <row r="4" spans="1:8" x14ac:dyDescent="0.2">
      <c r="A4" s="1" t="s">
        <v>666</v>
      </c>
    </row>
    <row r="5" spans="1:8" x14ac:dyDescent="0.2">
      <c r="A5" s="1" t="s">
        <v>667</v>
      </c>
    </row>
    <row r="6" spans="1:8" x14ac:dyDescent="0.2">
      <c r="A6" s="1" t="s">
        <v>668</v>
      </c>
    </row>
    <row r="7" spans="1:8" x14ac:dyDescent="0.2">
      <c r="A7" s="1" t="s">
        <v>669</v>
      </c>
    </row>
    <row r="8" spans="1:8" x14ac:dyDescent="0.2">
      <c r="A8" s="1" t="s">
        <v>670</v>
      </c>
    </row>
    <row r="9" spans="1:8" x14ac:dyDescent="0.2">
      <c r="A9" s="1" t="s">
        <v>671</v>
      </c>
    </row>
    <row r="10" spans="1:8" x14ac:dyDescent="0.2">
      <c r="A10" s="1" t="s">
        <v>672</v>
      </c>
    </row>
    <row r="11" spans="1:8" x14ac:dyDescent="0.2">
      <c r="A11" s="1" t="s">
        <v>673</v>
      </c>
    </row>
    <row r="12" spans="1:8" x14ac:dyDescent="0.2">
      <c r="A12" s="1" t="s">
        <v>674</v>
      </c>
    </row>
    <row r="13" spans="1:8" x14ac:dyDescent="0.2">
      <c r="A13" s="1" t="s">
        <v>675</v>
      </c>
    </row>
    <row r="14" spans="1:8" x14ac:dyDescent="0.2">
      <c r="A14" s="1" t="s">
        <v>676</v>
      </c>
    </row>
    <row r="15" spans="1:8" x14ac:dyDescent="0.2">
      <c r="A15" s="1" t="s">
        <v>677</v>
      </c>
    </row>
    <row r="16" spans="1:8" x14ac:dyDescent="0.2">
      <c r="A16" s="1" t="s">
        <v>678</v>
      </c>
    </row>
    <row r="17" spans="1:8" x14ac:dyDescent="0.2">
      <c r="A17" s="1" t="s">
        <v>679</v>
      </c>
    </row>
    <row r="19" spans="1:8" x14ac:dyDescent="0.2">
      <c r="A19" s="107" t="s">
        <v>680</v>
      </c>
      <c r="B19" s="107"/>
      <c r="C19" s="107"/>
      <c r="D19" s="107"/>
      <c r="E19" s="107"/>
      <c r="F19" s="107"/>
      <c r="G19" s="107"/>
      <c r="H19" s="107"/>
    </row>
    <row r="20" spans="1:8" x14ac:dyDescent="0.2">
      <c r="A20" s="1" t="s">
        <v>681</v>
      </c>
    </row>
    <row r="21" spans="1:8" x14ac:dyDescent="0.2">
      <c r="A21" s="1" t="s">
        <v>682</v>
      </c>
    </row>
    <row r="22" spans="1:8" x14ac:dyDescent="0.2">
      <c r="A22" s="1" t="s">
        <v>683</v>
      </c>
    </row>
    <row r="23" spans="1:8" x14ac:dyDescent="0.2">
      <c r="A23" s="1" t="s">
        <v>684</v>
      </c>
    </row>
    <row r="24" spans="1:8" x14ac:dyDescent="0.2">
      <c r="A24" s="1" t="s">
        <v>685</v>
      </c>
    </row>
    <row r="25" spans="1:8" x14ac:dyDescent="0.2">
      <c r="A25" s="1" t="s">
        <v>686</v>
      </c>
    </row>
    <row r="36" spans="1:30" x14ac:dyDescent="0.2">
      <c r="A36" s="1" t="s">
        <v>687</v>
      </c>
    </row>
    <row r="37" spans="1:30" x14ac:dyDescent="0.2">
      <c r="A37" s="1" t="s">
        <v>688</v>
      </c>
    </row>
    <row r="38" spans="1:30" x14ac:dyDescent="0.2">
      <c r="A38" s="1" t="s">
        <v>689</v>
      </c>
    </row>
    <row r="39" spans="1:30" x14ac:dyDescent="0.2">
      <c r="A39" s="1" t="s">
        <v>690</v>
      </c>
    </row>
    <row r="41" spans="1:30" x14ac:dyDescent="0.2">
      <c r="A41" s="1" t="s">
        <v>691</v>
      </c>
    </row>
    <row r="42" spans="1:30" x14ac:dyDescent="0.2">
      <c r="A42" s="1" t="s">
        <v>692</v>
      </c>
    </row>
    <row r="43" spans="1:30" x14ac:dyDescent="0.2">
      <c r="M43" s="19" t="s">
        <v>711</v>
      </c>
      <c r="N43" s="19" t="s">
        <v>711</v>
      </c>
      <c r="O43" s="69" t="s">
        <v>722</v>
      </c>
      <c r="P43" s="19" t="s">
        <v>711</v>
      </c>
      <c r="Q43" s="19" t="s">
        <v>711</v>
      </c>
      <c r="R43" s="69" t="s">
        <v>722</v>
      </c>
      <c r="U43" s="69" t="s">
        <v>722</v>
      </c>
      <c r="X43" s="69" t="s">
        <v>722</v>
      </c>
      <c r="AA43" s="69" t="s">
        <v>722</v>
      </c>
    </row>
    <row r="44" spans="1:30" x14ac:dyDescent="0.2">
      <c r="A44" s="108" t="s">
        <v>693</v>
      </c>
      <c r="B44" s="108"/>
      <c r="C44" s="108"/>
      <c r="D44" s="108"/>
      <c r="E44" s="108"/>
      <c r="F44" s="108"/>
      <c r="G44" s="108"/>
      <c r="H44" s="108"/>
      <c r="L44" s="19" t="s">
        <v>711</v>
      </c>
      <c r="M44" s="19" t="s">
        <v>723</v>
      </c>
      <c r="N44" s="19" t="s">
        <v>724</v>
      </c>
      <c r="O44" s="19" t="s">
        <v>725</v>
      </c>
      <c r="P44" s="19" t="s">
        <v>723</v>
      </c>
      <c r="Q44" s="19" t="s">
        <v>724</v>
      </c>
      <c r="R44" s="19" t="s">
        <v>725</v>
      </c>
      <c r="S44" s="19" t="s">
        <v>658</v>
      </c>
      <c r="T44" s="19" t="s">
        <v>724</v>
      </c>
      <c r="U44" s="19" t="s">
        <v>725</v>
      </c>
      <c r="V44" s="19" t="s">
        <v>658</v>
      </c>
      <c r="W44" s="19" t="s">
        <v>724</v>
      </c>
      <c r="X44" s="19" t="s">
        <v>725</v>
      </c>
      <c r="Y44" s="19" t="s">
        <v>658</v>
      </c>
      <c r="Z44" s="19" t="s">
        <v>724</v>
      </c>
      <c r="AA44" s="19" t="s">
        <v>725</v>
      </c>
      <c r="AB44" s="19" t="s">
        <v>332</v>
      </c>
      <c r="AC44" s="19" t="s">
        <v>722</v>
      </c>
      <c r="AD44" s="110"/>
    </row>
    <row r="45" spans="1:30" x14ac:dyDescent="0.2">
      <c r="A45" s="1" t="s">
        <v>694</v>
      </c>
      <c r="L45" s="36">
        <v>42370</v>
      </c>
      <c r="M45" s="36">
        <v>42735</v>
      </c>
      <c r="N45" s="36">
        <v>42735</v>
      </c>
      <c r="O45" s="36">
        <v>42735</v>
      </c>
      <c r="P45" s="36">
        <v>43100</v>
      </c>
      <c r="Q45" s="36">
        <v>43100</v>
      </c>
      <c r="R45" s="36">
        <v>43100</v>
      </c>
      <c r="S45" s="36">
        <v>43465</v>
      </c>
      <c r="T45" s="36">
        <v>43465</v>
      </c>
      <c r="U45" s="36">
        <v>43465</v>
      </c>
      <c r="V45" s="36">
        <v>43830</v>
      </c>
      <c r="W45" s="36">
        <v>43830</v>
      </c>
      <c r="X45" s="36">
        <v>43830</v>
      </c>
      <c r="Y45" s="36">
        <v>44196</v>
      </c>
      <c r="Z45" s="36">
        <v>44196</v>
      </c>
      <c r="AA45" s="36">
        <v>44196</v>
      </c>
      <c r="AB45" s="36">
        <v>44377</v>
      </c>
      <c r="AC45" s="36">
        <v>44926</v>
      </c>
      <c r="AD45" s="111"/>
    </row>
    <row r="46" spans="1:30" x14ac:dyDescent="0.2">
      <c r="A46" s="1" t="s">
        <v>695</v>
      </c>
      <c r="J46" s="1" t="s">
        <v>719</v>
      </c>
      <c r="L46" s="38">
        <f>L75</f>
        <v>973438.72827321163</v>
      </c>
      <c r="M46" s="38">
        <f>L46</f>
        <v>973438.72827321163</v>
      </c>
      <c r="N46" s="38">
        <f>N49</f>
        <v>953969.95370774739</v>
      </c>
      <c r="O46" s="38">
        <f>O49</f>
        <v>1200000</v>
      </c>
      <c r="P46" s="38">
        <f>O46</f>
        <v>1200000</v>
      </c>
      <c r="Q46" s="38">
        <f>Q49</f>
        <v>1175510.2040816327</v>
      </c>
      <c r="R46" s="38">
        <f>R49-R48</f>
        <v>929480.15778938006</v>
      </c>
      <c r="S46" s="38">
        <f>R46</f>
        <v>929480.15778938006</v>
      </c>
      <c r="T46" s="38">
        <f>T49-T48</f>
        <v>910115.98783543461</v>
      </c>
      <c r="U46" s="38">
        <f>U49-U48</f>
        <v>910115.98783543461</v>
      </c>
      <c r="V46" s="38">
        <f>U46</f>
        <v>910115.98783543461</v>
      </c>
      <c r="W46" s="38">
        <f>V46+V47</f>
        <v>890751.81788148917</v>
      </c>
      <c r="X46" s="38">
        <f>X49</f>
        <v>900000</v>
      </c>
      <c r="Y46" s="38">
        <f>X46</f>
        <v>900000</v>
      </c>
      <c r="Z46" s="38">
        <f>Z49</f>
        <v>880434.78260869568</v>
      </c>
      <c r="AA46" s="38">
        <f>AA49</f>
        <v>1200000</v>
      </c>
      <c r="AB46" s="38">
        <f>AA46</f>
        <v>1200000</v>
      </c>
      <c r="AC46" s="38">
        <v>0</v>
      </c>
      <c r="AD46" s="112"/>
    </row>
    <row r="47" spans="1:30" x14ac:dyDescent="0.2">
      <c r="A47" s="1" t="s">
        <v>696</v>
      </c>
      <c r="J47" s="1" t="s">
        <v>96</v>
      </c>
      <c r="L47" s="19">
        <v>0</v>
      </c>
      <c r="M47" s="21">
        <f>-M51</f>
        <v>-19468.774565464231</v>
      </c>
      <c r="N47" s="21">
        <v>0</v>
      </c>
      <c r="O47" s="21">
        <v>0</v>
      </c>
      <c r="P47" s="21">
        <f>-P51</f>
        <v>-24489.795918367348</v>
      </c>
      <c r="Q47" s="21">
        <v>0</v>
      </c>
      <c r="R47" s="21">
        <v>0</v>
      </c>
      <c r="S47" s="21">
        <f>-S51+R48/48</f>
        <v>-19364.16995394542</v>
      </c>
      <c r="T47" s="21">
        <v>0</v>
      </c>
      <c r="U47" s="21">
        <f>T47</f>
        <v>0</v>
      </c>
      <c r="V47" s="21">
        <f>-V51+U48/47</f>
        <v>-19364.169953945417</v>
      </c>
      <c r="W47" s="21">
        <v>0</v>
      </c>
      <c r="X47" s="21">
        <v>0</v>
      </c>
      <c r="Y47" s="21">
        <f>-Y51</f>
        <v>-19565.217391304348</v>
      </c>
      <c r="Z47" s="21">
        <v>0</v>
      </c>
      <c r="AA47" s="21">
        <v>0</v>
      </c>
      <c r="AB47" s="21">
        <f>-AB51</f>
        <v>-13333.333333333334</v>
      </c>
      <c r="AC47" s="21">
        <v>0</v>
      </c>
      <c r="AD47" s="113"/>
    </row>
    <row r="48" spans="1:30" x14ac:dyDescent="0.2">
      <c r="A48" s="1" t="s">
        <v>697</v>
      </c>
      <c r="J48" s="1" t="s">
        <v>718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21">
        <f>-R53</f>
        <v>-229480.15778938006</v>
      </c>
      <c r="S48" s="21">
        <f>R48*47/48</f>
        <v>-224699.32116876799</v>
      </c>
      <c r="T48" s="21">
        <f>S48</f>
        <v>-224699.32116876799</v>
      </c>
      <c r="U48" s="21">
        <f>T48-U53</f>
        <v>-410115.98783543461</v>
      </c>
      <c r="V48" s="21">
        <f>U48*46/47</f>
        <v>-401390.11575382965</v>
      </c>
      <c r="W48" s="21">
        <f>V48</f>
        <v>-401390.11575382965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113"/>
    </row>
    <row r="49" spans="1:30" x14ac:dyDescent="0.2">
      <c r="A49" s="1" t="s">
        <v>698</v>
      </c>
      <c r="J49" s="1" t="s">
        <v>99</v>
      </c>
      <c r="L49" s="39">
        <f>L46</f>
        <v>973438.72827321163</v>
      </c>
      <c r="M49" s="39">
        <f>M46+M47</f>
        <v>953969.95370774739</v>
      </c>
      <c r="N49" s="39">
        <f>M49</f>
        <v>953969.95370774739</v>
      </c>
      <c r="O49" s="39">
        <f>D60</f>
        <v>1200000</v>
      </c>
      <c r="P49" s="39">
        <f>P46+P47</f>
        <v>1175510.2040816327</v>
      </c>
      <c r="Q49" s="39">
        <f>P49</f>
        <v>1175510.2040816327</v>
      </c>
      <c r="R49" s="39">
        <f>D61</f>
        <v>700000</v>
      </c>
      <c r="S49" s="39">
        <f>S46+S47+S48</f>
        <v>685416.66666666663</v>
      </c>
      <c r="T49" s="39">
        <f>S49</f>
        <v>685416.66666666663</v>
      </c>
      <c r="U49" s="39">
        <f>D62</f>
        <v>500000</v>
      </c>
      <c r="V49" s="39">
        <f>V46+V47+V48</f>
        <v>489361.70212765952</v>
      </c>
      <c r="W49" s="39">
        <f>W46+W47+W48</f>
        <v>489361.70212765952</v>
      </c>
      <c r="X49" s="39">
        <f>D63</f>
        <v>900000</v>
      </c>
      <c r="Y49" s="39">
        <f>Y46+Y47+Y48</f>
        <v>880434.78260869568</v>
      </c>
      <c r="Z49" s="39">
        <f>Y49</f>
        <v>880434.78260869568</v>
      </c>
      <c r="AA49" s="39">
        <f>D64</f>
        <v>1200000</v>
      </c>
      <c r="AB49" s="39">
        <f>AB46+AB47</f>
        <v>1186666.6666666667</v>
      </c>
      <c r="AC49" s="39">
        <v>0</v>
      </c>
      <c r="AD49" s="112"/>
    </row>
    <row r="50" spans="1:30" x14ac:dyDescent="0.2">
      <c r="A50" s="1" t="s">
        <v>699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10"/>
    </row>
    <row r="51" spans="1:30" x14ac:dyDescent="0.2">
      <c r="A51" s="1" t="s">
        <v>700</v>
      </c>
      <c r="J51" s="1" t="s">
        <v>100</v>
      </c>
      <c r="L51" s="19"/>
      <c r="M51" s="38">
        <f>L49/50</f>
        <v>19468.774565464231</v>
      </c>
      <c r="N51" s="38">
        <f>M51</f>
        <v>19468.774565464231</v>
      </c>
      <c r="O51" s="38">
        <f>N51</f>
        <v>19468.774565464231</v>
      </c>
      <c r="P51" s="38">
        <f>O49/49</f>
        <v>24489.795918367348</v>
      </c>
      <c r="Q51" s="38">
        <f>P51</f>
        <v>24489.795918367348</v>
      </c>
      <c r="R51" s="38">
        <f>Q51</f>
        <v>24489.795918367348</v>
      </c>
      <c r="S51" s="38">
        <f>R49/48</f>
        <v>14583.333333333334</v>
      </c>
      <c r="T51" s="38">
        <f>S51</f>
        <v>14583.333333333334</v>
      </c>
      <c r="U51" s="38">
        <f>T51</f>
        <v>14583.333333333334</v>
      </c>
      <c r="V51" s="38">
        <f>U49/47</f>
        <v>10638.297872340425</v>
      </c>
      <c r="W51" s="38">
        <f>V51</f>
        <v>10638.297872340425</v>
      </c>
      <c r="X51" s="38">
        <f>W51</f>
        <v>10638.297872340425</v>
      </c>
      <c r="Y51" s="38">
        <f>X49/46</f>
        <v>19565.217391304348</v>
      </c>
      <c r="Z51" s="38">
        <f>Y51</f>
        <v>19565.217391304348</v>
      </c>
      <c r="AA51" s="38">
        <f>Z51</f>
        <v>19565.217391304348</v>
      </c>
      <c r="AB51" s="38">
        <f>AA49/45*6/12</f>
        <v>13333.333333333334</v>
      </c>
      <c r="AC51" s="38">
        <f>AB51</f>
        <v>13333.333333333334</v>
      </c>
      <c r="AD51" s="112"/>
    </row>
    <row r="52" spans="1:30" x14ac:dyDescent="0.2">
      <c r="A52" s="1" t="s">
        <v>701</v>
      </c>
      <c r="J52" s="1" t="s">
        <v>726</v>
      </c>
      <c r="L52" s="19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>
        <f>-W48</f>
        <v>401390.11575382965</v>
      </c>
      <c r="Y52" s="38"/>
      <c r="Z52" s="38"/>
      <c r="AA52" s="38"/>
      <c r="AB52" s="38"/>
      <c r="AC52" s="38"/>
      <c r="AD52" s="112"/>
    </row>
    <row r="53" spans="1:30" x14ac:dyDescent="0.2">
      <c r="A53" s="1" t="s">
        <v>702</v>
      </c>
      <c r="J53" s="1" t="s">
        <v>727</v>
      </c>
      <c r="L53" s="19"/>
      <c r="M53" s="38"/>
      <c r="N53" s="38"/>
      <c r="O53" s="38"/>
      <c r="P53" s="38"/>
      <c r="Q53" s="38"/>
      <c r="R53" s="38">
        <f>Q49-R49-R59</f>
        <v>229480.15778938006</v>
      </c>
      <c r="S53" s="38"/>
      <c r="T53" s="38"/>
      <c r="U53" s="38">
        <f>T49-U49</f>
        <v>185416.66666666663</v>
      </c>
      <c r="V53" s="38"/>
      <c r="W53" s="38"/>
      <c r="X53" s="38"/>
      <c r="Y53" s="38"/>
      <c r="Z53" s="38"/>
      <c r="AA53" s="38"/>
      <c r="AB53" s="38"/>
      <c r="AC53" s="38"/>
      <c r="AD53" s="112"/>
    </row>
    <row r="54" spans="1:30" x14ac:dyDescent="0.2">
      <c r="A54" s="1" t="s">
        <v>703</v>
      </c>
      <c r="J54" s="1" t="s">
        <v>548</v>
      </c>
      <c r="L54" s="19"/>
      <c r="M54" s="38">
        <f>7%*L62</f>
        <v>61140.710979124822</v>
      </c>
      <c r="N54" s="38">
        <f>M54</f>
        <v>61140.710979124822</v>
      </c>
      <c r="O54" s="38">
        <f>N54</f>
        <v>61140.710979124822</v>
      </c>
      <c r="P54" s="38">
        <f>O62*7%</f>
        <v>65420.560747663563</v>
      </c>
      <c r="Q54" s="38">
        <f>P54</f>
        <v>65420.560747663563</v>
      </c>
      <c r="R54" s="38">
        <f>Q54</f>
        <v>65420.560747663563</v>
      </c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12"/>
    </row>
    <row r="55" spans="1:30" x14ac:dyDescent="0.2">
      <c r="A55" s="1" t="s">
        <v>704</v>
      </c>
      <c r="J55" s="1" t="s">
        <v>733</v>
      </c>
      <c r="L55" s="19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>
        <f>-Y72</f>
        <v>158629.28348909668</v>
      </c>
      <c r="AD55" s="112"/>
    </row>
    <row r="56" spans="1:30" x14ac:dyDescent="0.2">
      <c r="A56" s="1" t="s">
        <v>728</v>
      </c>
      <c r="AD56" s="113"/>
    </row>
    <row r="57" spans="1:30" x14ac:dyDescent="0.2">
      <c r="A57" s="1" t="s">
        <v>705</v>
      </c>
      <c r="AD57" s="114"/>
    </row>
    <row r="58" spans="1:30" x14ac:dyDescent="0.2">
      <c r="J58" s="1" t="s">
        <v>661</v>
      </c>
      <c r="L58" s="19"/>
      <c r="M58" s="38"/>
      <c r="N58" s="38"/>
      <c r="O58" s="38">
        <f>O49-N49</f>
        <v>246030.04629225261</v>
      </c>
      <c r="P58" s="38"/>
      <c r="Q58" s="38"/>
      <c r="R58" s="38"/>
      <c r="S58" s="38"/>
      <c r="T58" s="38"/>
      <c r="U58" s="38"/>
      <c r="V58" s="38"/>
      <c r="W58" s="38"/>
      <c r="X58" s="21">
        <f>X49-W49-X52</f>
        <v>9248.1821185108274</v>
      </c>
      <c r="Y58" s="38"/>
      <c r="Z58" s="38"/>
      <c r="AA58" s="21">
        <f>AA49-Z49</f>
        <v>319565.21739130432</v>
      </c>
      <c r="AB58" s="21"/>
      <c r="AC58" s="21"/>
      <c r="AD58" s="112"/>
    </row>
    <row r="59" spans="1:30" x14ac:dyDescent="0.2">
      <c r="C59" s="94" t="s">
        <v>656</v>
      </c>
      <c r="D59" s="94" t="s">
        <v>706</v>
      </c>
      <c r="J59" s="1" t="s">
        <v>720</v>
      </c>
      <c r="L59" s="19"/>
      <c r="M59" s="38"/>
      <c r="N59" s="38"/>
      <c r="O59" s="38"/>
      <c r="P59" s="38"/>
      <c r="Q59" s="38"/>
      <c r="R59" s="21">
        <f>Q60</f>
        <v>246030.04629225261</v>
      </c>
      <c r="S59" s="21"/>
      <c r="T59" s="21"/>
      <c r="U59" s="21"/>
      <c r="V59" s="21"/>
      <c r="W59" s="21"/>
      <c r="Y59" s="21"/>
      <c r="Z59" s="21"/>
      <c r="AD59" s="112"/>
    </row>
    <row r="60" spans="1:30" x14ac:dyDescent="0.2">
      <c r="C60" s="35">
        <v>42735</v>
      </c>
      <c r="D60" s="73">
        <v>1200000</v>
      </c>
      <c r="J60" s="1" t="s">
        <v>721</v>
      </c>
      <c r="L60" s="19"/>
      <c r="M60" s="38"/>
      <c r="N60" s="38"/>
      <c r="O60" s="38">
        <f>O58</f>
        <v>246030.04629225261</v>
      </c>
      <c r="P60" s="38">
        <f>O60</f>
        <v>246030.04629225261</v>
      </c>
      <c r="Q60" s="38">
        <f>P60</f>
        <v>246030.04629225261</v>
      </c>
      <c r="R60" s="38">
        <f>0</f>
        <v>0</v>
      </c>
      <c r="S60" s="38">
        <f>R60</f>
        <v>0</v>
      </c>
      <c r="T60" s="38">
        <f>S60</f>
        <v>0</v>
      </c>
      <c r="U60" s="38">
        <v>0</v>
      </c>
      <c r="V60" s="38">
        <v>0</v>
      </c>
      <c r="W60" s="38">
        <v>0</v>
      </c>
      <c r="X60" s="38">
        <f>X58</f>
        <v>9248.1821185108274</v>
      </c>
      <c r="Y60" s="38">
        <f>X60</f>
        <v>9248.1821185108274</v>
      </c>
      <c r="Z60" s="38">
        <f>Y60</f>
        <v>9248.1821185108274</v>
      </c>
      <c r="AA60" s="38">
        <f>AA58+Z60</f>
        <v>328813.39950981515</v>
      </c>
      <c r="AB60" s="38">
        <f>AA60</f>
        <v>328813.39950981515</v>
      </c>
      <c r="AC60" s="38">
        <v>0</v>
      </c>
      <c r="AD60" s="112"/>
    </row>
    <row r="61" spans="1:30" x14ac:dyDescent="0.2">
      <c r="C61" s="35">
        <v>43100</v>
      </c>
      <c r="D61" s="73">
        <v>700000</v>
      </c>
      <c r="L61" s="19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</row>
    <row r="62" spans="1:30" x14ac:dyDescent="0.2">
      <c r="C62" s="35">
        <v>43465</v>
      </c>
      <c r="D62" s="73">
        <v>500000</v>
      </c>
      <c r="J62" s="1" t="s">
        <v>547</v>
      </c>
      <c r="L62" s="38">
        <f>L74</f>
        <v>873438.72827321163</v>
      </c>
      <c r="M62" s="38">
        <f>L62+M54</f>
        <v>934579.43925233651</v>
      </c>
      <c r="N62" s="38">
        <f>M62</f>
        <v>934579.43925233651</v>
      </c>
      <c r="O62" s="38">
        <f>N62</f>
        <v>934579.43925233651</v>
      </c>
      <c r="P62" s="38">
        <v>0</v>
      </c>
      <c r="Q62" s="38">
        <f>P62</f>
        <v>0</v>
      </c>
      <c r="R62" s="38">
        <v>0</v>
      </c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</row>
    <row r="63" spans="1:30" x14ac:dyDescent="0.2">
      <c r="C63" s="35">
        <v>43830</v>
      </c>
      <c r="D63" s="73">
        <v>900000</v>
      </c>
      <c r="M63" s="23"/>
      <c r="N63" s="23"/>
      <c r="O63" s="23"/>
      <c r="P63" s="23"/>
    </row>
    <row r="64" spans="1:30" x14ac:dyDescent="0.2">
      <c r="C64" s="35">
        <v>44196</v>
      </c>
      <c r="D64" s="73">
        <v>1200000</v>
      </c>
    </row>
    <row r="66" spans="1:29" x14ac:dyDescent="0.2">
      <c r="A66" s="1" t="s">
        <v>707</v>
      </c>
    </row>
    <row r="67" spans="1:29" x14ac:dyDescent="0.2">
      <c r="A67" s="1" t="s">
        <v>708</v>
      </c>
    </row>
    <row r="68" spans="1:29" x14ac:dyDescent="0.2">
      <c r="J68" s="1" t="s">
        <v>712</v>
      </c>
    </row>
    <row r="69" spans="1:29" x14ac:dyDescent="0.2">
      <c r="A69" s="1" t="s">
        <v>709</v>
      </c>
      <c r="W69" s="1" t="s">
        <v>729</v>
      </c>
    </row>
    <row r="70" spans="1:29" x14ac:dyDescent="0.2">
      <c r="A70" s="1" t="s">
        <v>710</v>
      </c>
      <c r="J70" s="1" t="s">
        <v>713</v>
      </c>
      <c r="W70" s="1" t="s">
        <v>730</v>
      </c>
      <c r="Y70" s="21">
        <f>-AB75</f>
        <v>1028037.3831775701</v>
      </c>
    </row>
    <row r="71" spans="1:29" x14ac:dyDescent="0.2">
      <c r="J71" s="1" t="s">
        <v>714</v>
      </c>
      <c r="L71" s="23">
        <v>30000</v>
      </c>
      <c r="W71" s="1" t="s">
        <v>731</v>
      </c>
      <c r="Y71" s="21">
        <f>-AB49</f>
        <v>-1186666.6666666667</v>
      </c>
    </row>
    <row r="72" spans="1:29" x14ac:dyDescent="0.2">
      <c r="J72" s="1" t="s">
        <v>715</v>
      </c>
      <c r="L72" s="23">
        <v>70000</v>
      </c>
      <c r="W72" s="1" t="s">
        <v>732</v>
      </c>
      <c r="Y72" s="22">
        <f>Y70+Y71</f>
        <v>-158629.28348909668</v>
      </c>
      <c r="AB72" s="24">
        <v>7.0000000000000007E-2</v>
      </c>
      <c r="AC72" s="1" t="s">
        <v>113</v>
      </c>
    </row>
    <row r="73" spans="1:29" x14ac:dyDescent="0.2">
      <c r="J73" s="1" t="s">
        <v>716</v>
      </c>
      <c r="AB73" s="1">
        <v>1</v>
      </c>
      <c r="AC73" s="1" t="s">
        <v>114</v>
      </c>
    </row>
    <row r="74" spans="1:29" x14ac:dyDescent="0.2">
      <c r="J74" s="1" t="s">
        <v>717</v>
      </c>
      <c r="L74" s="23">
        <f>O78</f>
        <v>873438.72827321163</v>
      </c>
      <c r="AB74" s="1">
        <v>0</v>
      </c>
      <c r="AC74" s="1" t="s">
        <v>115</v>
      </c>
    </row>
    <row r="75" spans="1:29" x14ac:dyDescent="0.2">
      <c r="J75" s="1" t="s">
        <v>293</v>
      </c>
      <c r="L75" s="51">
        <f>L71+L72+L74</f>
        <v>973438.72827321163</v>
      </c>
      <c r="O75" s="24">
        <v>7.0000000000000007E-2</v>
      </c>
      <c r="P75" s="1" t="s">
        <v>113</v>
      </c>
      <c r="AB75" s="23">
        <f>PV(AB72,AB73,AB74,AB76)</f>
        <v>-1028037.3831775701</v>
      </c>
      <c r="AC75" s="1" t="s">
        <v>116</v>
      </c>
    </row>
    <row r="76" spans="1:29" x14ac:dyDescent="0.2">
      <c r="O76" s="1">
        <v>2</v>
      </c>
      <c r="P76" s="1" t="s">
        <v>114</v>
      </c>
      <c r="AB76" s="23">
        <v>1100000</v>
      </c>
      <c r="AC76" s="1" t="s">
        <v>117</v>
      </c>
    </row>
    <row r="77" spans="1:29" x14ac:dyDescent="0.2">
      <c r="O77" s="1">
        <v>0</v>
      </c>
      <c r="P77" s="1" t="s">
        <v>115</v>
      </c>
    </row>
    <row r="78" spans="1:29" x14ac:dyDescent="0.2">
      <c r="O78" s="23">
        <f>PV(O75,O76,O77,O79)</f>
        <v>873438.72827321163</v>
      </c>
      <c r="P78" s="1" t="s">
        <v>116</v>
      </c>
    </row>
    <row r="79" spans="1:29" x14ac:dyDescent="0.2">
      <c r="O79" s="23">
        <v>-1000000</v>
      </c>
      <c r="P79" s="1" t="s">
        <v>117</v>
      </c>
    </row>
    <row r="80" spans="1:29" x14ac:dyDescent="0.2">
      <c r="A80" s="108" t="s">
        <v>734</v>
      </c>
      <c r="B80" s="108"/>
      <c r="C80" s="108"/>
      <c r="D80" s="108"/>
      <c r="E80" s="108"/>
      <c r="F80" s="108"/>
      <c r="G80" s="108"/>
      <c r="H80" s="108"/>
    </row>
    <row r="81" spans="1:32" x14ac:dyDescent="0.2">
      <c r="A81" s="1" t="s">
        <v>735</v>
      </c>
    </row>
    <row r="82" spans="1:32" x14ac:dyDescent="0.2">
      <c r="A82" s="1" t="s">
        <v>736</v>
      </c>
      <c r="M82" s="19" t="s">
        <v>711</v>
      </c>
      <c r="N82" s="19" t="s">
        <v>711</v>
      </c>
      <c r="O82" s="69" t="s">
        <v>722</v>
      </c>
      <c r="P82" s="19" t="s">
        <v>711</v>
      </c>
      <c r="Q82" s="19" t="s">
        <v>711</v>
      </c>
      <c r="R82" s="69" t="s">
        <v>722</v>
      </c>
      <c r="U82" s="69" t="s">
        <v>722</v>
      </c>
      <c r="X82" s="69" t="s">
        <v>722</v>
      </c>
      <c r="AA82" s="69" t="s">
        <v>722</v>
      </c>
      <c r="AD82" s="69" t="s">
        <v>722</v>
      </c>
      <c r="AF82" s="69" t="s">
        <v>722</v>
      </c>
    </row>
    <row r="83" spans="1:32" x14ac:dyDescent="0.2">
      <c r="A83" s="1" t="s">
        <v>737</v>
      </c>
      <c r="L83" s="19" t="s">
        <v>711</v>
      </c>
      <c r="M83" s="19" t="s">
        <v>723</v>
      </c>
      <c r="N83" s="19" t="s">
        <v>724</v>
      </c>
      <c r="O83" s="19" t="s">
        <v>725</v>
      </c>
      <c r="P83" s="19" t="s">
        <v>723</v>
      </c>
      <c r="Q83" s="19" t="s">
        <v>724</v>
      </c>
      <c r="R83" s="19" t="s">
        <v>725</v>
      </c>
      <c r="S83" s="19" t="s">
        <v>658</v>
      </c>
      <c r="T83" s="19" t="s">
        <v>724</v>
      </c>
      <c r="U83" s="19" t="s">
        <v>725</v>
      </c>
      <c r="V83" s="19" t="s">
        <v>658</v>
      </c>
      <c r="W83" s="19" t="s">
        <v>724</v>
      </c>
      <c r="X83" s="19" t="s">
        <v>725</v>
      </c>
      <c r="Y83" s="19" t="s">
        <v>658</v>
      </c>
      <c r="Z83" s="19" t="s">
        <v>724</v>
      </c>
      <c r="AA83" s="19" t="s">
        <v>725</v>
      </c>
      <c r="AB83" s="19" t="s">
        <v>658</v>
      </c>
      <c r="AC83" s="19" t="s">
        <v>724</v>
      </c>
      <c r="AD83" s="19" t="s">
        <v>725</v>
      </c>
      <c r="AE83" s="19" t="s">
        <v>332</v>
      </c>
      <c r="AF83" s="19" t="s">
        <v>752</v>
      </c>
    </row>
    <row r="84" spans="1:32" x14ac:dyDescent="0.2">
      <c r="A84" s="1" t="s">
        <v>751</v>
      </c>
      <c r="L84" s="36">
        <v>42005</v>
      </c>
      <c r="M84" s="36">
        <v>42369</v>
      </c>
      <c r="N84" s="36">
        <v>42369</v>
      </c>
      <c r="O84" s="36">
        <v>42369</v>
      </c>
      <c r="P84" s="36">
        <v>42735</v>
      </c>
      <c r="Q84" s="36">
        <v>42735</v>
      </c>
      <c r="R84" s="36">
        <v>42735</v>
      </c>
      <c r="S84" s="36">
        <v>43100</v>
      </c>
      <c r="T84" s="36">
        <v>43100</v>
      </c>
      <c r="U84" s="36">
        <v>43100</v>
      </c>
      <c r="V84" s="36">
        <v>43465</v>
      </c>
      <c r="W84" s="36">
        <v>43465</v>
      </c>
      <c r="X84" s="36">
        <v>43465</v>
      </c>
      <c r="Y84" s="36">
        <v>43830</v>
      </c>
      <c r="Z84" s="36">
        <v>43830</v>
      </c>
      <c r="AA84" s="36">
        <v>43830</v>
      </c>
      <c r="AB84" s="36">
        <v>44196</v>
      </c>
      <c r="AC84" s="36">
        <v>44196</v>
      </c>
      <c r="AD84" s="36">
        <v>44196</v>
      </c>
      <c r="AE84" s="36">
        <v>44287</v>
      </c>
      <c r="AF84" s="36">
        <v>44561</v>
      </c>
    </row>
    <row r="85" spans="1:32" x14ac:dyDescent="0.2">
      <c r="A85" s="1" t="s">
        <v>738</v>
      </c>
      <c r="J85" s="1" t="s">
        <v>719</v>
      </c>
      <c r="L85" s="38">
        <v>100000</v>
      </c>
      <c r="M85" s="38">
        <f>L85</f>
        <v>100000</v>
      </c>
      <c r="N85" s="38">
        <f>N88</f>
        <v>95000</v>
      </c>
      <c r="O85" s="38">
        <f>O88</f>
        <v>140000</v>
      </c>
      <c r="P85" s="38">
        <f>O85</f>
        <v>140000</v>
      </c>
      <c r="Q85" s="38">
        <f>Q88</f>
        <v>132631.57894736843</v>
      </c>
      <c r="R85" s="38">
        <f>R88</f>
        <v>150000</v>
      </c>
      <c r="S85" s="38">
        <f>R85</f>
        <v>150000</v>
      </c>
      <c r="T85" s="38">
        <f>T88</f>
        <v>141666.66666666666</v>
      </c>
      <c r="U85" s="38">
        <f>U88</f>
        <v>100000</v>
      </c>
      <c r="V85" s="38">
        <f>U85</f>
        <v>100000</v>
      </c>
      <c r="W85" s="38">
        <f>W88</f>
        <v>94117.647058823524</v>
      </c>
      <c r="X85" s="38">
        <f>X88-X87</f>
        <v>73415.892672858608</v>
      </c>
      <c r="Y85" s="38">
        <f>X85</f>
        <v>73415.892672858608</v>
      </c>
      <c r="Z85" s="38">
        <f>Z88-Z87</f>
        <v>68827.399380804942</v>
      </c>
      <c r="AA85" s="38">
        <f>AA88-AA87-AA86</f>
        <v>68827.399380804942</v>
      </c>
      <c r="AB85" s="38">
        <f>AA85</f>
        <v>68827.399380804942</v>
      </c>
      <c r="AC85" s="38">
        <f>AC88-AC87-AC86</f>
        <v>64238.906088751275</v>
      </c>
      <c r="AD85" s="38">
        <f>AD88</f>
        <v>98000</v>
      </c>
      <c r="AE85" s="38">
        <f>AD85</f>
        <v>98000</v>
      </c>
      <c r="AF85" s="38">
        <v>0</v>
      </c>
    </row>
    <row r="86" spans="1:32" x14ac:dyDescent="0.2">
      <c r="A86" s="1" t="s">
        <v>739</v>
      </c>
      <c r="J86" s="1" t="s">
        <v>96</v>
      </c>
      <c r="L86" s="19">
        <v>0</v>
      </c>
      <c r="M86" s="21">
        <f>-M90</f>
        <v>-5000</v>
      </c>
      <c r="N86" s="21">
        <v>0</v>
      </c>
      <c r="O86" s="21">
        <v>0</v>
      </c>
      <c r="P86" s="21">
        <f>-P90</f>
        <v>-7368.4210526315792</v>
      </c>
      <c r="Q86" s="21">
        <v>0</v>
      </c>
      <c r="R86" s="21">
        <v>0</v>
      </c>
      <c r="S86" s="21">
        <f>-S90</f>
        <v>-8333.3333333333339</v>
      </c>
      <c r="T86" s="21">
        <v>0</v>
      </c>
      <c r="U86" s="21">
        <v>0</v>
      </c>
      <c r="V86" s="21">
        <f>-V90</f>
        <v>-5882.3529411764703</v>
      </c>
      <c r="W86" s="21">
        <v>0</v>
      </c>
      <c r="X86" s="21">
        <v>0</v>
      </c>
      <c r="Y86" s="21">
        <f>-Y90+X87/16</f>
        <v>-4588.493292053663</v>
      </c>
      <c r="Z86" s="21">
        <v>0</v>
      </c>
      <c r="AA86" s="21">
        <v>0</v>
      </c>
      <c r="AB86" s="21">
        <f>-AB90+AA87/15</f>
        <v>-4588.493292053663</v>
      </c>
      <c r="AC86" s="21">
        <v>0</v>
      </c>
      <c r="AD86" s="21">
        <v>0</v>
      </c>
      <c r="AE86" s="21">
        <f>-AE90</f>
        <v>-1750</v>
      </c>
      <c r="AF86" s="21">
        <v>0</v>
      </c>
    </row>
    <row r="87" spans="1:32" x14ac:dyDescent="0.2">
      <c r="A87" s="1" t="s">
        <v>740</v>
      </c>
      <c r="J87" s="1" t="s">
        <v>718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21">
        <v>0</v>
      </c>
      <c r="S87" s="21">
        <v>0</v>
      </c>
      <c r="T87" s="21">
        <v>0</v>
      </c>
      <c r="U87" s="21">
        <v>0</v>
      </c>
      <c r="V87" s="21">
        <v>0</v>
      </c>
      <c r="W87" s="21">
        <v>0</v>
      </c>
      <c r="X87" s="21">
        <f>-X92</f>
        <v>-13415.892672858608</v>
      </c>
      <c r="Y87" s="21">
        <f>X87*15/16</f>
        <v>-12577.399380804945</v>
      </c>
      <c r="Z87" s="21">
        <f>Y87</f>
        <v>-12577.399380804945</v>
      </c>
      <c r="AA87" s="21">
        <f>Z87-AA92</f>
        <v>-28827.399380804945</v>
      </c>
      <c r="AB87" s="21">
        <f>AA87*14/15</f>
        <v>-26905.57275541795</v>
      </c>
      <c r="AC87" s="21">
        <f>AB87</f>
        <v>-26905.57275541795</v>
      </c>
      <c r="AD87" s="21">
        <v>0</v>
      </c>
      <c r="AE87" s="21">
        <v>0</v>
      </c>
      <c r="AF87" s="21">
        <v>0</v>
      </c>
    </row>
    <row r="88" spans="1:32" x14ac:dyDescent="0.2">
      <c r="A88" s="1" t="s">
        <v>741</v>
      </c>
      <c r="J88" s="1" t="s">
        <v>99</v>
      </c>
      <c r="L88" s="39">
        <f>L85</f>
        <v>100000</v>
      </c>
      <c r="M88" s="39">
        <f>M85+M86</f>
        <v>95000</v>
      </c>
      <c r="N88" s="39">
        <f>M88</f>
        <v>95000</v>
      </c>
      <c r="O88" s="39">
        <f>B97</f>
        <v>140000</v>
      </c>
      <c r="P88" s="39">
        <f>P85+P86</f>
        <v>132631.57894736843</v>
      </c>
      <c r="Q88" s="39">
        <f>P88</f>
        <v>132631.57894736843</v>
      </c>
      <c r="R88" s="39">
        <f>B98</f>
        <v>150000</v>
      </c>
      <c r="S88" s="39">
        <f>S85+S86</f>
        <v>141666.66666666666</v>
      </c>
      <c r="T88" s="39">
        <f>S88</f>
        <v>141666.66666666666</v>
      </c>
      <c r="U88" s="39">
        <f>B99</f>
        <v>100000</v>
      </c>
      <c r="V88" s="39">
        <f>V85+V86</f>
        <v>94117.647058823524</v>
      </c>
      <c r="W88" s="39">
        <f>V88</f>
        <v>94117.647058823524</v>
      </c>
      <c r="X88" s="39">
        <f>B100</f>
        <v>60000</v>
      </c>
      <c r="Y88" s="39">
        <f>Y85+Y86+Y87</f>
        <v>56250</v>
      </c>
      <c r="Z88" s="39">
        <f>Y88</f>
        <v>56250</v>
      </c>
      <c r="AA88" s="39">
        <f>B101</f>
        <v>40000</v>
      </c>
      <c r="AB88" s="39">
        <f>AB85+AB86+AB87</f>
        <v>37333.333333333328</v>
      </c>
      <c r="AC88" s="39">
        <f>AB88</f>
        <v>37333.333333333328</v>
      </c>
      <c r="AD88" s="39">
        <f>B102</f>
        <v>98000</v>
      </c>
      <c r="AE88" s="39">
        <f>AE85+AE86</f>
        <v>96250</v>
      </c>
      <c r="AF88" s="39">
        <v>0</v>
      </c>
    </row>
    <row r="89" spans="1:32" x14ac:dyDescent="0.2">
      <c r="A89" s="1" t="s">
        <v>742</v>
      </c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</row>
    <row r="90" spans="1:32" x14ac:dyDescent="0.2">
      <c r="A90" s="1" t="s">
        <v>743</v>
      </c>
      <c r="J90" s="1" t="s">
        <v>100</v>
      </c>
      <c r="L90" s="19"/>
      <c r="M90" s="38">
        <f>L88/20</f>
        <v>5000</v>
      </c>
      <c r="N90" s="38">
        <f>M90</f>
        <v>5000</v>
      </c>
      <c r="O90" s="38">
        <f>N90</f>
        <v>5000</v>
      </c>
      <c r="P90" s="38">
        <f>O88/19</f>
        <v>7368.4210526315792</v>
      </c>
      <c r="Q90" s="38">
        <f>P90</f>
        <v>7368.4210526315792</v>
      </c>
      <c r="R90" s="38">
        <f>Q90</f>
        <v>7368.4210526315792</v>
      </c>
      <c r="S90" s="38">
        <f>R88/18</f>
        <v>8333.3333333333339</v>
      </c>
      <c r="T90" s="38">
        <f>S90</f>
        <v>8333.3333333333339</v>
      </c>
      <c r="U90" s="38">
        <f>T90</f>
        <v>8333.3333333333339</v>
      </c>
      <c r="V90" s="38">
        <f>U88/17</f>
        <v>5882.3529411764703</v>
      </c>
      <c r="W90" s="38">
        <f>V90</f>
        <v>5882.3529411764703</v>
      </c>
      <c r="X90" s="38">
        <f>W90</f>
        <v>5882.3529411764703</v>
      </c>
      <c r="Y90" s="38">
        <f>X88/16</f>
        <v>3750</v>
      </c>
      <c r="Z90" s="38">
        <f>Y90</f>
        <v>3750</v>
      </c>
      <c r="AA90" s="38">
        <f>Z90</f>
        <v>3750</v>
      </c>
      <c r="AB90" s="38">
        <f>AA88/15</f>
        <v>2666.6666666666665</v>
      </c>
      <c r="AC90" s="38">
        <f>AB90</f>
        <v>2666.6666666666665</v>
      </c>
      <c r="AD90" s="38">
        <f>AC90</f>
        <v>2666.6666666666665</v>
      </c>
      <c r="AE90" s="38">
        <f>AD88/14*3/12</f>
        <v>1750</v>
      </c>
      <c r="AF90" s="38">
        <f>AE90</f>
        <v>1750</v>
      </c>
    </row>
    <row r="91" spans="1:32" x14ac:dyDescent="0.2">
      <c r="A91" s="1" t="s">
        <v>744</v>
      </c>
      <c r="J91" s="1" t="s">
        <v>726</v>
      </c>
      <c r="L91" s="19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>
        <f>-AC87</f>
        <v>26905.57275541795</v>
      </c>
      <c r="AE91" s="38"/>
      <c r="AF91" s="38"/>
    </row>
    <row r="92" spans="1:32" x14ac:dyDescent="0.2">
      <c r="A92" s="1" t="s">
        <v>745</v>
      </c>
      <c r="J92" s="1" t="s">
        <v>727</v>
      </c>
      <c r="L92" s="19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>
        <f>W88-X88-X98</f>
        <v>13415.892672858608</v>
      </c>
      <c r="Y92" s="38"/>
      <c r="Z92" s="38"/>
      <c r="AA92" s="38">
        <f>Z88-AA88</f>
        <v>16250</v>
      </c>
      <c r="AB92" s="38"/>
      <c r="AC92" s="38"/>
      <c r="AD92" s="38"/>
      <c r="AE92" s="38"/>
      <c r="AF92" s="38"/>
    </row>
    <row r="93" spans="1:32" x14ac:dyDescent="0.2">
      <c r="L93" s="19"/>
      <c r="M93" s="38"/>
      <c r="N93" s="38"/>
      <c r="O93" s="38"/>
      <c r="P93" s="38"/>
      <c r="Q93" s="38"/>
      <c r="R93" s="38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</row>
    <row r="94" spans="1:32" x14ac:dyDescent="0.2">
      <c r="A94" s="1" t="s">
        <v>746</v>
      </c>
      <c r="J94" s="1" t="s">
        <v>753</v>
      </c>
      <c r="L94" s="19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>
        <f>106000-AE88</f>
        <v>9750</v>
      </c>
    </row>
    <row r="95" spans="1:32" x14ac:dyDescent="0.2">
      <c r="X95" s="19"/>
    </row>
    <row r="96" spans="1:32" x14ac:dyDescent="0.2">
      <c r="A96" s="94" t="s">
        <v>656</v>
      </c>
      <c r="B96" s="94" t="s">
        <v>747</v>
      </c>
      <c r="X96" s="19"/>
    </row>
    <row r="97" spans="1:32" x14ac:dyDescent="0.2">
      <c r="A97" s="35">
        <v>42369</v>
      </c>
      <c r="B97" s="23">
        <v>140000</v>
      </c>
      <c r="J97" s="1" t="s">
        <v>661</v>
      </c>
      <c r="L97" s="19"/>
      <c r="M97" s="38"/>
      <c r="N97" s="38"/>
      <c r="O97" s="38">
        <f>O88-N88</f>
        <v>45000</v>
      </c>
      <c r="P97" s="38"/>
      <c r="Q97" s="38"/>
      <c r="R97" s="38">
        <f>R88-Q88</f>
        <v>17368.421052631573</v>
      </c>
      <c r="S97" s="38"/>
      <c r="T97" s="38"/>
      <c r="U97" s="38"/>
      <c r="V97" s="38"/>
      <c r="W97" s="38"/>
      <c r="X97" s="21"/>
      <c r="Y97" s="38"/>
      <c r="Z97" s="38"/>
      <c r="AA97" s="21"/>
      <c r="AB97" s="38"/>
      <c r="AC97" s="38"/>
      <c r="AD97" s="21">
        <f>AD88-AC88-AD91</f>
        <v>33761.093911248725</v>
      </c>
      <c r="AE97" s="38"/>
      <c r="AF97" s="21"/>
    </row>
    <row r="98" spans="1:32" x14ac:dyDescent="0.2">
      <c r="A98" s="35">
        <v>42735</v>
      </c>
      <c r="B98" s="23">
        <v>150000</v>
      </c>
      <c r="J98" s="1" t="s">
        <v>720</v>
      </c>
      <c r="L98" s="19"/>
      <c r="M98" s="38"/>
      <c r="N98" s="38"/>
      <c r="O98" s="38"/>
      <c r="P98" s="38"/>
      <c r="Q98" s="38"/>
      <c r="R98" s="21"/>
      <c r="S98" s="21"/>
      <c r="T98" s="21"/>
      <c r="U98" s="21">
        <f>T88-U88</f>
        <v>41666.666666666657</v>
      </c>
      <c r="V98" s="21"/>
      <c r="W98" s="21"/>
      <c r="X98" s="38">
        <f>W99</f>
        <v>20701.754385964916</v>
      </c>
      <c r="Y98" s="21"/>
      <c r="Z98" s="21"/>
      <c r="AB98" s="21"/>
      <c r="AC98" s="21"/>
      <c r="AE98" s="21"/>
    </row>
    <row r="99" spans="1:32" x14ac:dyDescent="0.2">
      <c r="A99" s="35">
        <v>43100</v>
      </c>
      <c r="B99" s="23">
        <v>100000</v>
      </c>
      <c r="J99" s="1" t="s">
        <v>721</v>
      </c>
      <c r="L99" s="19"/>
      <c r="M99" s="38"/>
      <c r="N99" s="38"/>
      <c r="O99" s="38">
        <f>O97</f>
        <v>45000</v>
      </c>
      <c r="P99" s="38">
        <f>O99</f>
        <v>45000</v>
      </c>
      <c r="Q99" s="38">
        <f>P99</f>
        <v>45000</v>
      </c>
      <c r="R99" s="38">
        <f>R97+Q99</f>
        <v>62368.421052631573</v>
      </c>
      <c r="S99" s="38">
        <f>R99</f>
        <v>62368.421052631573</v>
      </c>
      <c r="T99" s="38">
        <f>S99</f>
        <v>62368.421052631573</v>
      </c>
      <c r="U99" s="38">
        <f>T99-U98</f>
        <v>20701.754385964916</v>
      </c>
      <c r="V99" s="38">
        <f>U99</f>
        <v>20701.754385964916</v>
      </c>
      <c r="W99" s="38">
        <f>V99</f>
        <v>20701.754385964916</v>
      </c>
      <c r="X99" s="38">
        <v>0</v>
      </c>
      <c r="Y99" s="38"/>
      <c r="Z99" s="38"/>
      <c r="AA99" s="38"/>
      <c r="AB99" s="38"/>
      <c r="AC99" s="38"/>
      <c r="AD99" s="38">
        <f>AD97</f>
        <v>33761.093911248725</v>
      </c>
      <c r="AE99" s="38">
        <f>AD99</f>
        <v>33761.093911248725</v>
      </c>
      <c r="AF99" s="38">
        <v>0</v>
      </c>
    </row>
    <row r="100" spans="1:32" x14ac:dyDescent="0.2">
      <c r="A100" s="35">
        <v>43465</v>
      </c>
      <c r="B100" s="23">
        <v>60000</v>
      </c>
      <c r="L100" s="19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E100" s="38"/>
    </row>
    <row r="101" spans="1:32" x14ac:dyDescent="0.2">
      <c r="A101" s="35">
        <v>43830</v>
      </c>
      <c r="B101" s="23">
        <v>40000</v>
      </c>
      <c r="J101" s="114"/>
      <c r="K101" s="114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</row>
    <row r="102" spans="1:32" x14ac:dyDescent="0.2">
      <c r="A102" s="35">
        <v>44196</v>
      </c>
      <c r="B102" s="23">
        <v>98000</v>
      </c>
    </row>
    <row r="104" spans="1:32" x14ac:dyDescent="0.2">
      <c r="A104" s="1" t="s">
        <v>748</v>
      </c>
    </row>
    <row r="105" spans="1:32" x14ac:dyDescent="0.2">
      <c r="A105" s="1" t="s">
        <v>749</v>
      </c>
    </row>
    <row r="107" spans="1:32" x14ac:dyDescent="0.2">
      <c r="A107" s="1" t="s">
        <v>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Tsaban Shay</cp:lastModifiedBy>
  <dcterms:created xsi:type="dcterms:W3CDTF">2025-03-13T11:07:02Z</dcterms:created>
  <dcterms:modified xsi:type="dcterms:W3CDTF">2025-04-04T05:02:14Z</dcterms:modified>
</cp:coreProperties>
</file>