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F923E12E-E33E-844C-847C-0781B0B3D75D}" xr6:coauthVersionLast="47" xr6:coauthVersionMax="47" xr10:uidLastSave="{00000000-0000-0000-0000-000000000000}"/>
  <bookViews>
    <workbookView xWindow="11000" yWindow="2500" windowWidth="27400" windowHeight="17100" activeTab="4" xr2:uid="{05853DA2-670C-CC48-A4DD-545CEE8F8B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5" l="1"/>
  <c r="K122" i="5"/>
  <c r="K124" i="5"/>
  <c r="K114" i="5"/>
  <c r="I110" i="5"/>
  <c r="I111" i="5"/>
  <c r="I114" i="5"/>
  <c r="E124" i="5"/>
  <c r="E114" i="5"/>
  <c r="J69" i="5"/>
  <c r="O81" i="5"/>
  <c r="O83" i="5"/>
  <c r="O73" i="5"/>
  <c r="N79" i="5"/>
  <c r="L73" i="5"/>
  <c r="K78" i="5"/>
  <c r="J70" i="5"/>
  <c r="I70" i="5"/>
  <c r="I73" i="5"/>
  <c r="G81" i="5"/>
  <c r="F81" i="5"/>
  <c r="F83" i="5"/>
  <c r="F73" i="5"/>
  <c r="C73" i="5"/>
  <c r="L114" i="5"/>
  <c r="J114" i="5"/>
  <c r="G114" i="5"/>
  <c r="H114" i="5" s="1"/>
  <c r="C114" i="5"/>
  <c r="C110" i="5" s="1"/>
  <c r="C112" i="5" s="1"/>
  <c r="D112" i="5"/>
  <c r="J109" i="5"/>
  <c r="K109" i="5" s="1"/>
  <c r="F109" i="5"/>
  <c r="G109" i="5" s="1"/>
  <c r="P73" i="5"/>
  <c r="D73" i="5"/>
  <c r="E73" i="5" s="1"/>
  <c r="K71" i="5"/>
  <c r="K68" i="5" s="1"/>
  <c r="L68" i="5" s="1"/>
  <c r="H71" i="5"/>
  <c r="E71" i="5"/>
  <c r="E68" i="5" s="1"/>
  <c r="F68" i="5" s="1"/>
  <c r="N68" i="5"/>
  <c r="O68" i="5" s="1"/>
  <c r="D68" i="5"/>
  <c r="E26" i="5"/>
  <c r="E25" i="5"/>
  <c r="O69" i="5" l="1"/>
  <c r="O71" i="5" s="1"/>
  <c r="P85" i="5" s="1"/>
  <c r="K110" i="5"/>
  <c r="K112" i="5" s="1"/>
  <c r="D117" i="5"/>
  <c r="D122" i="5" s="1"/>
  <c r="M73" i="5"/>
  <c r="N73" i="5" s="1"/>
  <c r="C69" i="5"/>
  <c r="C71" i="5" s="1"/>
  <c r="J73" i="5"/>
  <c r="K73" i="5" s="1"/>
  <c r="G68" i="5"/>
  <c r="M68" i="5"/>
  <c r="D109" i="5"/>
  <c r="E109" i="5" s="1"/>
  <c r="D114" i="5"/>
  <c r="G110" i="5"/>
  <c r="G112" i="5" s="1"/>
  <c r="F124" i="5" l="1"/>
  <c r="D69" i="5"/>
  <c r="D71" i="5" s="1"/>
  <c r="E78" i="5" s="1"/>
  <c r="E81" i="5" s="1"/>
  <c r="G73" i="5"/>
  <c r="H73" i="5" s="1"/>
  <c r="F69" i="5"/>
  <c r="L69" i="5"/>
  <c r="M69" i="5" s="1"/>
  <c r="M71" i="5" s="1"/>
  <c r="G83" i="5"/>
  <c r="H83" i="5" s="1"/>
  <c r="E110" i="5"/>
  <c r="E112" i="5" s="1"/>
  <c r="F117" i="5" s="1"/>
  <c r="F114" i="5"/>
  <c r="E122" i="5" l="1"/>
  <c r="F122" i="5" s="1"/>
  <c r="F71" i="5"/>
  <c r="G69" i="5"/>
  <c r="G71" i="5" s="1"/>
  <c r="L71" i="5"/>
  <c r="H79" i="5"/>
  <c r="H75" i="5" s="1"/>
  <c r="H70" i="5" s="1"/>
  <c r="G124" i="5" l="1"/>
  <c r="H124" i="5" s="1"/>
  <c r="G122" i="5"/>
  <c r="K76" i="5"/>
  <c r="H68" i="5"/>
  <c r="I68" i="5" s="1"/>
  <c r="I69" i="5"/>
  <c r="H118" i="5"/>
  <c r="H116" i="5" s="1"/>
  <c r="H111" i="5" s="1"/>
  <c r="J115" i="5" l="1"/>
  <c r="H109" i="5"/>
  <c r="I109" i="5" s="1"/>
  <c r="I71" i="5"/>
  <c r="J68" i="5"/>
  <c r="J71" i="5" s="1"/>
  <c r="K81" i="5" s="1"/>
  <c r="H122" i="5"/>
  <c r="I112" i="5" l="1"/>
  <c r="J117" i="5" s="1"/>
  <c r="J122" i="5" s="1"/>
  <c r="L83" i="5"/>
  <c r="M83" i="5" s="1"/>
  <c r="N83" i="5" s="1"/>
  <c r="L81" i="5"/>
  <c r="M81" i="5" s="1"/>
  <c r="N81" i="5" s="1"/>
  <c r="L124" i="5" l="1"/>
  <c r="P83" i="5" l="1"/>
  <c r="AB87" i="4" l="1"/>
  <c r="AF90" i="4"/>
  <c r="AF94" i="4"/>
  <c r="AE99" i="4"/>
  <c r="AE88" i="4"/>
  <c r="AE85" i="4"/>
  <c r="AE86" i="4"/>
  <c r="AE90" i="4"/>
  <c r="AD85" i="4"/>
  <c r="AD99" i="4"/>
  <c r="AD97" i="4"/>
  <c r="AD91" i="4"/>
  <c r="AD90" i="4"/>
  <c r="AD88" i="4"/>
  <c r="AC85" i="4"/>
  <c r="AC87" i="4"/>
  <c r="AC88" i="4"/>
  <c r="AC90" i="4"/>
  <c r="Y86" i="4"/>
  <c r="AB86" i="4"/>
  <c r="AB88" i="4"/>
  <c r="AB85" i="4"/>
  <c r="AB90" i="4"/>
  <c r="AA85" i="4"/>
  <c r="AA87" i="4"/>
  <c r="AA92" i="4"/>
  <c r="AA90" i="4"/>
  <c r="Z85" i="4"/>
  <c r="Z88" i="4"/>
  <c r="AA88" i="4"/>
  <c r="Z90" i="4"/>
  <c r="Z87" i="4"/>
  <c r="Y87" i="4"/>
  <c r="Y88" i="4"/>
  <c r="Y85" i="4"/>
  <c r="Y90" i="4"/>
  <c r="X90" i="4"/>
  <c r="W90" i="4"/>
  <c r="X85" i="4"/>
  <c r="X87" i="4"/>
  <c r="X92" i="4"/>
  <c r="X98" i="4"/>
  <c r="X88" i="4"/>
  <c r="W85" i="4"/>
  <c r="W88" i="4"/>
  <c r="W99" i="4"/>
  <c r="V99" i="4"/>
  <c r="V88" i="4"/>
  <c r="V85" i="4"/>
  <c r="V86" i="4"/>
  <c r="V90" i="4"/>
  <c r="U85" i="4"/>
  <c r="U99" i="4"/>
  <c r="U98" i="4"/>
  <c r="U88" i="4"/>
  <c r="U90" i="4"/>
  <c r="T90" i="4"/>
  <c r="T85" i="4"/>
  <c r="T88" i="4"/>
  <c r="S88" i="4"/>
  <c r="S85" i="4"/>
  <c r="S86" i="4"/>
  <c r="S90" i="4"/>
  <c r="R90" i="4"/>
  <c r="Q90" i="4"/>
  <c r="R85" i="4"/>
  <c r="R99" i="4"/>
  <c r="R97" i="4"/>
  <c r="R88" i="4"/>
  <c r="Q85" i="4"/>
  <c r="Q88" i="4"/>
  <c r="P88" i="4"/>
  <c r="P85" i="4"/>
  <c r="P86" i="4"/>
  <c r="P90" i="4"/>
  <c r="O88" i="4"/>
  <c r="M90" i="4"/>
  <c r="S99" i="4"/>
  <c r="T99" i="4" s="1"/>
  <c r="O85" i="4"/>
  <c r="M85" i="4"/>
  <c r="AC55" i="4"/>
  <c r="Y71" i="4"/>
  <c r="AB75" i="4"/>
  <c r="Y70" i="4" s="1"/>
  <c r="Y72" i="4" s="1"/>
  <c r="AC51" i="4"/>
  <c r="AB49" i="4"/>
  <c r="AB47" i="4"/>
  <c r="AB51" i="4"/>
  <c r="AB46" i="4"/>
  <c r="AA46" i="4"/>
  <c r="AA58" i="4"/>
  <c r="AA51" i="4"/>
  <c r="AA49" i="4"/>
  <c r="Z51" i="4"/>
  <c r="Z46" i="4"/>
  <c r="Z49" i="4"/>
  <c r="Y49" i="4"/>
  <c r="Y47" i="4"/>
  <c r="Y51" i="4"/>
  <c r="Y46" i="4"/>
  <c r="X46" i="4"/>
  <c r="X51" i="4"/>
  <c r="X49" i="4"/>
  <c r="W51" i="4"/>
  <c r="V51" i="4"/>
  <c r="U51" i="4"/>
  <c r="U47" i="4"/>
  <c r="U49" i="4"/>
  <c r="T51" i="4"/>
  <c r="S60" i="4"/>
  <c r="T60" i="4" s="1"/>
  <c r="S51" i="4"/>
  <c r="R60" i="4"/>
  <c r="R49" i="4"/>
  <c r="R51" i="4"/>
  <c r="Q62" i="4"/>
  <c r="Q51" i="4"/>
  <c r="Q46" i="4"/>
  <c r="Q49" i="4"/>
  <c r="P49" i="4"/>
  <c r="P47" i="4"/>
  <c r="P51" i="4"/>
  <c r="P46" i="4"/>
  <c r="O46" i="4"/>
  <c r="O49" i="4"/>
  <c r="O78" i="4"/>
  <c r="L74" i="4" s="1"/>
  <c r="L75" i="4" s="1"/>
  <c r="L46" i="4" s="1"/>
  <c r="L49" i="4" s="1"/>
  <c r="M51" i="4" s="1"/>
  <c r="L88" i="4" l="1"/>
  <c r="M47" i="4"/>
  <c r="N51" i="4"/>
  <c r="O51" i="4" s="1"/>
  <c r="L62" i="4"/>
  <c r="M46" i="4"/>
  <c r="M49" i="4" s="1"/>
  <c r="N49" i="4" s="1"/>
  <c r="M86" i="4" l="1"/>
  <c r="M88" i="4" s="1"/>
  <c r="N88" i="4" s="1"/>
  <c r="N90" i="4"/>
  <c r="O90" i="4" s="1"/>
  <c r="O58" i="4"/>
  <c r="O60" i="4" s="1"/>
  <c r="P60" i="4" s="1"/>
  <c r="Q60" i="4" s="1"/>
  <c r="R59" i="4" s="1"/>
  <c r="R53" i="4" s="1"/>
  <c r="R48" i="4" s="1"/>
  <c r="N46" i="4"/>
  <c r="M54" i="4"/>
  <c r="N54" i="4" s="1"/>
  <c r="O54" i="4" s="1"/>
  <c r="N85" i="4" l="1"/>
  <c r="O97" i="4"/>
  <c r="O99" i="4" s="1"/>
  <c r="P99" i="4" s="1"/>
  <c r="Q99" i="4" s="1"/>
  <c r="M62" i="4"/>
  <c r="N62" i="4" s="1"/>
  <c r="O62" i="4" s="1"/>
  <c r="P54" i="4" s="1"/>
  <c r="Q54" i="4" s="1"/>
  <c r="R54" i="4" s="1"/>
  <c r="R46" i="4"/>
  <c r="S46" i="4" s="1"/>
  <c r="S47" i="4"/>
  <c r="S48" i="4"/>
  <c r="T48" i="4" s="1"/>
  <c r="S49" i="4" l="1"/>
  <c r="T49" i="4" s="1"/>
  <c r="U53" i="4" l="1"/>
  <c r="U48" i="4" s="1"/>
  <c r="T46" i="4"/>
  <c r="V48" i="4" l="1"/>
  <c r="W48" i="4" s="1"/>
  <c r="X52" i="4" s="1"/>
  <c r="U46" i="4"/>
  <c r="V46" i="4" s="1"/>
  <c r="V47" i="4"/>
  <c r="W46" i="4" l="1"/>
  <c r="W49" i="4" s="1"/>
  <c r="X58" i="4" s="1"/>
  <c r="X60" i="4" s="1"/>
  <c r="Y60" i="4" s="1"/>
  <c r="Z60" i="4" s="1"/>
  <c r="AA60" i="4" s="1"/>
  <c r="AB60" i="4" s="1"/>
  <c r="V49" i="4"/>
  <c r="H243" i="3" l="1"/>
  <c r="H250" i="3"/>
  <c r="H249" i="3"/>
  <c r="H247" i="3"/>
  <c r="H245" i="3"/>
  <c r="G245" i="3"/>
  <c r="G243" i="3"/>
  <c r="G244" i="3"/>
  <c r="G247" i="3"/>
  <c r="F243" i="3"/>
  <c r="F245" i="3"/>
  <c r="F250" i="3"/>
  <c r="F249" i="3"/>
  <c r="F247" i="3"/>
  <c r="E245" i="3"/>
  <c r="E244" i="3"/>
  <c r="E243" i="3"/>
  <c r="E247" i="3"/>
  <c r="D243" i="3"/>
  <c r="D250" i="3"/>
  <c r="D249" i="3"/>
  <c r="D247" i="3"/>
  <c r="D245" i="3"/>
  <c r="C245" i="3"/>
  <c r="C244" i="3"/>
  <c r="C247" i="3"/>
  <c r="F207" i="3"/>
  <c r="E205" i="3"/>
  <c r="F208" i="3" s="1"/>
  <c r="F209" i="3" s="1"/>
  <c r="E203" i="3"/>
  <c r="D187" i="3"/>
  <c r="F142" i="3"/>
  <c r="F140" i="3"/>
  <c r="F137" i="3"/>
  <c r="F141" i="3" s="1"/>
  <c r="F143" i="3" s="1"/>
  <c r="G129" i="3"/>
  <c r="E121" i="3" s="1"/>
  <c r="F121" i="3" s="1"/>
  <c r="D112" i="3"/>
  <c r="E112" i="3" s="1"/>
  <c r="C118" i="3"/>
  <c r="C113" i="3" s="1"/>
  <c r="C114" i="3" s="1"/>
  <c r="E75" i="3"/>
  <c r="F75" i="3" s="1"/>
  <c r="G75" i="3" s="1"/>
  <c r="F95" i="3"/>
  <c r="E81" i="3" s="1"/>
  <c r="G81" i="3" s="1"/>
  <c r="D79" i="3"/>
  <c r="C79" i="3"/>
  <c r="B79" i="3"/>
  <c r="B76" i="3" s="1"/>
  <c r="C43" i="3"/>
  <c r="C40" i="3" s="1"/>
  <c r="D118" i="3" l="1"/>
  <c r="H75" i="3"/>
  <c r="F112" i="3"/>
  <c r="D113" i="3"/>
  <c r="E113" i="3" s="1"/>
  <c r="C41" i="3"/>
  <c r="D43" i="3"/>
  <c r="D40" i="3" s="1"/>
  <c r="D41" i="3" s="1"/>
  <c r="B77" i="3"/>
  <c r="C76" i="3"/>
  <c r="G112" i="3" l="1"/>
  <c r="D114" i="3"/>
  <c r="E114" i="3"/>
  <c r="C77" i="3"/>
  <c r="D76" i="3"/>
  <c r="G118" i="3" l="1"/>
  <c r="F118" i="3"/>
  <c r="F113" i="3"/>
  <c r="D77" i="3"/>
  <c r="E76" i="3"/>
  <c r="E77" i="3" l="1"/>
  <c r="F76" i="3"/>
  <c r="G113" i="3"/>
  <c r="G114" i="3" s="1"/>
  <c r="F114" i="3"/>
  <c r="F77" i="3" l="1"/>
  <c r="G79" i="3" s="1"/>
  <c r="H79" i="3" s="1"/>
  <c r="G76" i="3" l="1"/>
  <c r="H76" i="3" l="1"/>
  <c r="H77" i="3" s="1"/>
  <c r="G77" i="3"/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<sst xmlns="http://schemas.openxmlformats.org/spreadsheetml/2006/main" count="1073" uniqueCount="836">
  <si>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</si>
  <si>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</si>
  <si>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</si>
  <si>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</si>
  <si>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</si>
  <si>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</si>
  <si>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</si>
  <si>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</si>
  <si>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</si>
  <si>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</si>
  <si>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</si>
  <si>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</si>
  <si>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</si>
  <si>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</si>
  <si>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</si>
  <si>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</si>
  <si>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</si>
  <si>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</si>
  <si>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</si>
  <si>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</si>
  <si>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</si>
  <si>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</si>
  <si>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</si>
  <si>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</si>
  <si>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</si>
  <si>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</si>
  <si>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</si>
  <si>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</si>
  <si>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</si>
  <si>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</si>
  <si>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</si>
  <si>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</si>
  <si>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</si>
  <si>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</si>
  <si>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</si>
  <si>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</si>
  <si>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</si>
  <si>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</si>
  <si>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</si>
  <si>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</si>
  <si>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</si>
  <si>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</si>
  <si>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</si>
  <si>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</si>
  <si>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</si>
  <si>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</si>
  <si>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</si>
  <si>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</si>
  <si>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</si>
  <si>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</si>
  <si>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</si>
  <si>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</si>
  <si>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</si>
  <si>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</si>
  <si>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</si>
  <si>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</si>
  <si>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</si>
  <si>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</si>
  <si>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</si>
  <si>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</si>
  <si>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</si>
  <si>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</si>
  <si>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</si>
  <si>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</si>
  <si>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</si>
  <si>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</si>
  <si>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</si>
  <si>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</si>
  <si>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</si>
  <si>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</si>
  <si>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</si>
  <si>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</si>
  <si>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</si>
  <si>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</si>
  <si>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</si>
  <si>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</si>
  <si>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</si>
  <si>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</si>
  <si>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</si>
  <si>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</si>
  <si>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</si>
  <si>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</si>
  <si>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</si>
  <si>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</si>
  <si>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</si>
  <si>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</si>
  <si>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</si>
  <si>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</si>
  <si>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</si>
  <si>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</si>
  <si>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</si>
  <si>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</si>
  <si>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</si>
  <si>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</si>
  <si>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</si>
  <si>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</si>
  <si>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</si>
  <si>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</si>
  <si>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</si>
  <si>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</si>
  <si>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</si>
  <si>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</si>
  <si>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</si>
  <si>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</si>
  <si>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</si>
  <si>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</si>
  <si>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</si>
  <si>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</si>
  <si>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</si>
  <si>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</si>
  <si>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</si>
  <si>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</si>
  <si>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</si>
  <si>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</si>
  <si>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</si>
  <si>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</si>
  <si>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</si>
  <si>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</si>
  <si>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</si>
  <si>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</si>
  <si>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</si>
  <si>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</si>
  <si>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</si>
  <si>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</si>
  <si>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</si>
  <si>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</si>
  <si>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</si>
  <si>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</si>
  <si>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</si>
  <si>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</si>
  <si>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</si>
  <si>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</si>
  <si>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</si>
  <si>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</si>
  <si>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</si>
  <si>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</si>
  <si>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</si>
  <si>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</si>
  <si>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</si>
  <si>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</si>
  <si>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</si>
  <si>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</si>
  <si>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</si>
  <si>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</si>
  <si>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</si>
  <si>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</si>
  <si>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</si>
  <si>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</si>
  <si>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</si>
  <si>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</si>
  <si>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</si>
  <si>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</si>
  <si>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</si>
  <si>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</si>
  <si>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</si>
  <si>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</si>
  <si>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</si>
  <si>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</si>
  <si>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</si>
  <si>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</si>
  <si>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</si>
  <si>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</si>
  <si>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</si>
  <si>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</si>
  <si>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</si>
  <si>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</si>
  <si>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</si>
  <si>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</si>
  <si>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</si>
  <si>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</si>
  <si>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</si>
  <si>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</si>
  <si>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</si>
  <si>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</si>
  <si>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</si>
  <si>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</si>
  <si>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</si>
  <si>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</si>
  <si>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</si>
  <si>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</si>
  <si>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</si>
  <si>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</si>
  <si>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</si>
  <si>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</si>
  <si>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</si>
  <si>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</si>
  <si>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</si>
  <si>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</si>
  <si>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</si>
  <si>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</si>
  <si>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</si>
  <si>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</si>
  <si>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</si>
  <si>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</si>
  <si>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</si>
  <si>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</si>
  <si>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</si>
  <si>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</si>
  <si>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</si>
  <si>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</si>
  <si>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</si>
  <si>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</si>
  <si>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</si>
  <si>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</si>
  <si>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</si>
  <si>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</si>
  <si>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</si>
  <si>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</si>
  <si>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</si>
  <si>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</si>
  <si>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</si>
  <si>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</si>
  <si>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</si>
  <si>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</si>
  <si>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</si>
  <si>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</si>
  <si>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</si>
  <si>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</si>
  <si>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</si>
  <si>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</si>
  <si>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</si>
  <si>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</si>
  <si>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</si>
  <si>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</si>
  <si>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</si>
  <si>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</si>
  <si>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</si>
  <si>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</si>
  <si>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</si>
  <si>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</si>
  <si>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</si>
  <si>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</si>
  <si>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</si>
  <si>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</si>
  <si>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</si>
  <si>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</si>
  <si>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</si>
  <si>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</si>
  <si>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</si>
  <si>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</si>
  <si>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</si>
  <si>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</si>
  <si>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</si>
  <si>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</si>
  <si>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</si>
  <si>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</si>
  <si>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</si>
  <si>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</si>
  <si>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</si>
  <si>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</si>
  <si>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</si>
  <si>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</si>
  <si>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</si>
  <si>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</si>
  <si>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</si>
  <si>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</si>
  <si>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</si>
  <si>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</si>
  <si>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</si>
  <si>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</si>
  <si>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</si>
  <si>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</si>
  <si>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</si>
  <si>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</si>
  <si>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</si>
  <si>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</si>
  <si>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</si>
  <si>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</si>
  <si>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</si>
  <si>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</si>
  <si>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</si>
  <si>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</si>
  <si>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</si>
  <si>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</si>
  <si>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</si>
  <si>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</si>
  <si>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</si>
  <si>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</si>
  <si>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</si>
  <si>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</si>
  <si>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</si>
  <si>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</si>
  <si>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</si>
  <si>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</si>
  <si>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</si>
  <si>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</si>
  <si>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</si>
  <si>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</si>
  <si>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</si>
  <si>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</si>
  <si>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</si>
  <si>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</si>
  <si>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</si>
  <si>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</si>
  <si>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</si>
  <si>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</si>
  <si>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</si>
  <si>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</si>
  <si>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</si>
  <si>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</si>
  <si>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</si>
  <si>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</si>
  <si>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</si>
  <si>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</si>
  <si>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</si>
  <si>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</si>
  <si>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</si>
  <si>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</si>
  <si>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</si>
  <si>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</si>
  <si>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</si>
  <si>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</si>
  <si>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</si>
  <si>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</si>
  <si>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</si>
  <si>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</si>
  <si>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</si>
  <si>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</si>
  <si>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</si>
  <si>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</si>
  <si>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</si>
  <si>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</si>
  <si>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</si>
  <si>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</si>
  <si>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</si>
  <si>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</si>
  <si>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</si>
  <si>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</si>
  <si>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</si>
  <si>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</si>
  <si>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</si>
  <si>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</si>
  <si>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</si>
  <si>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</si>
  <si>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</si>
  <si>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</si>
  <si>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</si>
  <si>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</si>
  <si>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</si>
  <si>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</si>
  <si>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</si>
  <si>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</si>
  <si>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</si>
  <si>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</si>
  <si>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</si>
  <si>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</si>
  <si>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</si>
  <si>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</si>
  <si>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</si>
  <si>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</si>
  <si>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</si>
  <si>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</si>
  <si>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</si>
  <si>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</si>
  <si>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</si>
  <si>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</si>
  <si>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</si>
  <si>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</si>
  <si>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</si>
  <si>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</si>
  <si>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</si>
  <si>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</si>
  <si>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</si>
  <si>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</si>
  <si>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</si>
  <si>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</si>
  <si>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</si>
  <si>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</si>
  <si>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</si>
  <si>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</si>
  <si>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</si>
  <si>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</si>
  <si>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</si>
  <si>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</si>
  <si>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</si>
  <si>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</si>
  <si>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</si>
  <si>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</si>
  <si>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</si>
  <si>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</si>
  <si>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</si>
  <si>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</si>
  <si>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</si>
  <si>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</si>
  <si>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</si>
  <si>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</si>
  <si>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</si>
  <si>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</si>
  <si>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</si>
  <si>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</si>
  <si>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</si>
  <si>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</si>
  <si>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</si>
  <si>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</si>
  <si>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</si>
  <si>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</si>
  <si>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</si>
  <si>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</si>
  <si>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</si>
  <si>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</si>
  <si>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</si>
  <si>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</si>
  <si>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</si>
  <si>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</si>
  <si>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</si>
  <si>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</si>
  <si>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</si>
  <si>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</si>
  <si>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</si>
  <si>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</si>
  <si>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</si>
  <si>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</si>
  <si>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</si>
  <si>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</si>
  <si>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</si>
  <si>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</si>
  <si>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</si>
  <si>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</si>
  <si>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</si>
  <si>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</si>
  <si>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</si>
  <si>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</si>
  <si>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</si>
  <si>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</si>
  <si>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</si>
  <si>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</si>
  <si>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</si>
  <si>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</si>
  <si>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</si>
  <si>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</si>
  <si>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</si>
  <si>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</si>
  <si>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</si>
  <si>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</si>
  <si>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</si>
  <si>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</si>
  <si>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</si>
  <si>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</si>
  <si>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</si>
  <si>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</si>
  <si>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</si>
  <si>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</si>
  <si>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</si>
  <si>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</si>
  <si>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</si>
  <si>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</si>
  <si>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</si>
  <si>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</si>
  <si>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</si>
  <si>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</si>
  <si>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</si>
  <si>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</si>
  <si>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</si>
  <si>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</si>
  <si>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</si>
  <si>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</si>
  <si>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</si>
  <si>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</si>
  <si>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</si>
  <si>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</si>
  <si>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</si>
  <si>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</si>
  <si>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</si>
  <si>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</si>
  <si>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</si>
  <si>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</si>
  <si>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</si>
  <si>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</si>
  <si>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</si>
  <si>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</si>
  <si>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</si>
  <si>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</si>
  <si>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</si>
  <si>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</si>
  <si>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</si>
  <si>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</si>
  <si>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</si>
  <si>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</si>
  <si>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</si>
  <si>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</si>
  <si>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</si>
  <si>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</si>
  <si>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</si>
  <si>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</si>
  <si>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</si>
  <si>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</si>
  <si>
    <t>הרצאה מס׳ 3 - המשך רכוש קבוע - מתקרבים להשלמת מודל ה״עלות״ - בהדגש רכיבים, החלפות והשבחות</t>
  </si>
  <si>
    <t>בעברית: במקרים רבים אנו מתייחסים לרכוש קבוע כאל פריט בודד שתכל׳ס - מופחת כולו לפי השיטה המתאימה</t>
  </si>
  <si>
    <t>מספר השנים.</t>
  </si>
  <si>
    <t>אבל לעתים פריט רכוש קבוע מורכב מחלקים / רכיבים שיש להם אורך חיים שימושיים שונה מזה של הפריט כולו.</t>
  </si>
  <si>
    <t>התקן מעניק כדוגמא מטוס שהשלד שלו מחזיק מעמד שנים ארוכות, אבל את החלקים הפנימיים כגון כסאות</t>
  </si>
  <si>
    <t>יש להחליף בתדירות גבוהה יותר.</t>
  </si>
  <si>
    <t>תרגיל מס׳ 1</t>
  </si>
  <si>
    <t>קנלו בע״מ רכשה מכונה ענקית לחימום נקניק לעובדי המשרד.</t>
  </si>
  <si>
    <t>עלות המכונה הכוללת היא 2,000,000 ש״ח.</t>
  </si>
  <si>
    <t xml:space="preserve">החברה ביצעה הערכה לגבי רכיבי המכונה לצורך הפחתתה בגישת הרכיבים על פי הנחיות IAS 16. </t>
  </si>
  <si>
    <t>להלן ממצאי ההערכה:</t>
  </si>
  <si>
    <t>רכיב</t>
  </si>
  <si>
    <t>מנוע</t>
  </si>
  <si>
    <t>תמסורת</t>
  </si>
  <si>
    <t>גלילי חימום נקניק</t>
  </si>
  <si>
    <t xml:space="preserve">ש״ח </t>
  </si>
  <si>
    <t>אורך החיים השימושיים בשנים</t>
  </si>
  <si>
    <t xml:space="preserve">המכונה נרכשה והפכה לזמינה לשימוש ב-1.1.2020. </t>
  </si>
  <si>
    <t xml:space="preserve">נדרש: חשבו והציגו את הוצאות הפחת והעלות המופחתת לתום כל אחת מהשנים 2020, 2021. </t>
  </si>
  <si>
    <t>קו ישר</t>
  </si>
  <si>
    <t>פתרון:</t>
  </si>
  <si>
    <t>באופן כללי, כשפריטי רכוש קבוע כוללים מספר חלקים, יש מצב שנצטרך להחליף חלקים אלו לפני</t>
  </si>
  <si>
    <t xml:space="preserve">תום החיים השימושיים של הרכוש הקבוע כולו. </t>
  </si>
  <si>
    <t xml:space="preserve">ההחלפה תתווסף לעלות הפריט; אבל במקביל צריך לגרוע את הערך בספרים של החלק שהוחלף. </t>
  </si>
  <si>
    <t xml:space="preserve">לגרוע = לאפס / לבטל את הערך בספרים (נטו) של מה שהוחלף. </t>
  </si>
  <si>
    <t>אם אין לנו מושג מהו ערך הספרים של החלק שהוחלף, אפשר להתבסס על עלות הפריט המחליף.</t>
  </si>
  <si>
    <t>שאלה 2 - רכוש קבוע הכולל מספר חלקים, התייחסות להחלפות גריעות ושינויים</t>
  </si>
  <si>
    <t>עיליי בע״מ קנתה מכונה לחימום נקניק. עלות המכונה 500,000 ש״ח, תאריך רכישתה 1.1.2020 ואורך חייה</t>
  </si>
  <si>
    <t xml:space="preserve">השימושיים 5 שנים. המכונה מופחתת בשיטת הקו הישר. </t>
  </si>
  <si>
    <t xml:space="preserve">המכונה כוללת מנוע וסלילי חימום נקניק. </t>
  </si>
  <si>
    <t xml:space="preserve">במועד הרכישה, החברה לא ביצעה הפרדה בין הרכיבים מבחינת אופן הפחתתם. </t>
  </si>
  <si>
    <t>החלפת המנוע לא שינתה את אורך החיים הכולל של המכונה.</t>
  </si>
  <si>
    <t>נדרש: הציגו את ערך הספרים ואת הוצאות הפחת בגין השנים 2020-2024, בכפוף להנחיות IAS 16 בדבר העיסוק</t>
  </si>
  <si>
    <t xml:space="preserve">בהחלפות של רכיבי פריטי רכוש קבוע. </t>
  </si>
  <si>
    <t xml:space="preserve">בחלוף 3 שנים ממועד הרכישה - 1.1.2023, הוחלף המנוע, כאשר עלות המנוע החדש הסתכמה ב-150,000 ש״ח. </t>
  </si>
  <si>
    <t>כדי להעניק ביטוי להחלפת המנוע, עלינו:</t>
  </si>
  <si>
    <t xml:space="preserve">א. לגרוע (להוציא, להעיף, לאפס) - את הערך של המנוע הישן. </t>
  </si>
  <si>
    <t xml:space="preserve">ב. להכיר (להוסיף, להכניס) - את העלות של המנוע החדש. </t>
  </si>
  <si>
    <t>לגבי הערך של המנוע הישן - יש שתי אפשרויות:</t>
  </si>
  <si>
    <t>האפשרות הקלה - שלא כלולה בתרגיל הזה - היא: אם אמרו לי במועד הרכישה איזה חלק מהווה</t>
  </si>
  <si>
    <t>המנוע - אני בודק עליו ספציפית את ההפחתה ואת ערך הספרים.</t>
  </si>
  <si>
    <t>האפשרות המורכבת יותר - אם אין מידע ישיר לגבי החלק שמוחלף, נתבסס על הנחה לפיה העלות</t>
  </si>
  <si>
    <t>של המוחלף זהה לעלות של המחליף, ונפחית אותה בהתאם עד ערב ההחלפה.</t>
  </si>
  <si>
    <t>מנוע חדש - אומדן לעלות המנוע הישן</t>
  </si>
  <si>
    <t>פחת נצבר עד ערב ההחלפה</t>
  </si>
  <si>
    <t xml:space="preserve">150,000 / 5 * 3 = </t>
  </si>
  <si>
    <t>ערך ספרים רכיב מוחלף - אומדן</t>
  </si>
  <si>
    <t>לאחר גריעת</t>
  </si>
  <si>
    <t>הפסד בגין החלפת רכיב</t>
  </si>
  <si>
    <t>לאחר תוספת</t>
  </si>
  <si>
    <t>רכיב חדש</t>
  </si>
  <si>
    <t>שאלה 3 - לכיתה - רכוש קבוע הכולל מספר חלקים, התייחסות להחלפות גריעות ושינויים</t>
  </si>
  <si>
    <t xml:space="preserve">קלארקי בע״מ רכשה מחשב מדגם לנובו Pro Naknik Turbo בעלות של 8,000 ש״ח. </t>
  </si>
  <si>
    <t>מועד הרכישה הוא 1.1.2020, אך התמורה תשולם בפועל רק ב-1.1.2021, וזאת לאור הסדר מימון מיוחד שנערך</t>
  </si>
  <si>
    <t>מול הספק.</t>
  </si>
  <si>
    <t xml:space="preserve">בדרך כלל, מקובל בשוק לרכוש מחשבים כאלו במזומן, ומחיר של מחשב זה במזומן הוא 7,200 ש״ח. </t>
  </si>
  <si>
    <t>בהתאם להערכות החברה, המחשב כולל 2 רכיבים בלבד: דיסק קשיח וכל יתר המחשב. החברה מתייחסת לשני</t>
  </si>
  <si>
    <t xml:space="preserve">רכיבים אלו יחד לאור העובדה שהיא מאריכה שאורך החיים השימושיים שלהם זהה ועומד על 3 שנים. </t>
  </si>
  <si>
    <t xml:space="preserve">ב-1.7.2021 הוחלף הדיסק הקשיח בשל כשל מערכתי (קלארקי שפכה שקשוקה על המחשב). </t>
  </si>
  <si>
    <t xml:space="preserve">עלות הדיסק הקשיח המחליף היא 1,000 ש״ח. </t>
  </si>
  <si>
    <t xml:space="preserve">נדרש: חשבו והציגו את מכלול ההשפעות המאזניות והתוצאתיות של המחשב לשנים 2020, 2021 ו-2022.  </t>
  </si>
  <si>
    <t>התחייבות</t>
  </si>
  <si>
    <t>הוצאות מימון</t>
  </si>
  <si>
    <t>לפני החלפה</t>
  </si>
  <si>
    <t>אחרי החלפה</t>
  </si>
  <si>
    <t>הפסד מהחלפה</t>
  </si>
  <si>
    <t>כדי לחשב את ההפסד מההחלפה עלינו להגיע לעלות המופחתת (ערך הספרים) של הרכיב המוחלף.</t>
  </si>
  <si>
    <t>הואיל וערך זה לא ידוע (כי במועד הרכישה החברה לא ייחסה עלויות לרכיב), נתבסס לשם אומדן</t>
  </si>
  <si>
    <t>ערך הספרים של הפריט המוחלף על עלות הפריט המחליף (החדש) בשיקלול הפחת שחלף מאז הרכישה:</t>
  </si>
  <si>
    <t>עלות הרכיב החדש = אומדן לעלות ההיסטורית של הרכיב שהוחלף</t>
  </si>
  <si>
    <t>בניכוי פחת נצבר נאמד של הרכיב שהוחלף</t>
  </si>
  <si>
    <t xml:space="preserve">1,000 / 3 * (1 + 6/12) = </t>
  </si>
  <si>
    <t>ערך הספרים של הפריט המוחלף = הפסד בגין ההחלפה</t>
  </si>
  <si>
    <t xml:space="preserve">1,000 - 500 = </t>
  </si>
  <si>
    <t xml:space="preserve">פירוט נוסף - תנועות בחשבון הפחת הנצבר, על מנת להבהיר בצורה טובה יותר כיצד ביטאנו פחת </t>
  </si>
  <si>
    <t>נצבר ליום 31/12/2021:</t>
  </si>
  <si>
    <t>יתרת פתיחה</t>
  </si>
  <si>
    <t>יתרת סגירה</t>
  </si>
  <si>
    <t>הוצאות פחת טרם החלפה</t>
  </si>
  <si>
    <t>הוצאות פחת לאחר ההחלפה</t>
  </si>
  <si>
    <t>איפוס פחת נצבר פריט שהוחלף</t>
  </si>
  <si>
    <t xml:space="preserve">הוצאות פחת </t>
  </si>
  <si>
    <t xml:space="preserve">7,200 / 3 = </t>
  </si>
  <si>
    <t xml:space="preserve">7,200 / 3 * 6/12 = </t>
  </si>
  <si>
    <t xml:space="preserve">4,100/1.5 * (6/12) = </t>
  </si>
  <si>
    <t xml:space="preserve">4,100/1.5 = </t>
  </si>
  <si>
    <t>האם לעסקת ההחלפה יש ״מהות מסחרית״? - Commercial Substance</t>
  </si>
  <si>
    <t>כלומר, האם כתוצאה מהעסקה צפוי שינוי במאפיינים התזרימיים (תזרימי מזומנים)</t>
  </si>
  <si>
    <t>הצפויים מהנכס: שינוי סכומי מזומן, שינוי עיתוי (תזמון), שינוי בסיכון.</t>
  </si>
  <si>
    <t>אם</t>
  </si>
  <si>
    <t>לא</t>
  </si>
  <si>
    <t>כן</t>
  </si>
  <si>
    <t xml:space="preserve">קרי: </t>
  </si>
  <si>
    <t>אין מהות</t>
  </si>
  <si>
    <t>יש מהות</t>
  </si>
  <si>
    <t>מסחרית</t>
  </si>
  <si>
    <t xml:space="preserve">הנכס </t>
  </si>
  <si>
    <t>השווי</t>
  </si>
  <si>
    <t>שהתקבל</t>
  </si>
  <si>
    <t>לא יוכר</t>
  </si>
  <si>
    <t>של הנכס</t>
  </si>
  <si>
    <t>יוכר בערך</t>
  </si>
  <si>
    <t>רווח / הפסד</t>
  </si>
  <si>
    <t>או הנכסים</t>
  </si>
  <si>
    <t>אם השווי ההוגן של הנכס</t>
  </si>
  <si>
    <t>זהה לערך</t>
  </si>
  <si>
    <t xml:space="preserve">הון כי </t>
  </si>
  <si>
    <t>שנמסרו</t>
  </si>
  <si>
    <t>שהתקבל הוא מהימן יותר</t>
  </si>
  <si>
    <t>הספרים</t>
  </si>
  <si>
    <t>לא קרה</t>
  </si>
  <si>
    <t>יקבע את עלות</t>
  </si>
  <si>
    <t xml:space="preserve">נמדוד את עלות הנכס </t>
  </si>
  <si>
    <t>שינוי כלכלי</t>
  </si>
  <si>
    <t>הנכס</t>
  </si>
  <si>
    <t>שהתקבל לפי השווי שלו</t>
  </si>
  <si>
    <t>שנמסר</t>
  </si>
  <si>
    <t>כיצד נמדוד פריט רכוש קבוע ש״נרכש״ (התקבל) בעסקת החלפה? (טרייד אין)</t>
  </si>
  <si>
    <t>שאלה 4 - לכיתה - עסקת החלפה מורכבת</t>
  </si>
  <si>
    <t xml:space="preserve">חברת ״היכן התפוז״ בע״מ היא חברה מסחרית העוסקת בחימום נקניק. </t>
  </si>
  <si>
    <t>החברה מחזיקה במכונה לחימום נקניק שערכה בספרים 100,000 ש״ח.</t>
  </si>
  <si>
    <t xml:space="preserve">מסרה את המכונה הישנה והוסיפה 78,000 ש״ח במזומן. </t>
  </si>
  <si>
    <t>לפי פייסבוק מרקטפלייס, קיימת שונות רבה במחירי המכירה של מכונות משומשות לחימום נקניק, ובכפוף לכך,</t>
  </si>
  <si>
    <t>ממוצע השווי של המכונה הוא 90,000 ש״ח.</t>
  </si>
  <si>
    <t>המכונה החדשה שקנלו אוהב עולה במזומן 211,000 ש״ח.</t>
  </si>
  <si>
    <t>א. האם העסקה עומדת בהגדרות התקן לגבי ״עסקת החלפה בעלת מהות מסחרית״?</t>
  </si>
  <si>
    <t xml:space="preserve">לאחרונה, הוחלפה המכונה בעסקת טרייד אין במכונה ענקית יותר, מתקדמת יותר, כמו שקנלו אוהב, ולשם כך </t>
  </si>
  <si>
    <t>התשובה חיובית. מדובר במכונות שונות, בעלות כושר תפקוד שונה, סביר להניח שהיקף תפוקה שונה ולכן המזומנים</t>
  </si>
  <si>
    <t>שצפויים להיות מונבים מהמכונה החדשה הם בעלי מאפיינים שונים. בנוסף לכך, עצם העובדה שקנלו הוסיף מזומן</t>
  </si>
  <si>
    <t xml:space="preserve">כדי לקבל את המכונה החדשה - משמעה שינוי משמעותי במזומנים. </t>
  </si>
  <si>
    <t>ב. מהו הסכום שבו נמדוד את עלות המכונה החדשה?</t>
  </si>
  <si>
    <r>
      <t>התקן קובע כי בעסקת החלפה בעלת מהות מסחרית, נמדוד את עלות הפריט המתקבל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של הפריטים</t>
    </r>
  </si>
  <si>
    <t xml:space="preserve">שנמסרו, אלא אם שווי הפריט שהתקבל הוא מהימן יותר (ואז נלך לפיו). </t>
  </si>
  <si>
    <t>שווי הפריטים שנמסרו:</t>
  </si>
  <si>
    <t>מזומן</t>
  </si>
  <si>
    <t>מכונה ישנה - שווי</t>
  </si>
  <si>
    <t>שווי הפריט שהתקבל (החדש)</t>
  </si>
  <si>
    <t>מי מהערכים מהימן יותר? 168,000 או 211,000?</t>
  </si>
  <si>
    <t>התשובה: הואיל והערך של 168,000 כולל רכיב שווי מכונה ישנה</t>
  </si>
  <si>
    <t>שבנתוני השאלה נאמר ש״כפוף לתנודתיות רבה״ (יכול להשתנות, לא מהימן)</t>
  </si>
  <si>
    <t>הרי ששווי הפריט שמתקבל שעלותו במזומן ידועה עובדתית - מהימן יותר.</t>
  </si>
  <si>
    <t>ולכן, נכיר בפריט החדש בהתאם לשווי הפריט שהתקבל:</t>
  </si>
  <si>
    <t>ג. מהו הרווח / ההפסד מההחלפה?</t>
  </si>
  <si>
    <t xml:space="preserve">עסקת ההחלפה בעצם דומה מאד לעסקת מכירה; אני ״מוותר״ על משהו (פריט ישן ומזומן) ומקבל משהו (פריט חדש). </t>
  </si>
  <si>
    <t>מסרנו מזומן</t>
  </si>
  <si>
    <r>
      <t xml:space="preserve">בראייה </t>
    </r>
    <r>
      <rPr>
        <b/>
        <sz val="12"/>
        <color theme="1"/>
        <rFont val="David"/>
      </rPr>
      <t>חשבונאית - ערכי הספרים של הנכסים שמסרנו</t>
    </r>
    <r>
      <rPr>
        <sz val="12"/>
        <color theme="1"/>
        <rFont val="David"/>
      </rPr>
      <t>:</t>
    </r>
  </si>
  <si>
    <t>מסרנו מכונה - לפי ערך ספרים</t>
  </si>
  <si>
    <t>בסך הכל, הורדנו מהספרים (גריעה)</t>
  </si>
  <si>
    <t>התמורה שקיבלנו היא לפי ההכרה בנכס החדש:</t>
  </si>
  <si>
    <t>בניכוי ערך חשבונאי פריטים שנמסרו:</t>
  </si>
  <si>
    <t>רווח מעסקת ההחלפה</t>
  </si>
  <si>
    <t>חדש!!! הערכה מחדש!!!</t>
  </si>
  <si>
    <t>שימו לב: עד עכשיו, כל הדיון ברכוש קבוע התבסס על עלות בניכוי ערכים.</t>
  </si>
  <si>
    <t>בניכוי פחת נצבר - הכי נפוץ, ובניכוי הפרשה לירידת ערך - פחות נפוץ,</t>
  </si>
  <si>
    <t>אך קיים...</t>
  </si>
  <si>
    <t>מה לגבי מצב שבו חברה מעוניינת להתייחס במסגרת הדיווחים גם לעליית</t>
  </si>
  <si>
    <t xml:space="preserve">ערך של פריטים? חברה שקנתה מבנים למשל, שערכם רק עולה.. והיא </t>
  </si>
  <si>
    <t>מעוניינת לבטא זאת? האם יש לה דרך לעשות את זה?</t>
  </si>
  <si>
    <t xml:space="preserve">התשובה: כן. מדובר במודל הערכה מחדש - Revaluation Model. </t>
  </si>
  <si>
    <t>מדוע המודל הזה לא נפוץ במיוחד?</t>
  </si>
  <si>
    <t>הואיל וחברה לא מתכננת למכור פריטי רכוש קבוע, תכל׳ס - אם שווי</t>
  </si>
  <si>
    <t>הפריט עולה, במקרים רבים - אין לכך השפעה כלכלית ממשית על החברה.</t>
  </si>
  <si>
    <t xml:space="preserve">לאור זאת, וזה נכון במיוחד בהשפעה חיובית של הערכה מחדש שבה נתמקד היום, </t>
  </si>
  <si>
    <t>עליות ערך בסיסיות שנובעות מהערכה מחדש - אינן מהוות רווח אלא נקראות</t>
  </si>
  <si>
    <t xml:space="preserve">רווח כולל אחר. </t>
  </si>
  <si>
    <t xml:space="preserve">בחברת ״פילוס וסיתוונית״ רכשו ב-1.1.2020 מכונה ענקית לחימום נקניק, בעיצוב של ז׳רז׳ון פוניני. </t>
  </si>
  <si>
    <t>עלות המכונה 500,000 ש״ח, אורך חייה השימושיים 10 שנים, ושיטת הפחת אותה מיישמת החברה היא הקו הישר.</t>
  </si>
  <si>
    <t>בנוסף, החברה מאמצת את מודל ההערכה מחדש למדידת פריטי הרכוש הקבוע שבבעלותה, כאשר תדירות השערוך</t>
  </si>
  <si>
    <t xml:space="preserve">היא אחת לשנה וקרן ההערכה מחדש מועברת לעודפים במועד המימוש בלבד. </t>
  </si>
  <si>
    <t>להלן נתונים לגבי השווי ההוגן של המכונה בתאריכים שונים:</t>
  </si>
  <si>
    <t>תאריך</t>
  </si>
  <si>
    <t>נדרש: הציגו את מכלול ההשפעות המאזניות והתוצאתיות בגין הפריט עבור השנים המתוארות.</t>
  </si>
  <si>
    <t>לפני שערוך</t>
  </si>
  <si>
    <t>לדיווח</t>
  </si>
  <si>
    <t xml:space="preserve">לדיווח </t>
  </si>
  <si>
    <t>רווח כולל אחר</t>
  </si>
  <si>
    <t>יתרת קרן הערכה</t>
  </si>
  <si>
    <t>עלות ״ערך ברוטו״</t>
  </si>
  <si>
    <t xml:space="preserve">הרצאה 4 - המשך רכוש קבוע - מודל הערכה מחדש </t>
  </si>
  <si>
    <t>רקע:</t>
  </si>
  <si>
    <t xml:space="preserve">חברה יכולה (וזה נפוץ) למדוד את פריטי הרכוש הקבוע שבבעלותה לפי מודל שנקרא ״עלות״. </t>
  </si>
  <si>
    <t>אם היא בוחרת למדוד לפי עלות - המשמעות היא שאופן המדידה והחישוב הוא כפי שלמדנו - עלות, בניכוי פחת נצבר,</t>
  </si>
  <si>
    <t xml:space="preserve">בניכוי הפרשות לירידת ערך. </t>
  </si>
  <si>
    <t>הרציונל במדידה לפי עלות בניכוי ערכים, גם אם השווי עולה - הוא שפריט רכוש קבוע לא מתכננים למכור; ולכן גם אם</t>
  </si>
  <si>
    <t>ערכו עולה, אין לתת לכך עקרונית ביטוי מיידי במודל העלות.</t>
  </si>
  <si>
    <t>לצד זאת, התקן IAS 16 מאפשר גם למדוד פריטי רכוש קבוע לפי בסיס מדידה אלטרנטיבי, שנקרא בלטינית:</t>
  </si>
  <si>
    <t xml:space="preserve">הערכותוס מחדשוס. </t>
  </si>
  <si>
    <t>על פי בסיס מדידה זה (הערכה מחדש, בעברית) החברה רשאית לקבוע מבין כלל פריטי הרכוש הקבוע שלה קבוצות שהיא</t>
  </si>
  <si>
    <t xml:space="preserve">תמדוד לפי ״שוויין״ = כלומר, תשערך את ערכן בתדירות שתקבע. </t>
  </si>
  <si>
    <t>המשמעות היא שאם למשל בחברה יש מכונות, מחשבים, כלי רכב וגם מבנים - היא יכולה להחליט שאת המבנים היא</t>
  </si>
  <si>
    <t>תמדוד לפי הערכה מחדש (כי במבנים שינויי השווי עשויים להיות מהותיים והחברה עשויה לרצות לשקף זאת) ואת יתר</t>
  </si>
  <si>
    <t xml:space="preserve">סוגי הפריטים תמדוד לפי עלות. </t>
  </si>
  <si>
    <t xml:space="preserve">כמובן שצריכה להשמר עקביות - כך למשל, אי אפשר בתוך קבוצת המבנים למדוד חלק מהם לפי עלות וחלק לפי </t>
  </si>
  <si>
    <t xml:space="preserve">הערכה מחדש. </t>
  </si>
  <si>
    <t>יישום המודל - הערכה מחדש</t>
  </si>
  <si>
    <t>על בסיס מודל זה, הישות (החברה) צריכה להעריך עד כמה שווי הנכס תנודתי: עד כמה הוא משתנה בקיצוניות.</t>
  </si>
  <si>
    <t xml:space="preserve">אם הפריט משנה שוויו במידה רבה כל שנה - יש לבצע את השערוך (הצגה בשווי הוגן) כל שנה. </t>
  </si>
  <si>
    <t xml:space="preserve">במקרים אחרים, אפשר להעריך אותו מחדש בתדירות נמוכה יותר, למשל, כל 3 שנים או כל 5 שנים. </t>
  </si>
  <si>
    <t xml:space="preserve">בכל מועד הערכה מחדש, ערך הספרים של הנכס משוערך (מותאם) לשוויו ההוגן למועד הדיווח. </t>
  </si>
  <si>
    <t>השאלה היא, לאן נזקוף הפרשים בשווי הנכס כתוצאה מההערכה מחדש?</t>
  </si>
  <si>
    <t>כאן, התשובה מורכבת. התקן מתייחס לכך באופן הבא:</t>
  </si>
  <si>
    <t>בעצם, רגע לפני שנתרגל, נאמר: בעיקרון, עליית ערך נזקפת לקרן הערכה מחדש; אבל אם בעבר הוכר הפסד בדוח רווח</t>
  </si>
  <si>
    <t xml:space="preserve">והפסד, עליית ערך שמבטלת אותו כן תיזקף לרווח והפסד. </t>
  </si>
  <si>
    <t>בעיקרון, ירידת ערך נזקפת לרווח והפסד. אבל אם בעבר הוכרה קרן הערכה מחדש, ירידת ערך שמבטלת אותה תירשם</t>
  </si>
  <si>
    <t xml:space="preserve">כנגד קרן הערכה מחדש. </t>
  </si>
  <si>
    <t xml:space="preserve">חשוב לי לציין שיש עוד היבטים במדידה, למשל האם הקרן קבועה או מופחתת, והאם הפחת הנצבר מתאפס או לא. </t>
  </si>
  <si>
    <t>אבל כדי להמנע מהצגה של ריבוי מלל ללא תכלית, אתייחס לסוגיות הנוספות תוך כדי תנועה. בינתיים זו הסוגיה המרכזית.</t>
  </si>
  <si>
    <t>תרגיל 1</t>
  </si>
  <si>
    <t xml:space="preserve">חברת ״פצפצי העיר״ רכשה ב-1.1.2016 מכונה ענקית לחימום נקניק - לשימוש עובדי המשרד במשך שנים ארוכות. </t>
  </si>
  <si>
    <t>עלות המכונה הסתכמה ב-1,000,000 ש״ח אך פרט לעלות זו, נדרשה פצפץ לשלם דמי תיווך בסך 30,000 ש״ח וכן</t>
  </si>
  <si>
    <t xml:space="preserve">עלויות משפטיות להשלמת העסקה בסכום של 70,000 ש״ח. </t>
  </si>
  <si>
    <t xml:space="preserve">יש להניח כי רכיב השייר זניח. </t>
  </si>
  <si>
    <t>החברה מודדת פריטי רכוש קבוע המשתייכים לקבוצת המכונות והציוד לפי מודל הערכה מחדש, כאשר תדירות ההערכה</t>
  </si>
  <si>
    <t>מחדש היא כל שנה.</t>
  </si>
  <si>
    <t xml:space="preserve">החברה מעריכה את אורך החיים השימושיים של המכונה ב-50 שנים. </t>
  </si>
  <si>
    <t>את התשלום עבור דמי התיווך וכן עבור השלמת העסקה, ביצעה החברה מיד במועד הרכישה, ואילו התמורה העיקרית</t>
  </si>
  <si>
    <t xml:space="preserve">בגין מכונת הנקניק בסך 1,000,000 ש״ח תשולם בחלוף שנתיים ממועד ביצוע הרכישה, וזאת בהתאם לסיכום עם הרוכש. </t>
  </si>
  <si>
    <t xml:space="preserve">מחיר ההון הרלוונטי בחברה להיוון תזרימי המזומנים הקשורים לעסקה הוא 7% לשנה. </t>
  </si>
  <si>
    <t>החברה מאפסת את יתרת הפחת הנצבר בכל מועד הערכה מחדש. קרן ההערכה מחדש מועברת לעודפים במועד המימוש/</t>
  </si>
  <si>
    <t>להלן נתונים בדבר השווי ההוגן של המכונה לחימום נקניק במועדים שונים:</t>
  </si>
  <si>
    <t>שווי הוגן</t>
  </si>
  <si>
    <t>בתאריך 30.6.2021 נמכרה מכונת הנקניק תמורת 1,100,000 ש״ח. החברה סיכמה עם הקונה כי התמורה בעד העסקה</t>
  </si>
  <si>
    <t xml:space="preserve">תועבר אליה ב-30.6.2022. </t>
  </si>
  <si>
    <t xml:space="preserve">נדרש: </t>
  </si>
  <si>
    <t>הציגו את מכלול ההשפעות המאזניות והתוצאתיות בגין כל פריטי הרכוש הקבוע לעיל עבור כל השנים שבהם הוחזקו.</t>
  </si>
  <si>
    <t>עזר</t>
  </si>
  <si>
    <t>עלות:</t>
  </si>
  <si>
    <t>עלויות במזומן:</t>
  </si>
  <si>
    <t>דמי תיווך</t>
  </si>
  <si>
    <t>עלויות משפטיות</t>
  </si>
  <si>
    <t>עלויות נדחות - מהוונות:</t>
  </si>
  <si>
    <t>עלות רכישת המכונה - PV</t>
  </si>
  <si>
    <t>הפרשה לי״ע</t>
  </si>
  <si>
    <t>מכונה</t>
  </si>
  <si>
    <t>הפסד כולל אחר</t>
  </si>
  <si>
    <t>יתרת קרן הערכה מחדש</t>
  </si>
  <si>
    <t>דיווח</t>
  </si>
  <si>
    <t>טרם שערוך</t>
  </si>
  <si>
    <t>איפוס פחנ״צ</t>
  </si>
  <si>
    <t>לאחר שערוך</t>
  </si>
  <si>
    <t>רווח מע״ע - ברווח והפסד</t>
  </si>
  <si>
    <t>הפסד מי״ע - ברווח והפסד</t>
  </si>
  <si>
    <t xml:space="preserve">הגריעה בלבד. הניחו כי יתרת ההתחייבות לשנתיים תסולק ב-31.12.2017. </t>
  </si>
  <si>
    <t>התייחסות למכירה:</t>
  </si>
  <si>
    <t>ערך נוכחי של תמורת המכירה</t>
  </si>
  <si>
    <t>ערך הספרים ערב המכירה</t>
  </si>
  <si>
    <t xml:space="preserve">הפסד הון </t>
  </si>
  <si>
    <t>הפסד הון ממכירה</t>
  </si>
  <si>
    <t>תרגיל 2</t>
  </si>
  <si>
    <t xml:space="preserve">קנלו גייס לחברה שלו צוות של מפתחים גאונים ובראשם רז נאות. </t>
  </si>
  <si>
    <t xml:space="preserve">הם התנו את הסכמתם לעבוד בחברה בכך שהיא תצוייד במכונה ענקית לחימום נקניק. </t>
  </si>
  <si>
    <t>בהתאם, רכשה החברה ב-1.1.2015 מכונה ענקית לחימום נקניק, הכוללת שלל פיצ׳רים, כולל פונקציה מיוחדת</t>
  </si>
  <si>
    <t>המכונה הפכה לזמינה לשימוש מיד במועד רכישתה.</t>
  </si>
  <si>
    <t xml:space="preserve">המכונה צפויה לשרת את החברה במשך 20 שנה, ואין לה ערך שייר / גרט. </t>
  </si>
  <si>
    <t>שיטת הפחת אותה מיישמת החברה בהקשר לפריטים מסוג זה, היא שיטת הקו הישר.</t>
  </si>
  <si>
    <t>בנוסף, מיישמת החברה בהתאם להנחיות IAS 16 את מודל ההערכה מחדש, לגבי כל הפריטים המשתייכים לקבוצת</t>
  </si>
  <si>
    <t xml:space="preserve">המכונות וציוד הנקניק. </t>
  </si>
  <si>
    <t>תדירות ההערכה מחדש היא אחת לשנה.</t>
  </si>
  <si>
    <t>הפחת הנצבר מאופס בכל מועד הערכה מחדש.</t>
  </si>
  <si>
    <t xml:space="preserve">קרן ההערכה מחדש מועברת לעודפים במועד מימוש הנכס בלבד. </t>
  </si>
  <si>
    <t>להלן נתונים לגבי השווי ההוגן של הנכס בתאריכים שונים:</t>
  </si>
  <si>
    <t>שווי הוגן - ש״ח</t>
  </si>
  <si>
    <t xml:space="preserve">בתאריך 1.4.2021 נמכרה המכונה בתמורה ל-110,000 ש״ח. לשם השלמת עסקת המכר, נאלצה לשלם החברה </t>
  </si>
  <si>
    <t xml:space="preserve">למתווך נקניקים עלויות עסקה ישירות בסך 4,000 ש״ח. </t>
  </si>
  <si>
    <t xml:space="preserve">נדרש: הציגו את כל ההשפעות המאזניות והתוצאתיות בגין הפריט החל משנת רכישתו עד וכולל שנת 2021. </t>
  </si>
  <si>
    <t xml:space="preserve">לטחינת פופיקים ועיבוד כרבולות. עלות המכונה 100,000 ש״ח. </t>
  </si>
  <si>
    <t>לאחר המכירה</t>
  </si>
  <si>
    <t>רווח הון ממכירה</t>
  </si>
  <si>
    <t>קרן הערכה שמועברת לעודפים בקצב הפחת - בקצרה</t>
  </si>
  <si>
    <t>רקע קצר: בביצוע יישום של מודל הערכה מחדש - עד כה ההנחה היתה שקרן הערכה מחדש מועברת לעודפים</t>
  </si>
  <si>
    <t>במועד מימוש / מכירת הנכס בלבד.</t>
  </si>
  <si>
    <t xml:space="preserve">ההנחה הזו לגיטימית, מותר לחברה לפעול כך - אך היא איננה חייבת; היא יכולה, כאלטרנטיבה, להפחית </t>
  </si>
  <si>
    <t>את קרן ההערכה מחדש לעודפים בקצב הפחת.</t>
  </si>
  <si>
    <t>עלינו:</t>
  </si>
  <si>
    <t xml:space="preserve">להבין בקטנה את הרציונל (מדוע חלק מהחברות פועלות כך). </t>
  </si>
  <si>
    <t>לפתור ״מאפס״ תרגיל רלוונטי בנושא.</t>
  </si>
  <si>
    <t>המחשה:</t>
  </si>
  <si>
    <t>נניח שיגאל בע״מ היא חברה העוסקת בתחום חימום הנקניק.</t>
  </si>
  <si>
    <t>בחברה מכונות וציוד מסוגים שונים - בולטת מכונת חימום נקניק בכניסה, שהיא ייחודית</t>
  </si>
  <si>
    <t>מסוגה בעולם - ומסוגלת לחמם נקניקיות למדינה קטנה שלמה, בבת אחת.</t>
  </si>
  <si>
    <t>החברה מודעת לשווי הגבוה של המכונה והייחודיות שלה - ומיישמת את מודל ההערכה מחדש</t>
  </si>
  <si>
    <t>למדידתה. נניח שעלות המכונה 10 מ׳ ש״ח, היא נרכשה ב-1.1.2012, היא מופחתת על פני 20 שנים</t>
  </si>
  <si>
    <t>ללא גרט, ויישום השערוך הוא אחת לשנה.</t>
  </si>
  <si>
    <t xml:space="preserve">בהנחה שהשווי ההוגן של המכונה לתום 2012 הוא 14 מ׳ ש״ח, ולתום 2013 הוא 18 מ׳ ש״ח, </t>
  </si>
  <si>
    <t>מהן הוצאות הפחת בחברה בכל אחת משנים אלו?</t>
  </si>
  <si>
    <t>בשנת 2012:</t>
  </si>
  <si>
    <t xml:space="preserve">10,000,000 / 20 = </t>
  </si>
  <si>
    <t>בשנת 2013:</t>
  </si>
  <si>
    <t xml:space="preserve">14,000,000 / 19 = </t>
  </si>
  <si>
    <t>בשנת 2014:</t>
  </si>
  <si>
    <t xml:space="preserve">18,000,000 / 18 = </t>
  </si>
  <si>
    <t>במלים אחרות - השווי עולה - העלייה היא רק לקרן הון / רווח כולל אחר (לא לרווח והפסד, לא לעודפים),</t>
  </si>
  <si>
    <t xml:space="preserve">בעוד שהוצאות הפחת שכן נכנסות לרווח והפסד ולעודפים - מתנפחות. </t>
  </si>
  <si>
    <t>כדי לטפל בעיוות שנוצר כאשר החברה מקטינה עודפים כתוצאה מהוצאות הפחת בגין פריטים שערכם</t>
  </si>
  <si>
    <t xml:space="preserve">עלה, התקן מאפשר (לא דורש) להעביר חלקים מהקרן לעודפים (בקצב הפחת). </t>
  </si>
  <si>
    <t>תרגול - סוגיות הפחתת רכוש קבוע לרבות הפחתה שיטתית של קרן ההערכה מחדש לעודפים</t>
  </si>
  <si>
    <t>מטרת התרגיל:</t>
  </si>
  <si>
    <t xml:space="preserve">לסכם ברמה פרקטית חלק מסוגיות התיאוריה שסקרנו לעיל. </t>
  </si>
  <si>
    <t>להציג את המקרה המתאפשר לפי התקן לפיו קרן ההערכה מחדש מופחתת לעודפים בקצב הפחת (בשונה</t>
  </si>
  <si>
    <t>מהמקרה אותו סקרנו עד כה, המתייחס להעברת מלוא קרן ההערכה לעודפים במועד המימוש / מכירת</t>
  </si>
  <si>
    <t xml:space="preserve">הנכס בלבד). </t>
  </si>
  <si>
    <t>נסח התרגיל:</t>
  </si>
  <si>
    <t xml:space="preserve">חברה רכשה מכונה לחימום נקניק לעובדי המשרד, בתאריך 1.1.2017 (ראו תמונה). </t>
  </si>
  <si>
    <t>עלות המכונה הסתכמה ב-50,000 ש״ח, היא הגיעה לחברה והפכה לזמינה לשימוש</t>
  </si>
  <si>
    <t>מיד באותו היום.</t>
  </si>
  <si>
    <t>החברה מודדת פריטי רכוש קבוע המשוייכים לקבוצת המכונות והציוד לפי מודל</t>
  </si>
  <si>
    <t xml:space="preserve">הערכה מחדש, כאשר תדירות ההערכה מחדש היא כל שנתיים. </t>
  </si>
  <si>
    <t xml:space="preserve">אורך החיים השימושיים של מכונת הנקניק הנו 20 שנה. </t>
  </si>
  <si>
    <t xml:space="preserve">ערך השייר הנאמד לה הוא 0. </t>
  </si>
  <si>
    <t>החברה מפחיתה את קרן ההערכה מחדש לעודפים.</t>
  </si>
  <si>
    <t>החברה מאפסת את הפחת הנצבר בכל מועד שערוך.</t>
  </si>
  <si>
    <t>להלן נתונים בדבר השווי ההוגן של המכונה לחימום הנקניק בתאריכים שונים:</t>
  </si>
  <si>
    <t>שווי - ש״ח</t>
  </si>
  <si>
    <t>ככלל: היינו מצפים שבחברה שבה שינויי השווי של</t>
  </si>
  <si>
    <t>פריטי רכוש קבוע הם כה קיצוניים, שהיא תדאג לשערך</t>
  </si>
  <si>
    <t xml:space="preserve">את הפריט כל שנה (כדי שערכו יהיה קרוב לשווי, </t>
  </si>
  <si>
    <t xml:space="preserve">לפי דרישות התקן). בכל מקרה, עובדים לפי הנתונים. </t>
  </si>
  <si>
    <t>המכונה נמכרה ב-1.6.2025 בתמורה ל-33,000 ש״ח.</t>
  </si>
  <si>
    <t>אחרי שערוך</t>
  </si>
  <si>
    <t>אין שערוך</t>
  </si>
  <si>
    <t>אחרי מכירה</t>
  </si>
  <si>
    <t>עלות - ״ברוטו״</t>
  </si>
  <si>
    <t>הוצאות הפחת</t>
  </si>
  <si>
    <t>רווח מעליית ערך</t>
  </si>
  <si>
    <t>חדש!שינוי חיובי בעודפים כנגד הקרן</t>
  </si>
  <si>
    <t>תרגול לגבי הערכה מחדש - הפחתת קרן לעודפים</t>
  </si>
  <si>
    <t xml:space="preserve">שירה בע״מ רכשה מכונה לחימום נקניק לעובדי המשרד. </t>
  </si>
  <si>
    <t xml:space="preserve">עלות המכונה 500,000 ש״ח. </t>
  </si>
  <si>
    <t>המכונה נרכשה ב-1.1.2020 והיא מופחתת בשיטת הקו הישר על פני</t>
  </si>
  <si>
    <t xml:space="preserve">אורך חיים שימושיים של 10 שנים. </t>
  </si>
  <si>
    <t xml:space="preserve">החברה מבצעת שערוך כל שנה. </t>
  </si>
  <si>
    <t>הקרן מופחתת לעודפים בקצב הפחת.</t>
  </si>
  <si>
    <t>להלן נתוני שווי הוגן:</t>
  </si>
  <si>
    <t>שווי</t>
  </si>
  <si>
    <t xml:space="preserve"> השאלה מוקדשת לשירה שביקשה תרגול</t>
  </si>
  <si>
    <t>שירה הצליחה - אם לא מובן פנו אליה:</t>
  </si>
  <si>
    <t>נוסף בנושא נקניק</t>
  </si>
  <si>
    <t>052-6588311</t>
  </si>
  <si>
    <t xml:space="preserve">שירה מכרה את המכונה בתמורה ל-327,000 נקניקיות ב-1.4.2024. השווי של כל נקניקיה הוא מהימן - 1.1 ש״ח. </t>
  </si>
  <si>
    <t>עלות / ערך ברוטו</t>
  </si>
  <si>
    <t xml:space="preserve">רווח הון ממכירה </t>
  </si>
  <si>
    <t>יתרת קרן הע. מחדש</t>
  </si>
  <si>
    <t>שינוי בעודפים כנגד הקרן</t>
  </si>
  <si>
    <t xml:space="preserve">נדרש: חשבו והציגו את כל היתרות המאזניות והתוצאתיות בגין הפריט עבור שנות הדיווח 2017 - 2025. </t>
  </si>
  <si>
    <t>רכישה:</t>
  </si>
  <si>
    <t>1.1.2017</t>
  </si>
  <si>
    <t>שנות פחת:</t>
  </si>
  <si>
    <t>שערוך כל:</t>
  </si>
  <si>
    <t>שנתיים</t>
  </si>
  <si>
    <t>שווי (אש״ח): 70, 30, 80,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</si>
</sst>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  <font>
      <sz val="28"/>
      <color theme="1"/>
      <name val="David"/>
    </font>
    <font>
      <b/>
      <sz val="14"/>
      <color theme="1"/>
      <name val="David"/>
    </font>
    <font>
      <sz val="12"/>
      <color theme="0"/>
      <name val="David"/>
    </font>
    <font>
      <sz val="1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  <xf numFmtId="0" fontId="1" fillId="2" borderId="0" xfId="0" applyFont="1" applyFill="1" applyAlignment="1">
      <alignment horizontal="center"/>
    </xf>
    <xf numFmtId="0" fontId="2" fillId="10" borderId="0" xfId="0" applyFont="1" applyFill="1"/>
    <xf numFmtId="14" fontId="2" fillId="10" borderId="0" xfId="0" applyNumberFormat="1" applyFont="1" applyFill="1"/>
    <xf numFmtId="0" fontId="2" fillId="7" borderId="0" xfId="0" applyFont="1" applyFill="1"/>
    <xf numFmtId="37" fontId="1" fillId="0" borderId="0" xfId="0" applyNumberFormat="1" applyFont="1"/>
    <xf numFmtId="37" fontId="1" fillId="0" borderId="12" xfId="0" applyNumberFormat="1" applyFont="1" applyBorder="1"/>
    <xf numFmtId="0" fontId="1" fillId="7" borderId="0" xfId="0" applyFont="1" applyFill="1"/>
    <xf numFmtId="37" fontId="1" fillId="0" borderId="15" xfId="0" applyNumberFormat="1" applyFont="1" applyBorder="1" applyAlignment="1">
      <alignment horizontal="center"/>
    </xf>
    <xf numFmtId="3" fontId="1" fillId="7" borderId="0" xfId="0" applyNumberFormat="1" applyFont="1" applyFill="1"/>
    <xf numFmtId="37" fontId="1" fillId="7" borderId="0" xfId="0" applyNumberFormat="1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12" borderId="18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0" borderId="13" xfId="0" applyFont="1" applyBorder="1"/>
    <xf numFmtId="3" fontId="1" fillId="0" borderId="19" xfId="0" applyNumberFormat="1" applyFont="1" applyBorder="1"/>
    <xf numFmtId="0" fontId="13" fillId="0" borderId="0" xfId="0" applyFont="1"/>
    <xf numFmtId="14" fontId="2" fillId="2" borderId="0" xfId="0" applyNumberFormat="1" applyFont="1" applyFill="1"/>
    <xf numFmtId="0" fontId="2" fillId="13" borderId="0" xfId="0" applyFont="1" applyFill="1"/>
    <xf numFmtId="0" fontId="1" fillId="13" borderId="0" xfId="0" applyFont="1" applyFill="1"/>
    <xf numFmtId="3" fontId="1" fillId="6" borderId="0" xfId="0" applyNumberFormat="1" applyFont="1" applyFill="1" applyAlignment="1">
      <alignment horizontal="center"/>
    </xf>
    <xf numFmtId="0" fontId="14" fillId="2" borderId="0" xfId="0" applyFont="1" applyFill="1"/>
    <xf numFmtId="3" fontId="2" fillId="0" borderId="0" xfId="0" applyNumberFormat="1" applyFont="1"/>
    <xf numFmtId="14" fontId="1" fillId="2" borderId="13" xfId="0" applyNumberFormat="1" applyFont="1" applyFill="1" applyBorder="1"/>
    <xf numFmtId="0" fontId="7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4" fontId="11" fillId="2" borderId="13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13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37" fontId="15" fillId="0" borderId="0" xfId="0" applyNumberFormat="1" applyFont="1"/>
    <xf numFmtId="37" fontId="11" fillId="0" borderId="0" xfId="0" applyNumberFormat="1" applyFont="1"/>
    <xf numFmtId="37" fontId="11" fillId="0" borderId="12" xfId="0" applyNumberFormat="1" applyFont="1" applyBorder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202045</xdr:rowOff>
    </xdr:from>
    <xdr:to>
      <xdr:col>5</xdr:col>
      <xdr:colOff>288636</xdr:colOff>
      <xdr:row>13</xdr:row>
      <xdr:rowOff>64674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366D6-E5B5-223A-0044-84F9DC4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7068506" y="606136"/>
          <a:ext cx="4412012" cy="2085129"/>
        </a:xfrm>
        <a:prstGeom prst="rect">
          <a:avLst/>
        </a:prstGeom>
      </xdr:spPr>
    </xdr:pic>
    <xdr:clientData/>
  </xdr:twoCellAnchor>
  <xdr:twoCellAnchor>
    <xdr:from>
      <xdr:col>5</xdr:col>
      <xdr:colOff>160421</xdr:colOff>
      <xdr:row>3</xdr:row>
      <xdr:rowOff>167105</xdr:rowOff>
    </xdr:from>
    <xdr:to>
      <xdr:col>9</xdr:col>
      <xdr:colOff>556795</xdr:colOff>
      <xdr:row>11</xdr:row>
      <xdr:rowOff>125631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51FA17-1DDC-F732-4663-21D85AA37EDD}"/>
            </a:ext>
          </a:extLst>
        </xdr:cNvPr>
        <xdr:cNvGrpSpPr/>
      </xdr:nvGrpSpPr>
      <xdr:grpSpPr>
        <a:xfrm>
          <a:off x="13527100972" y="777445"/>
          <a:ext cx="3700840" cy="1586099"/>
          <a:chOff x="13517837889" y="739072"/>
          <a:chExt cx="4934953" cy="2180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86032C0-51DA-D601-1ED1-FE94987F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517837889" y="739072"/>
            <a:ext cx="4934953" cy="2180560"/>
          </a:xfrm>
          <a:prstGeom prst="rect">
            <a:avLst/>
          </a:prstGeom>
        </xdr:spPr>
      </xdr:pic>
      <xdr:sp macro="" textlink="">
        <xdr:nvSpPr>
          <xdr:cNvPr id="4" name="Round Same Side Corner Rectangle 3">
            <a:extLst>
              <a:ext uri="{FF2B5EF4-FFF2-40B4-BE49-F238E27FC236}">
                <a16:creationId xmlns:a16="http://schemas.microsoft.com/office/drawing/2014/main" id="{F78E36DF-1031-47A5-1C34-8324EF194100}"/>
              </a:ext>
            </a:extLst>
          </xdr:cNvPr>
          <xdr:cNvSpPr/>
        </xdr:nvSpPr>
        <xdr:spPr>
          <a:xfrm>
            <a:off x="13517933474" y="1961816"/>
            <a:ext cx="3696368" cy="681789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BA0579E-259E-6849-BDC4-FE7BE2F37C22}"/>
              </a:ext>
            </a:extLst>
          </xdr:cNvPr>
          <xdr:cNvSpPr/>
        </xdr:nvSpPr>
        <xdr:spPr>
          <a:xfrm>
            <a:off x="13520630552" y="2620210"/>
            <a:ext cx="1554079" cy="233948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50653DC-D31A-1D70-7DE7-538D88EB90EA}"/>
              </a:ext>
            </a:extLst>
          </xdr:cNvPr>
          <xdr:cNvSpPr/>
        </xdr:nvSpPr>
        <xdr:spPr>
          <a:xfrm>
            <a:off x="13521573027" y="2108868"/>
            <a:ext cx="624974" cy="608264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44</xdr:row>
      <xdr:rowOff>1</xdr:rowOff>
    </xdr:from>
    <xdr:to>
      <xdr:col>6</xdr:col>
      <xdr:colOff>639045</xdr:colOff>
      <xdr:row>52</xdr:row>
      <xdr:rowOff>39670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A8E497-2471-216E-CEB6-3CB52759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775732" y="8898090"/>
          <a:ext cx="5589618" cy="1657504"/>
        </a:xfrm>
        <a:prstGeom prst="rect">
          <a:avLst/>
        </a:prstGeom>
      </xdr:spPr>
    </xdr:pic>
    <xdr:clientData/>
  </xdr:twoCellAnchor>
  <xdr:twoCellAnchor>
    <xdr:from>
      <xdr:col>5</xdr:col>
      <xdr:colOff>44786</xdr:colOff>
      <xdr:row>185</xdr:row>
      <xdr:rowOff>57582</xdr:rowOff>
    </xdr:from>
    <xdr:to>
      <xdr:col>6</xdr:col>
      <xdr:colOff>796549</xdr:colOff>
      <xdr:row>190</xdr:row>
      <xdr:rowOff>121562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5ED546-FB6F-65F9-8D01-D402EA61D254}"/>
            </a:ext>
          </a:extLst>
        </xdr:cNvPr>
        <xdr:cNvCxnSpPr/>
      </xdr:nvCxnSpPr>
      <xdr:spPr>
        <a:xfrm>
          <a:off x="13516622796" y="38020025"/>
          <a:ext cx="1577103" cy="1087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559823</xdr:colOff>
      <xdr:row>186</xdr:row>
      <xdr:rowOff>131159</xdr:rowOff>
    </xdr:from>
    <xdr:to>
      <xdr:col>5</xdr:col>
      <xdr:colOff>47985</xdr:colOff>
      <xdr:row>190</xdr:row>
      <xdr:rowOff>89572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F53DBF-6D12-772C-3C09-5D2CE6DA414B}"/>
            </a:ext>
          </a:extLst>
        </xdr:cNvPr>
        <xdr:cNvCxnSpPr/>
      </xdr:nvCxnSpPr>
      <xdr:spPr>
        <a:xfrm flipH="1">
          <a:off x="13518196700" y="38298338"/>
          <a:ext cx="1138842" cy="7773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108644</xdr:colOff>
      <xdr:row>212</xdr:row>
      <xdr:rowOff>43833</xdr:rowOff>
    </xdr:from>
    <xdr:to>
      <xdr:col>2</xdr:col>
      <xdr:colOff>618142</xdr:colOff>
      <xdr:row>220</xdr:row>
      <xdr:rowOff>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8F068C-CCFC-0B27-3F89-E1F6B43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1242625" y="43321237"/>
          <a:ext cx="2157876" cy="1574829"/>
        </a:xfrm>
        <a:prstGeom prst="rect">
          <a:avLst/>
        </a:prstGeom>
      </xdr:spPr>
    </xdr:pic>
    <xdr:clientData/>
  </xdr:twoCellAnchor>
  <xdr:twoCellAnchor>
    <xdr:from>
      <xdr:col>1</xdr:col>
      <xdr:colOff>168584</xdr:colOff>
      <xdr:row>222</xdr:row>
      <xdr:rowOff>161091</xdr:rowOff>
    </xdr:from>
    <xdr:to>
      <xdr:col>1</xdr:col>
      <xdr:colOff>711800</xdr:colOff>
      <xdr:row>226</xdr:row>
      <xdr:rowOff>161091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19320470-D739-709A-2AC2-1EB54713E11F}"/>
            </a:ext>
          </a:extLst>
        </xdr:cNvPr>
        <xdr:cNvSpPr/>
      </xdr:nvSpPr>
      <xdr:spPr>
        <a:xfrm>
          <a:off x="13501973156" y="45461504"/>
          <a:ext cx="543216" cy="80920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314691</xdr:colOff>
      <xdr:row>217</xdr:row>
      <xdr:rowOff>33716</xdr:rowOff>
    </xdr:from>
    <xdr:to>
      <xdr:col>1</xdr:col>
      <xdr:colOff>678083</xdr:colOff>
      <xdr:row>218</xdr:row>
      <xdr:rowOff>37464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7F8AE37-B5CA-18B0-F7EF-BDB534CE8171}"/>
            </a:ext>
          </a:extLst>
        </xdr:cNvPr>
        <xdr:cNvSpPr/>
      </xdr:nvSpPr>
      <xdr:spPr>
        <a:xfrm>
          <a:off x="13502006873" y="44322625"/>
          <a:ext cx="363392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פילוס</a:t>
          </a:r>
          <a:endParaRPr lang="en-US" sz="500"/>
        </a:p>
      </xdr:txBody>
    </xdr:sp>
    <xdr:clientData/>
  </xdr:twoCellAnchor>
  <xdr:twoCellAnchor>
    <xdr:from>
      <xdr:col>0</xdr:col>
      <xdr:colOff>513245</xdr:colOff>
      <xdr:row>216</xdr:row>
      <xdr:rowOff>179823</xdr:rowOff>
    </xdr:from>
    <xdr:to>
      <xdr:col>1</xdr:col>
      <xdr:colOff>112390</xdr:colOff>
      <xdr:row>217</xdr:row>
      <xdr:rowOff>183570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BC82309-449D-3856-67E0-D6DBAA7B1FCF}"/>
            </a:ext>
          </a:extLst>
        </xdr:cNvPr>
        <xdr:cNvSpPr/>
      </xdr:nvSpPr>
      <xdr:spPr>
        <a:xfrm>
          <a:off x="13502572566" y="44266431"/>
          <a:ext cx="423334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סתונית</a:t>
          </a:r>
          <a:endParaRPr lang="en-US" sz="5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75227</xdr:colOff>
      <xdr:row>25</xdr:row>
      <xdr:rowOff>79394</xdr:rowOff>
    </xdr:from>
    <xdr:to>
      <xdr:col>4</xdr:col>
      <xdr:colOff>504461</xdr:colOff>
      <xdr:row>29</xdr:row>
      <xdr:rowOff>138051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2BB2F-7270-6FC6-D314-68B0C3B8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802856" y="5168244"/>
          <a:ext cx="3739199" cy="872873"/>
        </a:xfrm>
        <a:prstGeom prst="rect">
          <a:avLst/>
        </a:prstGeom>
      </xdr:spPr>
    </xdr:pic>
    <xdr:clientData/>
  </xdr:twoCellAnchor>
  <xdr:twoCellAnchor editAs="oneCell">
    <xdr:from>
      <xdr:col>0</xdr:col>
      <xdr:colOff>4426</xdr:colOff>
      <xdr:row>29</xdr:row>
      <xdr:rowOff>110627</xdr:rowOff>
    </xdr:from>
    <xdr:to>
      <xdr:col>4</xdr:col>
      <xdr:colOff>615088</xdr:colOff>
      <xdr:row>31</xdr:row>
      <xdr:rowOff>57756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674EB-FDAA-7FBB-24CE-760C1820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92229" y="6013693"/>
          <a:ext cx="3920627" cy="3542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61951</xdr:rowOff>
    </xdr:from>
    <xdr:to>
      <xdr:col>4</xdr:col>
      <xdr:colOff>623937</xdr:colOff>
      <xdr:row>34</xdr:row>
      <xdr:rowOff>28344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9EB2B-C711-CBF7-7D38-1D12A163C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3683380" y="6372125"/>
          <a:ext cx="3933901" cy="577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520541</xdr:colOff>
      <xdr:row>41</xdr:row>
      <xdr:rowOff>104775</xdr:rowOff>
    </xdr:from>
    <xdr:to>
      <xdr:col>7</xdr:col>
      <xdr:colOff>790576</xdr:colOff>
      <xdr:row>49</xdr:row>
      <xdr:rowOff>115747</xdr:rowOff>
    </xdr:to>
    <xdr:pic>
      <xdr:nvPicPr>
        <xdr:cNvPr id="2" name="Picture 1" descr="מכשיר נקניקיות Selmor SE-282***שני מתקנים לחימום לחמנייה*** | מוצרי חשמל |  selmor ועוד">
          <a:extLst>
            <a:ext uri="{FF2B5EF4-FFF2-40B4-BE49-F238E27FC236}">
              <a16:creationId xmlns:a16="http://schemas.microsoft.com/office/drawing/2014/main" id="{C1FDB0D9-0E88-8542-A78C-CF966BB2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8422924" y="56264175"/>
          <a:ext cx="1921035" cy="163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623748</xdr:colOff>
      <xdr:row>67</xdr:row>
      <xdr:rowOff>19290</xdr:rowOff>
    </xdr:from>
    <xdr:to>
      <xdr:col>2</xdr:col>
      <xdr:colOff>794153</xdr:colOff>
      <xdr:row>67</xdr:row>
      <xdr:rowOff>180050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E3373B-0542-914E-9122-E19495365F53}"/>
            </a:ext>
          </a:extLst>
        </xdr:cNvPr>
        <xdr:cNvSpPr/>
      </xdr:nvSpPr>
      <xdr:spPr>
        <a:xfrm flipH="1">
          <a:off x="13522546847" y="13049490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2</xdr:col>
      <xdr:colOff>588381</xdr:colOff>
      <xdr:row>72</xdr:row>
      <xdr:rowOff>19291</xdr:rowOff>
    </xdr:from>
    <xdr:to>
      <xdr:col>2</xdr:col>
      <xdr:colOff>758786</xdr:colOff>
      <xdr:row>72</xdr:row>
      <xdr:rowOff>180051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8288545-03A9-F342-8329-447F58D25FA1}"/>
            </a:ext>
          </a:extLst>
        </xdr:cNvPr>
        <xdr:cNvSpPr/>
      </xdr:nvSpPr>
      <xdr:spPr>
        <a:xfrm flipH="1">
          <a:off x="13522582214" y="14065491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2</xdr:col>
      <xdr:colOff>623749</xdr:colOff>
      <xdr:row>68</xdr:row>
      <xdr:rowOff>35366</xdr:rowOff>
    </xdr:from>
    <xdr:to>
      <xdr:col>2</xdr:col>
      <xdr:colOff>794154</xdr:colOff>
      <xdr:row>68</xdr:row>
      <xdr:rowOff>196126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2136CB-7E91-0E47-BAE3-D48B5A45B2F3}"/>
            </a:ext>
          </a:extLst>
        </xdr:cNvPr>
        <xdr:cNvSpPr/>
      </xdr:nvSpPr>
      <xdr:spPr>
        <a:xfrm flipH="1">
          <a:off x="13522546846" y="13268766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2</xdr:col>
      <xdr:colOff>633394</xdr:colOff>
      <xdr:row>70</xdr:row>
      <xdr:rowOff>22505</xdr:rowOff>
    </xdr:from>
    <xdr:to>
      <xdr:col>2</xdr:col>
      <xdr:colOff>803799</xdr:colOff>
      <xdr:row>70</xdr:row>
      <xdr:rowOff>183265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664550-FB8D-C04D-8E44-3EE7D5F4FB02}"/>
            </a:ext>
          </a:extLst>
        </xdr:cNvPr>
        <xdr:cNvSpPr/>
      </xdr:nvSpPr>
      <xdr:spPr>
        <a:xfrm flipH="1">
          <a:off x="13522537201" y="13662305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19292</xdr:colOff>
      <xdr:row>67</xdr:row>
      <xdr:rowOff>70734</xdr:rowOff>
    </xdr:from>
    <xdr:to>
      <xdr:col>3</xdr:col>
      <xdr:colOff>65011</xdr:colOff>
      <xdr:row>67</xdr:row>
      <xdr:rowOff>141468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675195AA-8E08-274A-B6E4-31C19DCAC94B}"/>
            </a:ext>
          </a:extLst>
        </xdr:cNvPr>
        <xdr:cNvSpPr/>
      </xdr:nvSpPr>
      <xdr:spPr>
        <a:xfrm flipH="1">
          <a:off x="13522450489" y="13100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2</xdr:col>
      <xdr:colOff>794153</xdr:colOff>
      <xdr:row>72</xdr:row>
      <xdr:rowOff>64304</xdr:rowOff>
    </xdr:from>
    <xdr:to>
      <xdr:col>3</xdr:col>
      <xdr:colOff>13568</xdr:colOff>
      <xdr:row>72</xdr:row>
      <xdr:rowOff>135038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BA332D5E-9C30-2C40-8763-FFC360DB0EA8}"/>
            </a:ext>
          </a:extLst>
        </xdr:cNvPr>
        <xdr:cNvSpPr/>
      </xdr:nvSpPr>
      <xdr:spPr>
        <a:xfrm flipH="1">
          <a:off x="13522501932" y="14110504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12861</xdr:colOff>
      <xdr:row>68</xdr:row>
      <xdr:rowOff>77164</xdr:rowOff>
    </xdr:from>
    <xdr:to>
      <xdr:col>3</xdr:col>
      <xdr:colOff>58580</xdr:colOff>
      <xdr:row>68</xdr:row>
      <xdr:rowOff>147898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5836EBA3-FF0E-CD4E-9D9A-E2B915D015A6}"/>
            </a:ext>
          </a:extLst>
        </xdr:cNvPr>
        <xdr:cNvSpPr/>
      </xdr:nvSpPr>
      <xdr:spPr>
        <a:xfrm flipH="1">
          <a:off x="13522456920" y="1331056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755570</xdr:colOff>
      <xdr:row>72</xdr:row>
      <xdr:rowOff>73949</xdr:rowOff>
    </xdr:from>
    <xdr:to>
      <xdr:col>3</xdr:col>
      <xdr:colOff>801289</xdr:colOff>
      <xdr:row>72</xdr:row>
      <xdr:rowOff>144683</xdr:rowOff>
    </xdr:to>
    <xdr:sp macro="" textlink="">
      <xdr:nvSpPr>
        <xdr:cNvPr id="10" name="Left Arrow 9">
          <a:extLst>
            <a:ext uri="{FF2B5EF4-FFF2-40B4-BE49-F238E27FC236}">
              <a16:creationId xmlns:a16="http://schemas.microsoft.com/office/drawing/2014/main" id="{463BA98D-E9E3-954B-B195-9D8ABA4F7995}"/>
            </a:ext>
          </a:extLst>
        </xdr:cNvPr>
        <xdr:cNvSpPr/>
      </xdr:nvSpPr>
      <xdr:spPr>
        <a:xfrm flipH="1">
          <a:off x="13521714211" y="14120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4</xdr:col>
      <xdr:colOff>617318</xdr:colOff>
      <xdr:row>70</xdr:row>
      <xdr:rowOff>16075</xdr:rowOff>
    </xdr:from>
    <xdr:to>
      <xdr:col>4</xdr:col>
      <xdr:colOff>787723</xdr:colOff>
      <xdr:row>70</xdr:row>
      <xdr:rowOff>176835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9EB3E9F-72BE-CE4E-BD78-6BAA7DFED1C5}"/>
            </a:ext>
          </a:extLst>
        </xdr:cNvPr>
        <xdr:cNvSpPr/>
      </xdr:nvSpPr>
      <xdr:spPr>
        <a:xfrm flipH="1">
          <a:off x="13520902277" y="13655875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4</xdr:col>
      <xdr:colOff>617318</xdr:colOff>
      <xdr:row>77</xdr:row>
      <xdr:rowOff>25722</xdr:rowOff>
    </xdr:from>
    <xdr:to>
      <xdr:col>4</xdr:col>
      <xdr:colOff>787723</xdr:colOff>
      <xdr:row>77</xdr:row>
      <xdr:rowOff>186482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879435-F7EF-0449-800A-BBB457C032F0}"/>
            </a:ext>
          </a:extLst>
        </xdr:cNvPr>
        <xdr:cNvSpPr/>
      </xdr:nvSpPr>
      <xdr:spPr>
        <a:xfrm flipH="1">
          <a:off x="13520902277" y="15087922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6</a:t>
          </a:r>
          <a:endParaRPr lang="en-US" sz="1100"/>
        </a:p>
      </xdr:txBody>
    </xdr:sp>
    <xdr:clientData/>
  </xdr:twoCellAnchor>
  <xdr:twoCellAnchor>
    <xdr:from>
      <xdr:col>4</xdr:col>
      <xdr:colOff>623748</xdr:colOff>
      <xdr:row>80</xdr:row>
      <xdr:rowOff>28937</xdr:rowOff>
    </xdr:from>
    <xdr:to>
      <xdr:col>4</xdr:col>
      <xdr:colOff>794153</xdr:colOff>
      <xdr:row>80</xdr:row>
      <xdr:rowOff>189697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6409571-84DB-5845-8A93-24FB17792486}"/>
            </a:ext>
          </a:extLst>
        </xdr:cNvPr>
        <xdr:cNvSpPr/>
      </xdr:nvSpPr>
      <xdr:spPr>
        <a:xfrm flipH="1">
          <a:off x="13520895847" y="15700737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7</a:t>
          </a:r>
          <a:endParaRPr lang="en-US" sz="1100"/>
        </a:p>
      </xdr:txBody>
    </xdr:sp>
    <xdr:clientData/>
  </xdr:twoCellAnchor>
  <xdr:twoCellAnchor>
    <xdr:from>
      <xdr:col>4</xdr:col>
      <xdr:colOff>633394</xdr:colOff>
      <xdr:row>68</xdr:row>
      <xdr:rowOff>22506</xdr:rowOff>
    </xdr:from>
    <xdr:to>
      <xdr:col>4</xdr:col>
      <xdr:colOff>803799</xdr:colOff>
      <xdr:row>68</xdr:row>
      <xdr:rowOff>183266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D91BF6B-C72D-ED44-8831-3EB4F4EF4970}"/>
            </a:ext>
          </a:extLst>
        </xdr:cNvPr>
        <xdr:cNvSpPr/>
      </xdr:nvSpPr>
      <xdr:spPr>
        <a:xfrm flipH="1">
          <a:off x="13520886201" y="13255906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8</a:t>
          </a:r>
          <a:endParaRPr lang="en-US" sz="1100"/>
        </a:p>
      </xdr:txBody>
    </xdr:sp>
    <xdr:clientData/>
  </xdr:twoCellAnchor>
  <xdr:twoCellAnchor>
    <xdr:from>
      <xdr:col>4</xdr:col>
      <xdr:colOff>633394</xdr:colOff>
      <xdr:row>67</xdr:row>
      <xdr:rowOff>6430</xdr:rowOff>
    </xdr:from>
    <xdr:to>
      <xdr:col>4</xdr:col>
      <xdr:colOff>803799</xdr:colOff>
      <xdr:row>67</xdr:row>
      <xdr:rowOff>167190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A34DB9A-36DF-0749-B04C-601E9EA46542}"/>
            </a:ext>
          </a:extLst>
        </xdr:cNvPr>
        <xdr:cNvSpPr/>
      </xdr:nvSpPr>
      <xdr:spPr>
        <a:xfrm flipH="1">
          <a:off x="13520886201" y="13036630"/>
          <a:ext cx="170405" cy="16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9</a:t>
          </a:r>
          <a:endParaRPr lang="en-US" sz="1100"/>
        </a:p>
      </xdr:txBody>
    </xdr:sp>
    <xdr:clientData/>
  </xdr:twoCellAnchor>
  <xdr:twoCellAnchor>
    <xdr:from>
      <xdr:col>5</xdr:col>
      <xdr:colOff>19293</xdr:colOff>
      <xdr:row>67</xdr:row>
      <xdr:rowOff>70734</xdr:rowOff>
    </xdr:from>
    <xdr:to>
      <xdr:col>5</xdr:col>
      <xdr:colOff>65012</xdr:colOff>
      <xdr:row>67</xdr:row>
      <xdr:rowOff>141468</xdr:rowOff>
    </xdr:to>
    <xdr:sp macro="" textlink="">
      <xdr:nvSpPr>
        <xdr:cNvPr id="16" name="Left Arrow 15">
          <a:extLst>
            <a:ext uri="{FF2B5EF4-FFF2-40B4-BE49-F238E27FC236}">
              <a16:creationId xmlns:a16="http://schemas.microsoft.com/office/drawing/2014/main" id="{97AE267C-95AE-3248-B921-DC4763D0D124}"/>
            </a:ext>
          </a:extLst>
        </xdr:cNvPr>
        <xdr:cNvSpPr/>
      </xdr:nvSpPr>
      <xdr:spPr>
        <a:xfrm flipH="1">
          <a:off x="13520799488" y="13100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5</xdr:col>
      <xdr:colOff>610887</xdr:colOff>
      <xdr:row>71</xdr:row>
      <xdr:rowOff>167190</xdr:rowOff>
    </xdr:from>
    <xdr:to>
      <xdr:col>6</xdr:col>
      <xdr:colOff>122178</xdr:colOff>
      <xdr:row>72</xdr:row>
      <xdr:rowOff>131823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BF20AB8-D11A-2C45-97F4-2E5CB9B98D6C}"/>
            </a:ext>
          </a:extLst>
        </xdr:cNvPr>
        <xdr:cNvSpPr/>
      </xdr:nvSpPr>
      <xdr:spPr>
        <a:xfrm flipH="1">
          <a:off x="13519916822" y="14010190"/>
          <a:ext cx="336791" cy="167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10</a:t>
          </a:r>
          <a:endParaRPr lang="en-US" sz="100"/>
        </a:p>
      </xdr:txBody>
    </xdr:sp>
    <xdr:clientData/>
  </xdr:twoCellAnchor>
  <xdr:twoCellAnchor>
    <xdr:from>
      <xdr:col>5</xdr:col>
      <xdr:colOff>598026</xdr:colOff>
      <xdr:row>68</xdr:row>
      <xdr:rowOff>22505</xdr:rowOff>
    </xdr:from>
    <xdr:to>
      <xdr:col>6</xdr:col>
      <xdr:colOff>109317</xdr:colOff>
      <xdr:row>68</xdr:row>
      <xdr:rowOff>189695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8BD9318-5C52-954A-8718-F10732B35AE6}"/>
            </a:ext>
          </a:extLst>
        </xdr:cNvPr>
        <xdr:cNvSpPr/>
      </xdr:nvSpPr>
      <xdr:spPr>
        <a:xfrm flipH="1">
          <a:off x="13519929683" y="132559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11</a:t>
          </a:r>
          <a:endParaRPr lang="en-US" sz="100"/>
        </a:p>
      </xdr:txBody>
    </xdr:sp>
    <xdr:clientData/>
  </xdr:twoCellAnchor>
  <xdr:twoCellAnchor>
    <xdr:from>
      <xdr:col>5</xdr:col>
      <xdr:colOff>617317</xdr:colOff>
      <xdr:row>70</xdr:row>
      <xdr:rowOff>38581</xdr:rowOff>
    </xdr:from>
    <xdr:to>
      <xdr:col>6</xdr:col>
      <xdr:colOff>128608</xdr:colOff>
      <xdr:row>71</xdr:row>
      <xdr:rowOff>3215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F646FBE-FC32-1D40-9D5E-BC478A44F7D4}"/>
            </a:ext>
          </a:extLst>
        </xdr:cNvPr>
        <xdr:cNvSpPr/>
      </xdr:nvSpPr>
      <xdr:spPr>
        <a:xfrm flipH="1">
          <a:off x="13519910392" y="13678381"/>
          <a:ext cx="336791" cy="1678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12</a:t>
          </a:r>
          <a:endParaRPr lang="en-US" sz="100"/>
        </a:p>
      </xdr:txBody>
    </xdr:sp>
    <xdr:clientData/>
  </xdr:twoCellAnchor>
  <xdr:twoCellAnchor>
    <xdr:from>
      <xdr:col>5</xdr:col>
      <xdr:colOff>623748</xdr:colOff>
      <xdr:row>82</xdr:row>
      <xdr:rowOff>19290</xdr:rowOff>
    </xdr:from>
    <xdr:to>
      <xdr:col>6</xdr:col>
      <xdr:colOff>135039</xdr:colOff>
      <xdr:row>82</xdr:row>
      <xdr:rowOff>186480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C7282A1-F609-804E-9A42-38D1A002CFB4}"/>
            </a:ext>
          </a:extLst>
        </xdr:cNvPr>
        <xdr:cNvSpPr/>
      </xdr:nvSpPr>
      <xdr:spPr>
        <a:xfrm flipH="1">
          <a:off x="13519903961" y="160974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13</a:t>
          </a:r>
          <a:endParaRPr lang="en-US" sz="100"/>
        </a:p>
      </xdr:txBody>
    </xdr:sp>
    <xdr:clientData/>
  </xdr:twoCellAnchor>
  <xdr:twoCellAnchor>
    <xdr:from>
      <xdr:col>5</xdr:col>
      <xdr:colOff>636609</xdr:colOff>
      <xdr:row>80</xdr:row>
      <xdr:rowOff>19290</xdr:rowOff>
    </xdr:from>
    <xdr:to>
      <xdr:col>6</xdr:col>
      <xdr:colOff>147900</xdr:colOff>
      <xdr:row>80</xdr:row>
      <xdr:rowOff>186480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374FE3E-082F-E741-933E-0C8DADF85792}"/>
            </a:ext>
          </a:extLst>
        </xdr:cNvPr>
        <xdr:cNvSpPr/>
      </xdr:nvSpPr>
      <xdr:spPr>
        <a:xfrm flipH="1">
          <a:off x="13519891100" y="156910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14</a:t>
          </a:r>
          <a:endParaRPr lang="en-US" sz="100"/>
        </a:p>
      </xdr:txBody>
    </xdr:sp>
    <xdr:clientData/>
  </xdr:twoCellAnchor>
  <xdr:twoCellAnchor>
    <xdr:from>
      <xdr:col>5</xdr:col>
      <xdr:colOff>787724</xdr:colOff>
      <xdr:row>67</xdr:row>
      <xdr:rowOff>73949</xdr:rowOff>
    </xdr:from>
    <xdr:to>
      <xdr:col>6</xdr:col>
      <xdr:colOff>7139</xdr:colOff>
      <xdr:row>67</xdr:row>
      <xdr:rowOff>144683</xdr:rowOff>
    </xdr:to>
    <xdr:sp macro="" textlink="">
      <xdr:nvSpPr>
        <xdr:cNvPr id="22" name="Left Arrow 21">
          <a:extLst>
            <a:ext uri="{FF2B5EF4-FFF2-40B4-BE49-F238E27FC236}">
              <a16:creationId xmlns:a16="http://schemas.microsoft.com/office/drawing/2014/main" id="{9AF29F09-F3FA-0142-9591-BD31008AE8E2}"/>
            </a:ext>
          </a:extLst>
        </xdr:cNvPr>
        <xdr:cNvSpPr/>
      </xdr:nvSpPr>
      <xdr:spPr>
        <a:xfrm flipH="1">
          <a:off x="13520031861" y="13104149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6</xdr:col>
      <xdr:colOff>572304</xdr:colOff>
      <xdr:row>71</xdr:row>
      <xdr:rowOff>173620</xdr:rowOff>
    </xdr:from>
    <xdr:to>
      <xdr:col>7</xdr:col>
      <xdr:colOff>83596</xdr:colOff>
      <xdr:row>72</xdr:row>
      <xdr:rowOff>138253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A077DB5-8C83-1643-9D79-537A5D7DA0E2}"/>
            </a:ext>
          </a:extLst>
        </xdr:cNvPr>
        <xdr:cNvSpPr/>
      </xdr:nvSpPr>
      <xdr:spPr>
        <a:xfrm flipH="1">
          <a:off x="13519129904" y="14016620"/>
          <a:ext cx="336792" cy="167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15</a:t>
          </a:r>
          <a:endParaRPr lang="en-US" sz="100"/>
        </a:p>
      </xdr:txBody>
    </xdr:sp>
    <xdr:clientData/>
  </xdr:twoCellAnchor>
  <xdr:twoCellAnchor>
    <xdr:from>
      <xdr:col>6</xdr:col>
      <xdr:colOff>585165</xdr:colOff>
      <xdr:row>68</xdr:row>
      <xdr:rowOff>19290</xdr:rowOff>
    </xdr:from>
    <xdr:to>
      <xdr:col>7</xdr:col>
      <xdr:colOff>96457</xdr:colOff>
      <xdr:row>68</xdr:row>
      <xdr:rowOff>186480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4F9D570-7E8C-314F-B238-9E016EECDA1A}"/>
            </a:ext>
          </a:extLst>
        </xdr:cNvPr>
        <xdr:cNvSpPr/>
      </xdr:nvSpPr>
      <xdr:spPr>
        <a:xfrm flipH="1">
          <a:off x="13519117043" y="13252690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16</a:t>
          </a:r>
          <a:endParaRPr lang="en-US" sz="100"/>
        </a:p>
      </xdr:txBody>
    </xdr:sp>
    <xdr:clientData/>
  </xdr:twoCellAnchor>
  <xdr:twoCellAnchor>
    <xdr:from>
      <xdr:col>6</xdr:col>
      <xdr:colOff>610887</xdr:colOff>
      <xdr:row>70</xdr:row>
      <xdr:rowOff>22506</xdr:rowOff>
    </xdr:from>
    <xdr:to>
      <xdr:col>7</xdr:col>
      <xdr:colOff>122179</xdr:colOff>
      <xdr:row>70</xdr:row>
      <xdr:rowOff>189696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FFFA025-F177-144D-845E-6B1CDE80CB46}"/>
            </a:ext>
          </a:extLst>
        </xdr:cNvPr>
        <xdr:cNvSpPr/>
      </xdr:nvSpPr>
      <xdr:spPr>
        <a:xfrm flipH="1">
          <a:off x="13519091321" y="13662306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17</a:t>
          </a:r>
          <a:endParaRPr lang="en-US" sz="100"/>
        </a:p>
      </xdr:txBody>
    </xdr:sp>
    <xdr:clientData/>
  </xdr:twoCellAnchor>
  <xdr:twoCellAnchor>
    <xdr:from>
      <xdr:col>6</xdr:col>
      <xdr:colOff>180052</xdr:colOff>
      <xdr:row>82</xdr:row>
      <xdr:rowOff>64303</xdr:rowOff>
    </xdr:from>
    <xdr:to>
      <xdr:col>6</xdr:col>
      <xdr:colOff>225771</xdr:colOff>
      <xdr:row>82</xdr:row>
      <xdr:rowOff>135037</xdr:rowOff>
    </xdr:to>
    <xdr:sp macro="" textlink="">
      <xdr:nvSpPr>
        <xdr:cNvPr id="26" name="Left Arrow 25">
          <a:extLst>
            <a:ext uri="{FF2B5EF4-FFF2-40B4-BE49-F238E27FC236}">
              <a16:creationId xmlns:a16="http://schemas.microsoft.com/office/drawing/2014/main" id="{41B6853E-5097-CB4F-9ED9-1A2C8F3FAC47}"/>
            </a:ext>
          </a:extLst>
        </xdr:cNvPr>
        <xdr:cNvSpPr/>
      </xdr:nvSpPr>
      <xdr:spPr>
        <a:xfrm flipH="1">
          <a:off x="13519813229" y="1614250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6</xdr:col>
      <xdr:colOff>630177</xdr:colOff>
      <xdr:row>80</xdr:row>
      <xdr:rowOff>25721</xdr:rowOff>
    </xdr:from>
    <xdr:to>
      <xdr:col>7</xdr:col>
      <xdr:colOff>141469</xdr:colOff>
      <xdr:row>80</xdr:row>
      <xdr:rowOff>192911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D9C8D37-42AB-C742-B657-6803F2A5433C}"/>
            </a:ext>
          </a:extLst>
        </xdr:cNvPr>
        <xdr:cNvSpPr/>
      </xdr:nvSpPr>
      <xdr:spPr>
        <a:xfrm flipH="1">
          <a:off x="13519072031" y="15697521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18</a:t>
          </a:r>
          <a:endParaRPr lang="en-US" sz="100"/>
        </a:p>
      </xdr:txBody>
    </xdr:sp>
    <xdr:clientData/>
  </xdr:twoCellAnchor>
  <xdr:twoCellAnchor>
    <xdr:from>
      <xdr:col>7</xdr:col>
      <xdr:colOff>630179</xdr:colOff>
      <xdr:row>70</xdr:row>
      <xdr:rowOff>16075</xdr:rowOff>
    </xdr:from>
    <xdr:to>
      <xdr:col>8</xdr:col>
      <xdr:colOff>141470</xdr:colOff>
      <xdr:row>70</xdr:row>
      <xdr:rowOff>183265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97B48D2-4BDB-AE45-B018-CDD97D1C97C0}"/>
            </a:ext>
          </a:extLst>
        </xdr:cNvPr>
        <xdr:cNvSpPr/>
      </xdr:nvSpPr>
      <xdr:spPr>
        <a:xfrm flipH="1">
          <a:off x="13518246530" y="1365587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18</a:t>
          </a:r>
          <a:endParaRPr lang="en-US" sz="100"/>
        </a:p>
      </xdr:txBody>
    </xdr:sp>
    <xdr:clientData/>
  </xdr:twoCellAnchor>
  <xdr:twoCellAnchor>
    <xdr:from>
      <xdr:col>7</xdr:col>
      <xdr:colOff>115747</xdr:colOff>
      <xdr:row>72</xdr:row>
      <xdr:rowOff>54658</xdr:rowOff>
    </xdr:from>
    <xdr:to>
      <xdr:col>7</xdr:col>
      <xdr:colOff>161466</xdr:colOff>
      <xdr:row>72</xdr:row>
      <xdr:rowOff>125392</xdr:rowOff>
    </xdr:to>
    <xdr:sp macro="" textlink="">
      <xdr:nvSpPr>
        <xdr:cNvPr id="29" name="Left Arrow 28">
          <a:extLst>
            <a:ext uri="{FF2B5EF4-FFF2-40B4-BE49-F238E27FC236}">
              <a16:creationId xmlns:a16="http://schemas.microsoft.com/office/drawing/2014/main" id="{9F961FCF-0DDE-7146-A7FB-3789B1F515A3}"/>
            </a:ext>
          </a:extLst>
        </xdr:cNvPr>
        <xdr:cNvSpPr/>
      </xdr:nvSpPr>
      <xdr:spPr>
        <a:xfrm flipH="1">
          <a:off x="13519052034" y="14100858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7</xdr:col>
      <xdr:colOff>598027</xdr:colOff>
      <xdr:row>68</xdr:row>
      <xdr:rowOff>25719</xdr:rowOff>
    </xdr:from>
    <xdr:to>
      <xdr:col>8</xdr:col>
      <xdr:colOff>109318</xdr:colOff>
      <xdr:row>68</xdr:row>
      <xdr:rowOff>192909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C1BFD43-7EE2-0E4B-B5D6-A120D18F430C}"/>
            </a:ext>
          </a:extLst>
        </xdr:cNvPr>
        <xdr:cNvSpPr/>
      </xdr:nvSpPr>
      <xdr:spPr>
        <a:xfrm flipH="1">
          <a:off x="13518278682" y="1325911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19</a:t>
          </a:r>
          <a:endParaRPr lang="en-US" sz="100"/>
        </a:p>
      </xdr:txBody>
    </xdr:sp>
    <xdr:clientData/>
  </xdr:twoCellAnchor>
  <xdr:twoCellAnchor>
    <xdr:from>
      <xdr:col>7</xdr:col>
      <xdr:colOff>710559</xdr:colOff>
      <xdr:row>78</xdr:row>
      <xdr:rowOff>12859</xdr:rowOff>
    </xdr:from>
    <xdr:to>
      <xdr:col>8</xdr:col>
      <xdr:colOff>221850</xdr:colOff>
      <xdr:row>78</xdr:row>
      <xdr:rowOff>180049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6BCFFCD-95D8-7D44-AF49-7FF2012216D8}"/>
            </a:ext>
          </a:extLst>
        </xdr:cNvPr>
        <xdr:cNvSpPr/>
      </xdr:nvSpPr>
      <xdr:spPr>
        <a:xfrm flipH="1">
          <a:off x="13518166150" y="1527825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20</a:t>
          </a:r>
          <a:endParaRPr lang="en-US" sz="100"/>
        </a:p>
      </xdr:txBody>
    </xdr:sp>
    <xdr:clientData/>
  </xdr:twoCellAnchor>
  <xdr:twoCellAnchor>
    <xdr:from>
      <xdr:col>7</xdr:col>
      <xdr:colOff>716990</xdr:colOff>
      <xdr:row>80</xdr:row>
      <xdr:rowOff>25719</xdr:rowOff>
    </xdr:from>
    <xdr:to>
      <xdr:col>8</xdr:col>
      <xdr:colOff>228281</xdr:colOff>
      <xdr:row>80</xdr:row>
      <xdr:rowOff>192909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CCE78EC-D036-7449-9C3D-5B43813E2428}"/>
            </a:ext>
          </a:extLst>
        </xdr:cNvPr>
        <xdr:cNvSpPr/>
      </xdr:nvSpPr>
      <xdr:spPr>
        <a:xfrm flipH="1">
          <a:off x="13518159719" y="1569751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21</a:t>
          </a:r>
          <a:endParaRPr lang="en-US" sz="100"/>
        </a:p>
      </xdr:txBody>
    </xdr:sp>
    <xdr:clientData/>
  </xdr:twoCellAnchor>
  <xdr:twoCellAnchor>
    <xdr:from>
      <xdr:col>6</xdr:col>
      <xdr:colOff>752356</xdr:colOff>
      <xdr:row>82</xdr:row>
      <xdr:rowOff>73949</xdr:rowOff>
    </xdr:from>
    <xdr:to>
      <xdr:col>6</xdr:col>
      <xdr:colOff>798075</xdr:colOff>
      <xdr:row>82</xdr:row>
      <xdr:rowOff>144683</xdr:rowOff>
    </xdr:to>
    <xdr:sp macro="" textlink="">
      <xdr:nvSpPr>
        <xdr:cNvPr id="33" name="Left Arrow 32">
          <a:extLst>
            <a:ext uri="{FF2B5EF4-FFF2-40B4-BE49-F238E27FC236}">
              <a16:creationId xmlns:a16="http://schemas.microsoft.com/office/drawing/2014/main" id="{230C030A-1A4A-8345-A396-6357D89E1F05}"/>
            </a:ext>
          </a:extLst>
        </xdr:cNvPr>
        <xdr:cNvSpPr/>
      </xdr:nvSpPr>
      <xdr:spPr>
        <a:xfrm flipH="1">
          <a:off x="13519240925" y="16152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7</xdr:col>
      <xdr:colOff>723420</xdr:colOff>
      <xdr:row>74</xdr:row>
      <xdr:rowOff>3213</xdr:rowOff>
    </xdr:from>
    <xdr:to>
      <xdr:col>8</xdr:col>
      <xdr:colOff>234711</xdr:colOff>
      <xdr:row>74</xdr:row>
      <xdr:rowOff>170403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4F13884-71A2-6549-B73A-5D3B8192B9E0}"/>
            </a:ext>
          </a:extLst>
        </xdr:cNvPr>
        <xdr:cNvSpPr/>
      </xdr:nvSpPr>
      <xdr:spPr>
        <a:xfrm flipH="1">
          <a:off x="13518153289" y="1445581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22</a:t>
          </a:r>
          <a:endParaRPr lang="en-US" sz="100"/>
        </a:p>
      </xdr:txBody>
    </xdr:sp>
    <xdr:clientData/>
  </xdr:twoCellAnchor>
  <xdr:twoCellAnchor>
    <xdr:from>
      <xdr:col>7</xdr:col>
      <xdr:colOff>610889</xdr:colOff>
      <xdr:row>67</xdr:row>
      <xdr:rowOff>25718</xdr:rowOff>
    </xdr:from>
    <xdr:to>
      <xdr:col>8</xdr:col>
      <xdr:colOff>122180</xdr:colOff>
      <xdr:row>67</xdr:row>
      <xdr:rowOff>192908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D8573D6-44F2-F147-9BFC-CE95A8CFFF1C}"/>
            </a:ext>
          </a:extLst>
        </xdr:cNvPr>
        <xdr:cNvSpPr/>
      </xdr:nvSpPr>
      <xdr:spPr>
        <a:xfrm flipH="1">
          <a:off x="13518265820" y="1305591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23</a:t>
          </a:r>
          <a:endParaRPr lang="en-US" sz="100"/>
        </a:p>
      </xdr:txBody>
    </xdr:sp>
    <xdr:clientData/>
  </xdr:twoCellAnchor>
  <xdr:twoCellAnchor>
    <xdr:from>
      <xdr:col>8</xdr:col>
      <xdr:colOff>176836</xdr:colOff>
      <xdr:row>67</xdr:row>
      <xdr:rowOff>73948</xdr:rowOff>
    </xdr:from>
    <xdr:to>
      <xdr:col>8</xdr:col>
      <xdr:colOff>222555</xdr:colOff>
      <xdr:row>67</xdr:row>
      <xdr:rowOff>144682</xdr:rowOff>
    </xdr:to>
    <xdr:sp macro="" textlink="">
      <xdr:nvSpPr>
        <xdr:cNvPr id="36" name="Left Arrow 35">
          <a:extLst>
            <a:ext uri="{FF2B5EF4-FFF2-40B4-BE49-F238E27FC236}">
              <a16:creationId xmlns:a16="http://schemas.microsoft.com/office/drawing/2014/main" id="{552FB22E-41DB-C24A-A2BC-D1147EA68E76}"/>
            </a:ext>
          </a:extLst>
        </xdr:cNvPr>
        <xdr:cNvSpPr/>
      </xdr:nvSpPr>
      <xdr:spPr>
        <a:xfrm flipH="1">
          <a:off x="13518165445" y="13104148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8</xdr:col>
      <xdr:colOff>598028</xdr:colOff>
      <xdr:row>72</xdr:row>
      <xdr:rowOff>25718</xdr:rowOff>
    </xdr:from>
    <xdr:to>
      <xdr:col>9</xdr:col>
      <xdr:colOff>109319</xdr:colOff>
      <xdr:row>72</xdr:row>
      <xdr:rowOff>192908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9A0CF17B-3027-794B-BE48-876935DC9F30}"/>
            </a:ext>
          </a:extLst>
        </xdr:cNvPr>
        <xdr:cNvSpPr/>
      </xdr:nvSpPr>
      <xdr:spPr>
        <a:xfrm flipH="1">
          <a:off x="13517453181" y="1407191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24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68</xdr:row>
      <xdr:rowOff>16072</xdr:rowOff>
    </xdr:from>
    <xdr:to>
      <xdr:col>9</xdr:col>
      <xdr:colOff>125395</xdr:colOff>
      <xdr:row>68</xdr:row>
      <xdr:rowOff>183262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E2BE132-366C-EB44-9015-9C2430F60E57}"/>
            </a:ext>
          </a:extLst>
        </xdr:cNvPr>
        <xdr:cNvSpPr/>
      </xdr:nvSpPr>
      <xdr:spPr>
        <a:xfrm flipH="1">
          <a:off x="13517437105" y="132494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25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69</xdr:row>
      <xdr:rowOff>3213</xdr:rowOff>
    </xdr:from>
    <xdr:to>
      <xdr:col>9</xdr:col>
      <xdr:colOff>125395</xdr:colOff>
      <xdr:row>69</xdr:row>
      <xdr:rowOff>170403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787D0E7-E550-744C-9EFC-7271DCB5B467}"/>
            </a:ext>
          </a:extLst>
        </xdr:cNvPr>
        <xdr:cNvSpPr/>
      </xdr:nvSpPr>
      <xdr:spPr>
        <a:xfrm flipH="1">
          <a:off x="13517437105" y="1343981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26</a:t>
          </a:r>
          <a:endParaRPr lang="en-US" sz="100"/>
        </a:p>
      </xdr:txBody>
    </xdr:sp>
    <xdr:clientData/>
  </xdr:twoCellAnchor>
  <xdr:twoCellAnchor>
    <xdr:from>
      <xdr:col>8</xdr:col>
      <xdr:colOff>614104</xdr:colOff>
      <xdr:row>70</xdr:row>
      <xdr:rowOff>12858</xdr:rowOff>
    </xdr:from>
    <xdr:to>
      <xdr:col>9</xdr:col>
      <xdr:colOff>125395</xdr:colOff>
      <xdr:row>70</xdr:row>
      <xdr:rowOff>180048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80B3C83-6A60-564D-AEE8-695E7B2D2D6D}"/>
            </a:ext>
          </a:extLst>
        </xdr:cNvPr>
        <xdr:cNvSpPr/>
      </xdr:nvSpPr>
      <xdr:spPr>
        <a:xfrm flipH="1">
          <a:off x="13517437105" y="1365265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27</a:t>
          </a:r>
          <a:endParaRPr lang="en-US" sz="100"/>
        </a:p>
      </xdr:txBody>
    </xdr:sp>
    <xdr:clientData/>
  </xdr:twoCellAnchor>
  <xdr:twoCellAnchor>
    <xdr:from>
      <xdr:col>8</xdr:col>
      <xdr:colOff>810228</xdr:colOff>
      <xdr:row>67</xdr:row>
      <xdr:rowOff>73948</xdr:rowOff>
    </xdr:from>
    <xdr:to>
      <xdr:col>9</xdr:col>
      <xdr:colOff>29643</xdr:colOff>
      <xdr:row>67</xdr:row>
      <xdr:rowOff>144682</xdr:rowOff>
    </xdr:to>
    <xdr:sp macro="" textlink="">
      <xdr:nvSpPr>
        <xdr:cNvPr id="41" name="Left Arrow 40">
          <a:extLst>
            <a:ext uri="{FF2B5EF4-FFF2-40B4-BE49-F238E27FC236}">
              <a16:creationId xmlns:a16="http://schemas.microsoft.com/office/drawing/2014/main" id="{18B85072-5515-724E-9CDF-9B4E2F6BDECA}"/>
            </a:ext>
          </a:extLst>
        </xdr:cNvPr>
        <xdr:cNvSpPr/>
      </xdr:nvSpPr>
      <xdr:spPr>
        <a:xfrm flipH="1">
          <a:off x="13517532857" y="13104148"/>
          <a:ext cx="44915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9</xdr:col>
      <xdr:colOff>122177</xdr:colOff>
      <xdr:row>72</xdr:row>
      <xdr:rowOff>70734</xdr:rowOff>
    </xdr:from>
    <xdr:to>
      <xdr:col>9</xdr:col>
      <xdr:colOff>167896</xdr:colOff>
      <xdr:row>72</xdr:row>
      <xdr:rowOff>141468</xdr:rowOff>
    </xdr:to>
    <xdr:sp macro="" textlink="">
      <xdr:nvSpPr>
        <xdr:cNvPr id="42" name="Left Arrow 41">
          <a:extLst>
            <a:ext uri="{FF2B5EF4-FFF2-40B4-BE49-F238E27FC236}">
              <a16:creationId xmlns:a16="http://schemas.microsoft.com/office/drawing/2014/main" id="{C59ABF7E-F8C0-2A49-B92F-AE66BAD45FDD}"/>
            </a:ext>
          </a:extLst>
        </xdr:cNvPr>
        <xdr:cNvSpPr/>
      </xdr:nvSpPr>
      <xdr:spPr>
        <a:xfrm flipH="1">
          <a:off x="13517394604" y="14116934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9</xdr:col>
      <xdr:colOff>614104</xdr:colOff>
      <xdr:row>68</xdr:row>
      <xdr:rowOff>16072</xdr:rowOff>
    </xdr:from>
    <xdr:to>
      <xdr:col>10</xdr:col>
      <xdr:colOff>125395</xdr:colOff>
      <xdr:row>68</xdr:row>
      <xdr:rowOff>183262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F3BC175-ED7F-FC4D-BD21-BCAC2AE4F51D}"/>
            </a:ext>
          </a:extLst>
        </xdr:cNvPr>
        <xdr:cNvSpPr/>
      </xdr:nvSpPr>
      <xdr:spPr>
        <a:xfrm flipH="1">
          <a:off x="13516611605" y="132494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28</a:t>
          </a:r>
          <a:endParaRPr lang="en-US" sz="100"/>
        </a:p>
      </xdr:txBody>
    </xdr:sp>
    <xdr:clientData/>
  </xdr:twoCellAnchor>
  <xdr:twoCellAnchor>
    <xdr:from>
      <xdr:col>9</xdr:col>
      <xdr:colOff>604458</xdr:colOff>
      <xdr:row>69</xdr:row>
      <xdr:rowOff>22503</xdr:rowOff>
    </xdr:from>
    <xdr:to>
      <xdr:col>10</xdr:col>
      <xdr:colOff>115749</xdr:colOff>
      <xdr:row>69</xdr:row>
      <xdr:rowOff>189693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715FA3E-4C16-0043-83A5-B535F73BCAE8}"/>
            </a:ext>
          </a:extLst>
        </xdr:cNvPr>
        <xdr:cNvSpPr/>
      </xdr:nvSpPr>
      <xdr:spPr>
        <a:xfrm flipH="1">
          <a:off x="13516621251" y="134591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29</a:t>
          </a:r>
          <a:endParaRPr lang="en-US" sz="100"/>
        </a:p>
      </xdr:txBody>
    </xdr:sp>
    <xdr:clientData/>
  </xdr:twoCellAnchor>
  <xdr:twoCellAnchor>
    <xdr:from>
      <xdr:col>9</xdr:col>
      <xdr:colOff>607673</xdr:colOff>
      <xdr:row>70</xdr:row>
      <xdr:rowOff>22503</xdr:rowOff>
    </xdr:from>
    <xdr:to>
      <xdr:col>10</xdr:col>
      <xdr:colOff>118964</xdr:colOff>
      <xdr:row>70</xdr:row>
      <xdr:rowOff>189693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E55F10AE-D20D-464D-8F7E-F079DCC509EF}"/>
            </a:ext>
          </a:extLst>
        </xdr:cNvPr>
        <xdr:cNvSpPr/>
      </xdr:nvSpPr>
      <xdr:spPr>
        <a:xfrm flipH="1">
          <a:off x="13516618036" y="136623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30</a:t>
          </a:r>
          <a:endParaRPr lang="en-US" sz="100"/>
        </a:p>
      </xdr:txBody>
    </xdr:sp>
    <xdr:clientData/>
  </xdr:twoCellAnchor>
  <xdr:twoCellAnchor>
    <xdr:from>
      <xdr:col>10</xdr:col>
      <xdr:colOff>607674</xdr:colOff>
      <xdr:row>70</xdr:row>
      <xdr:rowOff>22503</xdr:rowOff>
    </xdr:from>
    <xdr:to>
      <xdr:col>11</xdr:col>
      <xdr:colOff>118965</xdr:colOff>
      <xdr:row>70</xdr:row>
      <xdr:rowOff>189693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355C34-98CB-8B47-B65A-5AA34B7FE774}"/>
            </a:ext>
          </a:extLst>
        </xdr:cNvPr>
        <xdr:cNvSpPr/>
      </xdr:nvSpPr>
      <xdr:spPr>
        <a:xfrm flipH="1">
          <a:off x="13515792535" y="1366230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31</a:t>
          </a:r>
          <a:endParaRPr lang="en-US" sz="100"/>
        </a:p>
      </xdr:txBody>
    </xdr:sp>
    <xdr:clientData/>
  </xdr:twoCellAnchor>
  <xdr:twoCellAnchor>
    <xdr:from>
      <xdr:col>10</xdr:col>
      <xdr:colOff>623750</xdr:colOff>
      <xdr:row>68</xdr:row>
      <xdr:rowOff>35363</xdr:rowOff>
    </xdr:from>
    <xdr:to>
      <xdr:col>11</xdr:col>
      <xdr:colOff>135041</xdr:colOff>
      <xdr:row>68</xdr:row>
      <xdr:rowOff>202553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4A653A-7015-F34D-B2DB-3691DC23373E}"/>
            </a:ext>
          </a:extLst>
        </xdr:cNvPr>
        <xdr:cNvSpPr/>
      </xdr:nvSpPr>
      <xdr:spPr>
        <a:xfrm flipH="1">
          <a:off x="13515776459" y="1326876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32</a:t>
          </a:r>
          <a:endParaRPr lang="en-US" sz="100"/>
        </a:p>
      </xdr:txBody>
    </xdr:sp>
    <xdr:clientData/>
  </xdr:twoCellAnchor>
  <xdr:twoCellAnchor>
    <xdr:from>
      <xdr:col>10</xdr:col>
      <xdr:colOff>639826</xdr:colOff>
      <xdr:row>75</xdr:row>
      <xdr:rowOff>16072</xdr:rowOff>
    </xdr:from>
    <xdr:to>
      <xdr:col>11</xdr:col>
      <xdr:colOff>151117</xdr:colOff>
      <xdr:row>75</xdr:row>
      <xdr:rowOff>183262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316908F3-605E-D049-9D34-1209DB70AE63}"/>
            </a:ext>
          </a:extLst>
        </xdr:cNvPr>
        <xdr:cNvSpPr/>
      </xdr:nvSpPr>
      <xdr:spPr>
        <a:xfrm flipH="1">
          <a:off x="13515760383" y="146718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33</a:t>
          </a:r>
          <a:endParaRPr lang="en-US" sz="100"/>
        </a:p>
      </xdr:txBody>
    </xdr:sp>
    <xdr:clientData/>
  </xdr:twoCellAnchor>
  <xdr:twoCellAnchor>
    <xdr:from>
      <xdr:col>10</xdr:col>
      <xdr:colOff>626965</xdr:colOff>
      <xdr:row>69</xdr:row>
      <xdr:rowOff>16072</xdr:rowOff>
    </xdr:from>
    <xdr:to>
      <xdr:col>11</xdr:col>
      <xdr:colOff>138256</xdr:colOff>
      <xdr:row>69</xdr:row>
      <xdr:rowOff>183262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8D09BDB-E676-0D46-97BE-E34EB78B5208}"/>
            </a:ext>
          </a:extLst>
        </xdr:cNvPr>
        <xdr:cNvSpPr/>
      </xdr:nvSpPr>
      <xdr:spPr>
        <a:xfrm flipH="1">
          <a:off x="13515773244" y="1345267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34</a:t>
          </a:r>
          <a:endParaRPr lang="en-US" sz="100"/>
        </a:p>
      </xdr:txBody>
    </xdr:sp>
    <xdr:clientData/>
  </xdr:twoCellAnchor>
  <xdr:twoCellAnchor>
    <xdr:from>
      <xdr:col>10</xdr:col>
      <xdr:colOff>655902</xdr:colOff>
      <xdr:row>77</xdr:row>
      <xdr:rowOff>22502</xdr:rowOff>
    </xdr:from>
    <xdr:to>
      <xdr:col>11</xdr:col>
      <xdr:colOff>167193</xdr:colOff>
      <xdr:row>77</xdr:row>
      <xdr:rowOff>189692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FBC551E-E778-6649-8159-DC0F408FC605}"/>
            </a:ext>
          </a:extLst>
        </xdr:cNvPr>
        <xdr:cNvSpPr/>
      </xdr:nvSpPr>
      <xdr:spPr>
        <a:xfrm flipH="1">
          <a:off x="13515744307" y="15084702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35</a:t>
          </a:r>
          <a:endParaRPr lang="en-US" sz="100"/>
        </a:p>
      </xdr:txBody>
    </xdr:sp>
    <xdr:clientData/>
  </xdr:twoCellAnchor>
  <xdr:twoCellAnchor>
    <xdr:from>
      <xdr:col>10</xdr:col>
      <xdr:colOff>643041</xdr:colOff>
      <xdr:row>80</xdr:row>
      <xdr:rowOff>28933</xdr:rowOff>
    </xdr:from>
    <xdr:to>
      <xdr:col>11</xdr:col>
      <xdr:colOff>154332</xdr:colOff>
      <xdr:row>80</xdr:row>
      <xdr:rowOff>196123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6AE8863E-2660-FB41-A6DA-A8B5F2DD156A}"/>
            </a:ext>
          </a:extLst>
        </xdr:cNvPr>
        <xdr:cNvSpPr/>
      </xdr:nvSpPr>
      <xdr:spPr>
        <a:xfrm flipH="1">
          <a:off x="13515757168" y="1570073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36</a:t>
          </a:r>
          <a:endParaRPr lang="en-US" sz="100"/>
        </a:p>
      </xdr:txBody>
    </xdr:sp>
    <xdr:clientData/>
  </xdr:twoCellAnchor>
  <xdr:twoCellAnchor>
    <xdr:from>
      <xdr:col>10</xdr:col>
      <xdr:colOff>636611</xdr:colOff>
      <xdr:row>67</xdr:row>
      <xdr:rowOff>32148</xdr:rowOff>
    </xdr:from>
    <xdr:to>
      <xdr:col>11</xdr:col>
      <xdr:colOff>147902</xdr:colOff>
      <xdr:row>67</xdr:row>
      <xdr:rowOff>199338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FDFCCA2-5C86-F342-AAF1-7EF61984132D}"/>
            </a:ext>
          </a:extLst>
        </xdr:cNvPr>
        <xdr:cNvSpPr/>
      </xdr:nvSpPr>
      <xdr:spPr>
        <a:xfrm flipH="1">
          <a:off x="13515763598" y="13062348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37</a:t>
          </a:r>
          <a:endParaRPr lang="en-US" sz="100"/>
        </a:p>
      </xdr:txBody>
    </xdr:sp>
    <xdr:clientData/>
  </xdr:twoCellAnchor>
  <xdr:twoCellAnchor>
    <xdr:from>
      <xdr:col>9</xdr:col>
      <xdr:colOff>755570</xdr:colOff>
      <xdr:row>72</xdr:row>
      <xdr:rowOff>57873</xdr:rowOff>
    </xdr:from>
    <xdr:to>
      <xdr:col>9</xdr:col>
      <xdr:colOff>801289</xdr:colOff>
      <xdr:row>72</xdr:row>
      <xdr:rowOff>128607</xdr:rowOff>
    </xdr:to>
    <xdr:sp macro="" textlink="">
      <xdr:nvSpPr>
        <xdr:cNvPr id="53" name="Left Arrow 52">
          <a:extLst>
            <a:ext uri="{FF2B5EF4-FFF2-40B4-BE49-F238E27FC236}">
              <a16:creationId xmlns:a16="http://schemas.microsoft.com/office/drawing/2014/main" id="{2BAEE30C-90E8-4040-824E-F30B5D0155A7}"/>
            </a:ext>
          </a:extLst>
        </xdr:cNvPr>
        <xdr:cNvSpPr/>
      </xdr:nvSpPr>
      <xdr:spPr>
        <a:xfrm flipH="1">
          <a:off x="13516761211" y="1410407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11</xdr:col>
      <xdr:colOff>147899</xdr:colOff>
      <xdr:row>67</xdr:row>
      <xdr:rowOff>70733</xdr:rowOff>
    </xdr:from>
    <xdr:to>
      <xdr:col>11</xdr:col>
      <xdr:colOff>193618</xdr:colOff>
      <xdr:row>67</xdr:row>
      <xdr:rowOff>141467</xdr:rowOff>
    </xdr:to>
    <xdr:sp macro="" textlink="">
      <xdr:nvSpPr>
        <xdr:cNvPr id="54" name="Left Arrow 53">
          <a:extLst>
            <a:ext uri="{FF2B5EF4-FFF2-40B4-BE49-F238E27FC236}">
              <a16:creationId xmlns:a16="http://schemas.microsoft.com/office/drawing/2014/main" id="{E1568F7A-0196-1942-AE6C-0B4EF9009B4E}"/>
            </a:ext>
          </a:extLst>
        </xdr:cNvPr>
        <xdr:cNvSpPr/>
      </xdr:nvSpPr>
      <xdr:spPr>
        <a:xfrm flipH="1">
          <a:off x="13515717882" y="13100933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11</xdr:col>
      <xdr:colOff>633395</xdr:colOff>
      <xdr:row>72</xdr:row>
      <xdr:rowOff>22503</xdr:rowOff>
    </xdr:from>
    <xdr:to>
      <xdr:col>12</xdr:col>
      <xdr:colOff>144687</xdr:colOff>
      <xdr:row>72</xdr:row>
      <xdr:rowOff>189693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CC308F0-0A71-3B41-8EFE-816E5088A94B}"/>
            </a:ext>
          </a:extLst>
        </xdr:cNvPr>
        <xdr:cNvSpPr/>
      </xdr:nvSpPr>
      <xdr:spPr>
        <a:xfrm flipH="1">
          <a:off x="13514941313" y="1406870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38</a:t>
          </a:r>
          <a:endParaRPr lang="en-US" sz="100"/>
        </a:p>
      </xdr:txBody>
    </xdr:sp>
    <xdr:clientData/>
  </xdr:twoCellAnchor>
  <xdr:twoCellAnchor>
    <xdr:from>
      <xdr:col>11</xdr:col>
      <xdr:colOff>633395</xdr:colOff>
      <xdr:row>68</xdr:row>
      <xdr:rowOff>12857</xdr:rowOff>
    </xdr:from>
    <xdr:to>
      <xdr:col>12</xdr:col>
      <xdr:colOff>144687</xdr:colOff>
      <xdr:row>68</xdr:row>
      <xdr:rowOff>180047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26756CD-4DB3-FC4E-B60C-4B45FF2B2DC8}"/>
            </a:ext>
          </a:extLst>
        </xdr:cNvPr>
        <xdr:cNvSpPr/>
      </xdr:nvSpPr>
      <xdr:spPr>
        <a:xfrm flipH="1">
          <a:off x="13514941313" y="13246257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39</a:t>
          </a:r>
          <a:endParaRPr lang="en-US" sz="100"/>
        </a:p>
      </xdr:txBody>
    </xdr:sp>
    <xdr:clientData/>
  </xdr:twoCellAnchor>
  <xdr:twoCellAnchor>
    <xdr:from>
      <xdr:col>11</xdr:col>
      <xdr:colOff>649471</xdr:colOff>
      <xdr:row>70</xdr:row>
      <xdr:rowOff>3212</xdr:rowOff>
    </xdr:from>
    <xdr:to>
      <xdr:col>12</xdr:col>
      <xdr:colOff>160763</xdr:colOff>
      <xdr:row>70</xdr:row>
      <xdr:rowOff>170402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9A23F706-23EC-E443-B197-4709E5223BA1}"/>
            </a:ext>
          </a:extLst>
        </xdr:cNvPr>
        <xdr:cNvSpPr/>
      </xdr:nvSpPr>
      <xdr:spPr>
        <a:xfrm flipH="1">
          <a:off x="13514925237" y="13643012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40</a:t>
          </a:r>
          <a:endParaRPr lang="en-US" sz="100"/>
        </a:p>
      </xdr:txBody>
    </xdr:sp>
    <xdr:clientData/>
  </xdr:twoCellAnchor>
  <xdr:twoCellAnchor>
    <xdr:from>
      <xdr:col>11</xdr:col>
      <xdr:colOff>684838</xdr:colOff>
      <xdr:row>82</xdr:row>
      <xdr:rowOff>22503</xdr:rowOff>
    </xdr:from>
    <xdr:to>
      <xdr:col>12</xdr:col>
      <xdr:colOff>196130</xdr:colOff>
      <xdr:row>82</xdr:row>
      <xdr:rowOff>189693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75DF759B-BD45-BA48-ADB4-8784026E53CA}"/>
            </a:ext>
          </a:extLst>
        </xdr:cNvPr>
        <xdr:cNvSpPr/>
      </xdr:nvSpPr>
      <xdr:spPr>
        <a:xfrm flipH="1">
          <a:off x="13514889870" y="1610070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41</a:t>
          </a:r>
          <a:endParaRPr lang="en-US" sz="100"/>
        </a:p>
      </xdr:txBody>
    </xdr:sp>
    <xdr:clientData/>
  </xdr:twoCellAnchor>
  <xdr:twoCellAnchor>
    <xdr:from>
      <xdr:col>11</xdr:col>
      <xdr:colOff>697699</xdr:colOff>
      <xdr:row>80</xdr:row>
      <xdr:rowOff>16073</xdr:rowOff>
    </xdr:from>
    <xdr:to>
      <xdr:col>12</xdr:col>
      <xdr:colOff>208991</xdr:colOff>
      <xdr:row>80</xdr:row>
      <xdr:rowOff>183263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2CC2C480-4084-7A4C-BC45-3075D249157D}"/>
            </a:ext>
          </a:extLst>
        </xdr:cNvPr>
        <xdr:cNvSpPr/>
      </xdr:nvSpPr>
      <xdr:spPr>
        <a:xfrm flipH="1">
          <a:off x="13514877009" y="15687873"/>
          <a:ext cx="336792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42</a:t>
          </a:r>
          <a:endParaRPr lang="en-US" sz="100"/>
        </a:p>
      </xdr:txBody>
    </xdr:sp>
    <xdr:clientData/>
  </xdr:twoCellAnchor>
  <xdr:twoCellAnchor>
    <xdr:from>
      <xdr:col>11</xdr:col>
      <xdr:colOff>807013</xdr:colOff>
      <xdr:row>67</xdr:row>
      <xdr:rowOff>73948</xdr:rowOff>
    </xdr:from>
    <xdr:to>
      <xdr:col>12</xdr:col>
      <xdr:colOff>26429</xdr:colOff>
      <xdr:row>67</xdr:row>
      <xdr:rowOff>144682</xdr:rowOff>
    </xdr:to>
    <xdr:sp macro="" textlink="">
      <xdr:nvSpPr>
        <xdr:cNvPr id="60" name="Left Arrow 59">
          <a:extLst>
            <a:ext uri="{FF2B5EF4-FFF2-40B4-BE49-F238E27FC236}">
              <a16:creationId xmlns:a16="http://schemas.microsoft.com/office/drawing/2014/main" id="{3F301533-BA8B-D34D-98C5-16E8BC80BC2B}"/>
            </a:ext>
          </a:extLst>
        </xdr:cNvPr>
        <xdr:cNvSpPr/>
      </xdr:nvSpPr>
      <xdr:spPr>
        <a:xfrm flipH="1">
          <a:off x="13515059571" y="13104148"/>
          <a:ext cx="44916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12</xdr:col>
      <xdr:colOff>160761</xdr:colOff>
      <xdr:row>72</xdr:row>
      <xdr:rowOff>73949</xdr:rowOff>
    </xdr:from>
    <xdr:to>
      <xdr:col>12</xdr:col>
      <xdr:colOff>206480</xdr:colOff>
      <xdr:row>72</xdr:row>
      <xdr:rowOff>144683</xdr:rowOff>
    </xdr:to>
    <xdr:sp macro="" textlink="">
      <xdr:nvSpPr>
        <xdr:cNvPr id="61" name="Left Arrow 60">
          <a:extLst>
            <a:ext uri="{FF2B5EF4-FFF2-40B4-BE49-F238E27FC236}">
              <a16:creationId xmlns:a16="http://schemas.microsoft.com/office/drawing/2014/main" id="{819CB5F3-250D-AC42-8D89-14019910DC1B}"/>
            </a:ext>
          </a:extLst>
        </xdr:cNvPr>
        <xdr:cNvSpPr/>
      </xdr:nvSpPr>
      <xdr:spPr>
        <a:xfrm flipH="1">
          <a:off x="13514879520" y="14120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12</xdr:col>
      <xdr:colOff>610890</xdr:colOff>
      <xdr:row>68</xdr:row>
      <xdr:rowOff>16073</xdr:rowOff>
    </xdr:from>
    <xdr:to>
      <xdr:col>13</xdr:col>
      <xdr:colOff>122181</xdr:colOff>
      <xdr:row>68</xdr:row>
      <xdr:rowOff>183263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6F9A9BD1-3343-744C-B7CA-CC863C58BE29}"/>
            </a:ext>
          </a:extLst>
        </xdr:cNvPr>
        <xdr:cNvSpPr/>
      </xdr:nvSpPr>
      <xdr:spPr>
        <a:xfrm flipH="1">
          <a:off x="13514138319" y="13249473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43</a:t>
          </a:r>
          <a:endParaRPr lang="en-US" sz="100"/>
        </a:p>
      </xdr:txBody>
    </xdr:sp>
    <xdr:clientData/>
  </xdr:twoCellAnchor>
  <xdr:twoCellAnchor>
    <xdr:from>
      <xdr:col>12</xdr:col>
      <xdr:colOff>620536</xdr:colOff>
      <xdr:row>70</xdr:row>
      <xdr:rowOff>32150</xdr:rowOff>
    </xdr:from>
    <xdr:to>
      <xdr:col>13</xdr:col>
      <xdr:colOff>131827</xdr:colOff>
      <xdr:row>70</xdr:row>
      <xdr:rowOff>199340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1A30B5C3-113C-0543-AC55-D2FFAA14EC6F}"/>
            </a:ext>
          </a:extLst>
        </xdr:cNvPr>
        <xdr:cNvSpPr/>
      </xdr:nvSpPr>
      <xdr:spPr>
        <a:xfrm flipH="1">
          <a:off x="13514128673" y="1367195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44</a:t>
          </a:r>
          <a:endParaRPr lang="en-US" sz="100"/>
        </a:p>
      </xdr:txBody>
    </xdr:sp>
    <xdr:clientData/>
  </xdr:twoCellAnchor>
  <xdr:twoCellAnchor>
    <xdr:from>
      <xdr:col>12</xdr:col>
      <xdr:colOff>614106</xdr:colOff>
      <xdr:row>82</xdr:row>
      <xdr:rowOff>19289</xdr:rowOff>
    </xdr:from>
    <xdr:to>
      <xdr:col>13</xdr:col>
      <xdr:colOff>125397</xdr:colOff>
      <xdr:row>82</xdr:row>
      <xdr:rowOff>186479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AC8EEB17-E3E6-224C-BAF8-0FF0E70755E9}"/>
            </a:ext>
          </a:extLst>
        </xdr:cNvPr>
        <xdr:cNvSpPr/>
      </xdr:nvSpPr>
      <xdr:spPr>
        <a:xfrm flipH="1">
          <a:off x="13514135103" y="1609748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45</a:t>
          </a:r>
          <a:endParaRPr lang="en-US" sz="100"/>
        </a:p>
      </xdr:txBody>
    </xdr:sp>
    <xdr:clientData/>
  </xdr:twoCellAnchor>
  <xdr:twoCellAnchor>
    <xdr:from>
      <xdr:col>12</xdr:col>
      <xdr:colOff>620536</xdr:colOff>
      <xdr:row>80</xdr:row>
      <xdr:rowOff>22505</xdr:rowOff>
    </xdr:from>
    <xdr:to>
      <xdr:col>13</xdr:col>
      <xdr:colOff>131827</xdr:colOff>
      <xdr:row>80</xdr:row>
      <xdr:rowOff>189695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4E4794AC-0E8A-8348-AD73-A3F536BB8B32}"/>
            </a:ext>
          </a:extLst>
        </xdr:cNvPr>
        <xdr:cNvSpPr/>
      </xdr:nvSpPr>
      <xdr:spPr>
        <a:xfrm flipH="1">
          <a:off x="13514128673" y="156943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46</a:t>
          </a:r>
          <a:endParaRPr lang="en-US" sz="100"/>
        </a:p>
      </xdr:txBody>
    </xdr:sp>
    <xdr:clientData/>
  </xdr:twoCellAnchor>
  <xdr:twoCellAnchor>
    <xdr:from>
      <xdr:col>13</xdr:col>
      <xdr:colOff>639827</xdr:colOff>
      <xdr:row>70</xdr:row>
      <xdr:rowOff>19290</xdr:rowOff>
    </xdr:from>
    <xdr:to>
      <xdr:col>14</xdr:col>
      <xdr:colOff>151118</xdr:colOff>
      <xdr:row>70</xdr:row>
      <xdr:rowOff>186480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CCE4ABC4-E886-D943-A65D-AF1BAE4C0170}"/>
            </a:ext>
          </a:extLst>
        </xdr:cNvPr>
        <xdr:cNvSpPr/>
      </xdr:nvSpPr>
      <xdr:spPr>
        <a:xfrm flipH="1">
          <a:off x="13513283882" y="1365909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47</a:t>
          </a:r>
          <a:endParaRPr lang="en-US" sz="100"/>
        </a:p>
      </xdr:txBody>
    </xdr:sp>
    <xdr:clientData/>
  </xdr:twoCellAnchor>
  <xdr:twoCellAnchor>
    <xdr:from>
      <xdr:col>12</xdr:col>
      <xdr:colOff>745925</xdr:colOff>
      <xdr:row>72</xdr:row>
      <xdr:rowOff>67519</xdr:rowOff>
    </xdr:from>
    <xdr:to>
      <xdr:col>12</xdr:col>
      <xdr:colOff>791644</xdr:colOff>
      <xdr:row>72</xdr:row>
      <xdr:rowOff>138253</xdr:rowOff>
    </xdr:to>
    <xdr:sp macro="" textlink="">
      <xdr:nvSpPr>
        <xdr:cNvPr id="67" name="Left Arrow 66">
          <a:extLst>
            <a:ext uri="{FF2B5EF4-FFF2-40B4-BE49-F238E27FC236}">
              <a16:creationId xmlns:a16="http://schemas.microsoft.com/office/drawing/2014/main" id="{78495492-2FEB-B349-8E89-71C3C2DB238C}"/>
            </a:ext>
          </a:extLst>
        </xdr:cNvPr>
        <xdr:cNvSpPr/>
      </xdr:nvSpPr>
      <xdr:spPr>
        <a:xfrm flipH="1">
          <a:off x="13514294356" y="1411371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13</xdr:col>
      <xdr:colOff>675194</xdr:colOff>
      <xdr:row>68</xdr:row>
      <xdr:rowOff>22505</xdr:rowOff>
    </xdr:from>
    <xdr:to>
      <xdr:col>14</xdr:col>
      <xdr:colOff>186485</xdr:colOff>
      <xdr:row>68</xdr:row>
      <xdr:rowOff>189695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5C29323-66E1-8242-B98B-5CDDF58B1AB5}"/>
            </a:ext>
          </a:extLst>
        </xdr:cNvPr>
        <xdr:cNvSpPr/>
      </xdr:nvSpPr>
      <xdr:spPr>
        <a:xfrm flipH="1">
          <a:off x="13513248515" y="1325590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48</a:t>
          </a:r>
          <a:endParaRPr lang="en-US" sz="100"/>
        </a:p>
      </xdr:txBody>
    </xdr:sp>
    <xdr:clientData/>
  </xdr:twoCellAnchor>
  <xdr:twoCellAnchor>
    <xdr:from>
      <xdr:col>13</xdr:col>
      <xdr:colOff>636612</xdr:colOff>
      <xdr:row>78</xdr:row>
      <xdr:rowOff>9645</xdr:rowOff>
    </xdr:from>
    <xdr:to>
      <xdr:col>14</xdr:col>
      <xdr:colOff>147903</xdr:colOff>
      <xdr:row>78</xdr:row>
      <xdr:rowOff>176835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34C10A7E-32AD-4940-A2A5-4C922F05F268}"/>
            </a:ext>
          </a:extLst>
        </xdr:cNvPr>
        <xdr:cNvSpPr/>
      </xdr:nvSpPr>
      <xdr:spPr>
        <a:xfrm flipH="1">
          <a:off x="13513287097" y="1527504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49</a:t>
          </a:r>
          <a:endParaRPr lang="en-US" sz="100"/>
        </a:p>
      </xdr:txBody>
    </xdr:sp>
    <xdr:clientData/>
  </xdr:twoCellAnchor>
  <xdr:twoCellAnchor>
    <xdr:from>
      <xdr:col>13</xdr:col>
      <xdr:colOff>655903</xdr:colOff>
      <xdr:row>80</xdr:row>
      <xdr:rowOff>6429</xdr:rowOff>
    </xdr:from>
    <xdr:to>
      <xdr:col>14</xdr:col>
      <xdr:colOff>167194</xdr:colOff>
      <xdr:row>80</xdr:row>
      <xdr:rowOff>173619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267D4012-5E32-1349-9655-2D189C538F6A}"/>
            </a:ext>
          </a:extLst>
        </xdr:cNvPr>
        <xdr:cNvSpPr/>
      </xdr:nvSpPr>
      <xdr:spPr>
        <a:xfrm flipH="1">
          <a:off x="13513267806" y="1567822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50</a:t>
          </a:r>
          <a:endParaRPr lang="en-US" sz="100"/>
        </a:p>
      </xdr:txBody>
    </xdr:sp>
    <xdr:clientData/>
  </xdr:twoCellAnchor>
  <xdr:twoCellAnchor>
    <xdr:from>
      <xdr:col>13</xdr:col>
      <xdr:colOff>128608</xdr:colOff>
      <xdr:row>82</xdr:row>
      <xdr:rowOff>67519</xdr:rowOff>
    </xdr:from>
    <xdr:to>
      <xdr:col>13</xdr:col>
      <xdr:colOff>174327</xdr:colOff>
      <xdr:row>82</xdr:row>
      <xdr:rowOff>138253</xdr:rowOff>
    </xdr:to>
    <xdr:sp macro="" textlink="">
      <xdr:nvSpPr>
        <xdr:cNvPr id="71" name="Left Arrow 70">
          <a:extLst>
            <a:ext uri="{FF2B5EF4-FFF2-40B4-BE49-F238E27FC236}">
              <a16:creationId xmlns:a16="http://schemas.microsoft.com/office/drawing/2014/main" id="{77224E3B-2551-6047-9D81-61BFB95A70EE}"/>
            </a:ext>
          </a:extLst>
        </xdr:cNvPr>
        <xdr:cNvSpPr/>
      </xdr:nvSpPr>
      <xdr:spPr>
        <a:xfrm flipH="1">
          <a:off x="13514086173" y="1614571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14</xdr:col>
      <xdr:colOff>1</xdr:colOff>
      <xdr:row>67</xdr:row>
      <xdr:rowOff>73949</xdr:rowOff>
    </xdr:from>
    <xdr:to>
      <xdr:col>14</xdr:col>
      <xdr:colOff>45720</xdr:colOff>
      <xdr:row>67</xdr:row>
      <xdr:rowOff>144683</xdr:rowOff>
    </xdr:to>
    <xdr:sp macro="" textlink="">
      <xdr:nvSpPr>
        <xdr:cNvPr id="72" name="Left Arrow 71">
          <a:extLst>
            <a:ext uri="{FF2B5EF4-FFF2-40B4-BE49-F238E27FC236}">
              <a16:creationId xmlns:a16="http://schemas.microsoft.com/office/drawing/2014/main" id="{31498498-D9D8-ED4B-90A6-31FB997C8297}"/>
            </a:ext>
          </a:extLst>
        </xdr:cNvPr>
        <xdr:cNvSpPr/>
      </xdr:nvSpPr>
      <xdr:spPr>
        <a:xfrm flipH="1">
          <a:off x="13513389280" y="13104149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14</xdr:col>
      <xdr:colOff>620536</xdr:colOff>
      <xdr:row>72</xdr:row>
      <xdr:rowOff>28935</xdr:rowOff>
    </xdr:from>
    <xdr:to>
      <xdr:col>15</xdr:col>
      <xdr:colOff>131827</xdr:colOff>
      <xdr:row>72</xdr:row>
      <xdr:rowOff>196125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D22F3D-A7E7-6A45-9722-D2FEAC3B0B8A}"/>
            </a:ext>
          </a:extLst>
        </xdr:cNvPr>
        <xdr:cNvSpPr/>
      </xdr:nvSpPr>
      <xdr:spPr>
        <a:xfrm flipH="1">
          <a:off x="13512477673" y="1407513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51</a:t>
          </a:r>
          <a:endParaRPr lang="en-US" sz="100"/>
        </a:p>
      </xdr:txBody>
    </xdr:sp>
    <xdr:clientData/>
  </xdr:twoCellAnchor>
  <xdr:twoCellAnchor>
    <xdr:from>
      <xdr:col>14</xdr:col>
      <xdr:colOff>639827</xdr:colOff>
      <xdr:row>68</xdr:row>
      <xdr:rowOff>28935</xdr:rowOff>
    </xdr:from>
    <xdr:to>
      <xdr:col>15</xdr:col>
      <xdr:colOff>151118</xdr:colOff>
      <xdr:row>68</xdr:row>
      <xdr:rowOff>196125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0F16EF4-A172-AF42-8BCD-A18E5C9856B4}"/>
            </a:ext>
          </a:extLst>
        </xdr:cNvPr>
        <xdr:cNvSpPr/>
      </xdr:nvSpPr>
      <xdr:spPr>
        <a:xfrm flipH="1">
          <a:off x="13512458382" y="13262335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52</a:t>
          </a:r>
          <a:endParaRPr lang="en-US" sz="100"/>
        </a:p>
      </xdr:txBody>
    </xdr:sp>
    <xdr:clientData/>
  </xdr:twoCellAnchor>
  <xdr:twoCellAnchor>
    <xdr:from>
      <xdr:col>14</xdr:col>
      <xdr:colOff>630182</xdr:colOff>
      <xdr:row>70</xdr:row>
      <xdr:rowOff>12860</xdr:rowOff>
    </xdr:from>
    <xdr:to>
      <xdr:col>15</xdr:col>
      <xdr:colOff>141473</xdr:colOff>
      <xdr:row>70</xdr:row>
      <xdr:rowOff>180050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FF3E51D0-6E92-D043-B1FB-8B02ACE8C667}"/>
            </a:ext>
          </a:extLst>
        </xdr:cNvPr>
        <xdr:cNvSpPr/>
      </xdr:nvSpPr>
      <xdr:spPr>
        <a:xfrm flipH="1">
          <a:off x="13512468027" y="13652660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53</a:t>
          </a:r>
          <a:endParaRPr lang="en-US" sz="100"/>
        </a:p>
      </xdr:txBody>
    </xdr:sp>
    <xdr:clientData/>
  </xdr:twoCellAnchor>
  <xdr:twoCellAnchor>
    <xdr:from>
      <xdr:col>14</xdr:col>
      <xdr:colOff>598030</xdr:colOff>
      <xdr:row>82</xdr:row>
      <xdr:rowOff>16074</xdr:rowOff>
    </xdr:from>
    <xdr:to>
      <xdr:col>15</xdr:col>
      <xdr:colOff>109321</xdr:colOff>
      <xdr:row>82</xdr:row>
      <xdr:rowOff>183264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C777353-AE5C-C74D-9969-F60D600F77E2}"/>
            </a:ext>
          </a:extLst>
        </xdr:cNvPr>
        <xdr:cNvSpPr/>
      </xdr:nvSpPr>
      <xdr:spPr>
        <a:xfrm flipH="1">
          <a:off x="13512500179" y="16094274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54</a:t>
          </a:r>
          <a:endParaRPr lang="en-US" sz="100"/>
        </a:p>
      </xdr:txBody>
    </xdr:sp>
    <xdr:clientData/>
  </xdr:twoCellAnchor>
  <xdr:twoCellAnchor>
    <xdr:from>
      <xdr:col>14</xdr:col>
      <xdr:colOff>607676</xdr:colOff>
      <xdr:row>80</xdr:row>
      <xdr:rowOff>19289</xdr:rowOff>
    </xdr:from>
    <xdr:to>
      <xdr:col>15</xdr:col>
      <xdr:colOff>118967</xdr:colOff>
      <xdr:row>80</xdr:row>
      <xdr:rowOff>186479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AC46A26B-2115-774E-A1FB-1CE9C87A6C9A}"/>
            </a:ext>
          </a:extLst>
        </xdr:cNvPr>
        <xdr:cNvSpPr/>
      </xdr:nvSpPr>
      <xdr:spPr>
        <a:xfrm flipH="1">
          <a:off x="13512490533" y="15691089"/>
          <a:ext cx="336791" cy="167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1"/>
          <a:r>
            <a:rPr lang="he-IL" sz="1050"/>
            <a:t>55</a:t>
          </a:r>
          <a:endParaRPr lang="en-US" sz="100"/>
        </a:p>
      </xdr:txBody>
    </xdr:sp>
    <xdr:clientData/>
  </xdr:twoCellAnchor>
  <xdr:twoCellAnchor>
    <xdr:from>
      <xdr:col>15</xdr:col>
      <xdr:colOff>141469</xdr:colOff>
      <xdr:row>72</xdr:row>
      <xdr:rowOff>77165</xdr:rowOff>
    </xdr:from>
    <xdr:to>
      <xdr:col>15</xdr:col>
      <xdr:colOff>187188</xdr:colOff>
      <xdr:row>72</xdr:row>
      <xdr:rowOff>147899</xdr:rowOff>
    </xdr:to>
    <xdr:sp macro="" textlink="">
      <xdr:nvSpPr>
        <xdr:cNvPr id="78" name="Left Arrow 77">
          <a:extLst>
            <a:ext uri="{FF2B5EF4-FFF2-40B4-BE49-F238E27FC236}">
              <a16:creationId xmlns:a16="http://schemas.microsoft.com/office/drawing/2014/main" id="{393D6579-564D-454B-AB33-527E528F9BA4}"/>
            </a:ext>
          </a:extLst>
        </xdr:cNvPr>
        <xdr:cNvSpPr/>
      </xdr:nvSpPr>
      <xdr:spPr>
        <a:xfrm flipH="1">
          <a:off x="13512422312" y="14123365"/>
          <a:ext cx="45719" cy="7073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122155</xdr:colOff>
      <xdr:row>87</xdr:row>
      <xdr:rowOff>47413</xdr:rowOff>
    </xdr:from>
    <xdr:to>
      <xdr:col>8</xdr:col>
      <xdr:colOff>5926</xdr:colOff>
      <xdr:row>98</xdr:row>
      <xdr:rowOff>172718</xdr:rowOff>
    </xdr:to>
    <xdr:pic>
      <xdr:nvPicPr>
        <xdr:cNvPr id="79" name="Picture 78" descr="A 20-year-old student who looks younger than her age, with brown hair and round eyes, wearing earrings, a brown tank top, and blue jeans. She is studying financial accounting while eating many hot dogs. She is sitting at a desk with books and a laptop, surrounded by hot dog wrappers.">
          <a:extLst>
            <a:ext uri="{FF2B5EF4-FFF2-40B4-BE49-F238E27FC236}">
              <a16:creationId xmlns:a16="http://schemas.microsoft.com/office/drawing/2014/main" id="{1B2A9EC7-5473-8E49-801E-4DD1C38A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8382074" y="64944413"/>
          <a:ext cx="2360271" cy="2360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36030</xdr:colOff>
      <xdr:row>87</xdr:row>
      <xdr:rowOff>61839</xdr:rowOff>
    </xdr:from>
    <xdr:to>
      <xdr:col>11</xdr:col>
      <xdr:colOff>590236</xdr:colOff>
      <xdr:row>98</xdr:row>
      <xdr:rowOff>32649</xdr:rowOff>
    </xdr:to>
    <xdr:pic>
      <xdr:nvPicPr>
        <xdr:cNvPr id="80" name="Picture 79" descr="A very happy 20-year-old student who looks younger than her age, with brown hair and round eyes, wearing a brown tank top and blue jeans. She is celebrating her success in an accounting exercise. She is surrounded by many hot dogs, making the scene funnier. She is sitting at a desk with books and a laptop, with hot dog wrappers everywhere. Her facial expression shows extreme joy and excitement.">
          <a:extLst>
            <a:ext uri="{FF2B5EF4-FFF2-40B4-BE49-F238E27FC236}">
              <a16:creationId xmlns:a16="http://schemas.microsoft.com/office/drawing/2014/main" id="{52CBB8D0-E690-6241-AB16-6BB52CD2F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321264" y="64958839"/>
          <a:ext cx="2205206" cy="2206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117092</xdr:colOff>
      <xdr:row>92</xdr:row>
      <xdr:rowOff>13511</xdr:rowOff>
    </xdr:from>
    <xdr:to>
      <xdr:col>8</xdr:col>
      <xdr:colOff>680036</xdr:colOff>
      <xdr:row>93</xdr:row>
      <xdr:rowOff>121595</xdr:rowOff>
    </xdr:to>
    <xdr:sp macro="" textlink="">
      <xdr:nvSpPr>
        <xdr:cNvPr id="81" name="Left Arrow 80">
          <a:extLst>
            <a:ext uri="{FF2B5EF4-FFF2-40B4-BE49-F238E27FC236}">
              <a16:creationId xmlns:a16="http://schemas.microsoft.com/office/drawing/2014/main" id="{52724EB0-C931-A74B-90F2-477DBEAEC752}"/>
            </a:ext>
          </a:extLst>
        </xdr:cNvPr>
        <xdr:cNvSpPr/>
      </xdr:nvSpPr>
      <xdr:spPr>
        <a:xfrm flipH="1">
          <a:off x="13517707964" y="18123711"/>
          <a:ext cx="562944" cy="31128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113" t="s">
        <v>27</v>
      </c>
      <c r="B27" s="113"/>
      <c r="C27" s="113"/>
      <c r="D27" s="113"/>
      <c r="E27" s="113"/>
      <c r="F27" s="113"/>
      <c r="G27" s="113"/>
      <c r="H27" s="113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opLeftCell="A437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114" t="s">
        <v>306</v>
      </c>
      <c r="C217" s="114"/>
      <c r="D217" s="114"/>
      <c r="E217" s="19" t="s">
        <v>307</v>
      </c>
      <c r="F217" s="115" t="s">
        <v>308</v>
      </c>
      <c r="G217" s="115"/>
      <c r="H217" s="116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4">
        <f>C268-F271</f>
        <v>-118571.42857142858</v>
      </c>
      <c r="G268" s="54">
        <f>F268-G271</f>
        <v>-143452.38095238095</v>
      </c>
      <c r="H268" s="54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4">
        <f t="shared" si="2"/>
        <v>101428.57142857142</v>
      </c>
      <c r="G269" s="54">
        <f t="shared" si="2"/>
        <v>76547.619047619053</v>
      </c>
      <c r="H269" s="54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4">
        <f>D271+(115000-20000)*6*(6/12)/(6*7/2)</f>
        <v>28571.428571428572</v>
      </c>
      <c r="G271" s="54">
        <f>(115000-20000)*6*(6/12)/(6*7/2)+(115000-20000)*5*(6/12)/(6*7/2)</f>
        <v>24880.952380952382</v>
      </c>
      <c r="H271" s="54">
        <f>(115000-20000)*5*(6/12)/(6*7/2)+(115000-20000)*4*(3/12)/(6*7/2)</f>
        <v>15833.333333333332</v>
      </c>
      <c r="I271" s="54">
        <f>H271</f>
        <v>15833.333333333332</v>
      </c>
    </row>
    <row r="273" spans="1:9" x14ac:dyDescent="0.2">
      <c r="A273" s="1" t="s">
        <v>302</v>
      </c>
      <c r="I273" s="54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5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56">
        <v>45107</v>
      </c>
      <c r="D292" s="56">
        <v>44834</v>
      </c>
      <c r="E292" s="56">
        <v>44742</v>
      </c>
      <c r="F292" s="57">
        <v>44561</v>
      </c>
      <c r="G292" s="56">
        <v>44377</v>
      </c>
      <c r="H292" s="57">
        <v>44196</v>
      </c>
      <c r="I292" s="56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58" t="s">
        <v>368</v>
      </c>
      <c r="B313" s="59"/>
      <c r="C313" s="59"/>
      <c r="D313" s="59"/>
      <c r="E313" s="59"/>
      <c r="F313" s="59"/>
      <c r="G313" s="59"/>
      <c r="H313" s="58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58" t="s">
        <v>383</v>
      </c>
      <c r="B328" s="59"/>
      <c r="C328" s="59"/>
      <c r="D328" s="59"/>
      <c r="E328" s="59"/>
      <c r="F328" s="59"/>
      <c r="G328" s="59"/>
      <c r="H328" s="59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58" t="s">
        <v>398</v>
      </c>
      <c r="B348" s="58"/>
      <c r="C348" s="58"/>
      <c r="D348" s="58"/>
      <c r="E348" s="58"/>
      <c r="F348" s="58"/>
      <c r="G348" s="58"/>
      <c r="H348" s="58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58" t="s">
        <v>383</v>
      </c>
      <c r="B355" s="58"/>
      <c r="C355" s="58"/>
      <c r="D355" s="58"/>
      <c r="E355" s="58"/>
      <c r="F355" s="58"/>
      <c r="G355" s="58"/>
      <c r="H355" s="58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0" t="s">
        <v>409</v>
      </c>
      <c r="B363" s="60"/>
      <c r="C363" s="60"/>
      <c r="D363" s="60"/>
      <c r="E363" s="60"/>
      <c r="F363" s="60"/>
      <c r="G363" s="60"/>
      <c r="H363" s="60"/>
    </row>
    <row r="364" spans="1:8" x14ac:dyDescent="0.2">
      <c r="A364" s="60" t="s">
        <v>410</v>
      </c>
      <c r="B364" s="60"/>
      <c r="C364" s="60"/>
      <c r="D364" s="60"/>
      <c r="E364" s="60"/>
      <c r="F364" s="60"/>
      <c r="G364" s="60"/>
      <c r="H364" s="60"/>
    </row>
    <row r="365" spans="1:8" x14ac:dyDescent="0.2">
      <c r="A365" s="60" t="s">
        <v>411</v>
      </c>
      <c r="B365" s="60"/>
      <c r="C365" s="60"/>
      <c r="D365" s="60"/>
      <c r="E365" s="60"/>
      <c r="F365" s="60"/>
      <c r="G365" s="60"/>
      <c r="H365" s="60"/>
    </row>
    <row r="366" spans="1:8" x14ac:dyDescent="0.2">
      <c r="A366" s="60"/>
      <c r="B366" s="60"/>
      <c r="C366" s="60"/>
      <c r="D366" s="60"/>
      <c r="E366" s="60"/>
      <c r="F366" s="60"/>
      <c r="G366" s="60"/>
      <c r="H366" s="60"/>
    </row>
    <row r="367" spans="1:8" x14ac:dyDescent="0.2">
      <c r="A367" s="61" t="s">
        <v>412</v>
      </c>
      <c r="B367" s="60"/>
      <c r="C367" s="60"/>
      <c r="D367" s="60"/>
      <c r="E367" s="60"/>
      <c r="F367" s="60"/>
      <c r="G367" s="60"/>
      <c r="H367" s="60"/>
    </row>
    <row r="368" spans="1:8" x14ac:dyDescent="0.2">
      <c r="A368" s="60" t="s">
        <v>413</v>
      </c>
      <c r="B368" s="60"/>
      <c r="C368" s="60"/>
      <c r="D368" s="60"/>
      <c r="E368" s="60"/>
      <c r="F368" s="60"/>
      <c r="G368" s="60"/>
      <c r="H368" s="60"/>
    </row>
    <row r="369" spans="1:8" x14ac:dyDescent="0.2">
      <c r="A369" s="60" t="s">
        <v>414</v>
      </c>
      <c r="B369" s="60"/>
      <c r="C369" s="60"/>
      <c r="D369" s="60"/>
      <c r="E369" s="60"/>
      <c r="F369" s="60"/>
      <c r="G369" s="60"/>
      <c r="H369" s="60"/>
    </row>
    <row r="370" spans="1:8" x14ac:dyDescent="0.2">
      <c r="A370" s="60" t="s">
        <v>415</v>
      </c>
      <c r="B370" s="60"/>
      <c r="C370" s="60"/>
      <c r="D370" s="60"/>
      <c r="E370" s="60"/>
      <c r="F370" s="60"/>
      <c r="G370" s="60"/>
      <c r="H370" s="60"/>
    </row>
    <row r="371" spans="1:8" x14ac:dyDescent="0.2">
      <c r="A371" s="60" t="s">
        <v>416</v>
      </c>
      <c r="B371" s="60"/>
      <c r="C371" s="60"/>
      <c r="D371" s="60"/>
      <c r="E371" s="60"/>
      <c r="F371" s="60"/>
      <c r="G371" s="60"/>
      <c r="H371" s="60"/>
    </row>
    <row r="372" spans="1:8" x14ac:dyDescent="0.2">
      <c r="A372" s="60"/>
      <c r="B372" s="60"/>
      <c r="C372" s="60"/>
      <c r="D372" s="60"/>
      <c r="E372" s="60"/>
      <c r="F372" s="60"/>
      <c r="G372" s="60"/>
      <c r="H372" s="60"/>
    </row>
    <row r="373" spans="1:8" x14ac:dyDescent="0.2">
      <c r="A373" s="60" t="s">
        <v>417</v>
      </c>
      <c r="B373" s="60"/>
      <c r="C373" s="60"/>
      <c r="D373" s="60"/>
      <c r="E373" s="60"/>
      <c r="F373" s="60"/>
      <c r="G373" s="60"/>
      <c r="H373" s="60"/>
    </row>
    <row r="374" spans="1:8" x14ac:dyDescent="0.2">
      <c r="A374" s="60" t="s">
        <v>418</v>
      </c>
      <c r="B374" s="60"/>
      <c r="C374" s="60"/>
      <c r="D374" s="60"/>
      <c r="E374" s="60"/>
      <c r="F374" s="60"/>
      <c r="G374" s="60"/>
      <c r="H374" s="60"/>
    </row>
    <row r="375" spans="1:8" ht="17" thickBot="1" x14ac:dyDescent="0.25">
      <c r="A375" s="60"/>
      <c r="B375" s="60"/>
      <c r="C375" s="60"/>
      <c r="D375" s="60"/>
      <c r="E375" s="60"/>
      <c r="F375" s="60"/>
      <c r="G375" s="60"/>
      <c r="H375" s="60"/>
    </row>
    <row r="376" spans="1:8" s="2" customFormat="1" x14ac:dyDescent="0.2">
      <c r="A376" s="62" t="s">
        <v>419</v>
      </c>
      <c r="B376" s="63"/>
      <c r="C376" s="63"/>
      <c r="D376" s="63"/>
      <c r="E376" s="63"/>
      <c r="F376" s="63"/>
      <c r="G376" s="63"/>
      <c r="H376" s="64"/>
    </row>
    <row r="377" spans="1:8" s="2" customFormat="1" ht="17" thickBot="1" x14ac:dyDescent="0.25">
      <c r="A377" s="65" t="s">
        <v>420</v>
      </c>
      <c r="B377" s="66"/>
      <c r="C377" s="66"/>
      <c r="D377" s="66"/>
      <c r="E377" s="66"/>
      <c r="F377" s="66"/>
      <c r="G377" s="66"/>
      <c r="H377" s="67"/>
    </row>
    <row r="381" spans="1:8" x14ac:dyDescent="0.2">
      <c r="A381" s="58" t="s">
        <v>398</v>
      </c>
      <c r="B381" s="58"/>
      <c r="C381" s="58"/>
      <c r="D381" s="58"/>
      <c r="E381" s="58"/>
      <c r="F381" s="58"/>
      <c r="G381" s="58"/>
      <c r="H381" s="58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58" t="s">
        <v>383</v>
      </c>
      <c r="B392" s="58"/>
      <c r="C392" s="58"/>
      <c r="D392" s="58"/>
      <c r="E392" s="58"/>
      <c r="F392" s="58"/>
      <c r="G392" s="58"/>
      <c r="H392" s="58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68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58" t="s">
        <v>455</v>
      </c>
      <c r="B426" s="59"/>
      <c r="C426" s="59"/>
      <c r="D426" s="59"/>
      <c r="E426" s="59"/>
      <c r="F426" s="59"/>
      <c r="G426" s="59"/>
      <c r="H426" s="58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58" t="s">
        <v>383</v>
      </c>
      <c r="B447" s="58"/>
      <c r="C447" s="58"/>
      <c r="D447" s="58"/>
      <c r="E447" s="58"/>
      <c r="F447" s="58"/>
      <c r="G447" s="58"/>
      <c r="H447" s="58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FFD9-3AE9-2244-9393-781FB9F359E8}">
  <dimension ref="A1:I250"/>
  <sheetViews>
    <sheetView rightToLeft="1" topLeftCell="A245" zoomScale="206" workbookViewId="0">
      <selection activeCell="B253" sqref="B25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70" t="s">
        <v>486</v>
      </c>
      <c r="B1" s="70"/>
      <c r="C1" s="70"/>
      <c r="D1" s="70"/>
      <c r="E1" s="70"/>
      <c r="F1" s="70"/>
      <c r="G1" s="70"/>
      <c r="H1" s="70"/>
    </row>
    <row r="2" spans="1:8" x14ac:dyDescent="0.2">
      <c r="A2" s="70"/>
      <c r="B2" s="70"/>
      <c r="C2" s="70"/>
      <c r="D2" s="70"/>
      <c r="E2" s="70"/>
      <c r="F2" s="70"/>
      <c r="G2" s="70"/>
      <c r="H2" s="71">
        <v>45743</v>
      </c>
    </row>
    <row r="15" spans="1:8" x14ac:dyDescent="0.2">
      <c r="A15" s="1" t="s">
        <v>487</v>
      </c>
    </row>
    <row r="16" spans="1:8" x14ac:dyDescent="0.2">
      <c r="A16" s="1" t="s">
        <v>488</v>
      </c>
    </row>
    <row r="17" spans="1:8" x14ac:dyDescent="0.2">
      <c r="A17" s="1" t="s">
        <v>489</v>
      </c>
    </row>
    <row r="18" spans="1:8" x14ac:dyDescent="0.2">
      <c r="A18" s="1" t="s">
        <v>490</v>
      </c>
    </row>
    <row r="19" spans="1:8" x14ac:dyDescent="0.2">
      <c r="A19" s="1" t="s">
        <v>491</v>
      </c>
    </row>
    <row r="21" spans="1:8" x14ac:dyDescent="0.2">
      <c r="A21" s="72" t="s">
        <v>492</v>
      </c>
      <c r="B21" s="72"/>
      <c r="C21" s="72"/>
      <c r="D21" s="72"/>
      <c r="E21" s="72"/>
      <c r="F21" s="72"/>
      <c r="G21" s="72"/>
      <c r="H21" s="72"/>
    </row>
    <row r="22" spans="1:8" x14ac:dyDescent="0.2">
      <c r="A22" s="1" t="s">
        <v>493</v>
      </c>
    </row>
    <row r="23" spans="1:8" x14ac:dyDescent="0.2">
      <c r="A23" s="1" t="s">
        <v>494</v>
      </c>
    </row>
    <row r="24" spans="1:8" x14ac:dyDescent="0.2">
      <c r="A24" s="1" t="s">
        <v>495</v>
      </c>
    </row>
    <row r="25" spans="1:8" x14ac:dyDescent="0.2">
      <c r="A25" s="1" t="s">
        <v>496</v>
      </c>
    </row>
    <row r="27" spans="1:8" x14ac:dyDescent="0.2">
      <c r="B27" s="1" t="s">
        <v>497</v>
      </c>
      <c r="D27" s="1" t="s">
        <v>501</v>
      </c>
      <c r="E27" s="1" t="s">
        <v>502</v>
      </c>
    </row>
    <row r="28" spans="1:8" x14ac:dyDescent="0.2">
      <c r="B28" s="1" t="s">
        <v>498</v>
      </c>
      <c r="D28" s="23">
        <v>250000</v>
      </c>
      <c r="E28" s="1">
        <v>10</v>
      </c>
      <c r="F28" s="1" t="s">
        <v>505</v>
      </c>
    </row>
    <row r="29" spans="1:8" x14ac:dyDescent="0.2">
      <c r="B29" s="1" t="s">
        <v>499</v>
      </c>
      <c r="D29" s="23">
        <v>200000</v>
      </c>
      <c r="E29" s="1">
        <v>5</v>
      </c>
      <c r="F29" s="1" t="s">
        <v>505</v>
      </c>
    </row>
    <row r="30" spans="1:8" x14ac:dyDescent="0.2">
      <c r="B30" s="1" t="s">
        <v>500</v>
      </c>
      <c r="D30" s="23">
        <v>1550000</v>
      </c>
      <c r="E30" s="1">
        <v>20</v>
      </c>
      <c r="F30" s="1" t="s">
        <v>505</v>
      </c>
    </row>
    <row r="32" spans="1:8" x14ac:dyDescent="0.2">
      <c r="A32" s="1" t="s">
        <v>503</v>
      </c>
    </row>
    <row r="34" spans="1:4" x14ac:dyDescent="0.2">
      <c r="A34" s="1" t="s">
        <v>504</v>
      </c>
    </row>
    <row r="36" spans="1:4" x14ac:dyDescent="0.2">
      <c r="A36" s="1" t="s">
        <v>506</v>
      </c>
    </row>
    <row r="38" spans="1:4" x14ac:dyDescent="0.2">
      <c r="C38" s="49">
        <v>44196</v>
      </c>
      <c r="D38" s="49">
        <v>44561</v>
      </c>
    </row>
    <row r="39" spans="1:4" x14ac:dyDescent="0.2">
      <c r="B39" s="1" t="s">
        <v>95</v>
      </c>
      <c r="C39" s="73">
        <v>2000000</v>
      </c>
      <c r="D39" s="73">
        <v>2000000</v>
      </c>
    </row>
    <row r="40" spans="1:4" x14ac:dyDescent="0.2">
      <c r="B40" s="1" t="s">
        <v>96</v>
      </c>
      <c r="C40" s="73">
        <f>C43</f>
        <v>142500</v>
      </c>
      <c r="D40" s="73">
        <f>C40+D43</f>
        <v>285000</v>
      </c>
    </row>
    <row r="41" spans="1:4" x14ac:dyDescent="0.2">
      <c r="B41" s="1" t="s">
        <v>99</v>
      </c>
      <c r="C41" s="74">
        <f>C39-C40</f>
        <v>1857500</v>
      </c>
      <c r="D41" s="74">
        <f>D39-D40</f>
        <v>1715000</v>
      </c>
    </row>
    <row r="42" spans="1:4" x14ac:dyDescent="0.2">
      <c r="C42" s="73"/>
      <c r="D42" s="73"/>
    </row>
    <row r="43" spans="1:4" x14ac:dyDescent="0.2">
      <c r="B43" s="1" t="s">
        <v>100</v>
      </c>
      <c r="C43" s="73">
        <f>D28/E28+D29/E29+D30/E30</f>
        <v>142500</v>
      </c>
      <c r="D43" s="73">
        <f>C43</f>
        <v>142500</v>
      </c>
    </row>
    <row r="54" spans="1:8" x14ac:dyDescent="0.2">
      <c r="A54" s="1" t="s">
        <v>507</v>
      </c>
    </row>
    <row r="55" spans="1:8" x14ac:dyDescent="0.2">
      <c r="A55" s="1" t="s">
        <v>508</v>
      </c>
    </row>
    <row r="56" spans="1:8" x14ac:dyDescent="0.2">
      <c r="A56" s="1" t="s">
        <v>509</v>
      </c>
    </row>
    <row r="57" spans="1:8" x14ac:dyDescent="0.2">
      <c r="A57" s="1" t="s">
        <v>510</v>
      </c>
    </row>
    <row r="58" spans="1:8" x14ac:dyDescent="0.2">
      <c r="A58" s="1" t="s">
        <v>511</v>
      </c>
    </row>
    <row r="60" spans="1:8" x14ac:dyDescent="0.2">
      <c r="A60" s="75" t="s">
        <v>512</v>
      </c>
      <c r="B60" s="75"/>
      <c r="C60" s="75"/>
      <c r="D60" s="75"/>
      <c r="E60" s="75"/>
      <c r="F60" s="75"/>
      <c r="G60" s="75"/>
      <c r="H60" s="75"/>
    </row>
    <row r="62" spans="1:8" x14ac:dyDescent="0.2">
      <c r="A62" s="1" t="s">
        <v>513</v>
      </c>
    </row>
    <row r="63" spans="1:8" x14ac:dyDescent="0.2">
      <c r="A63" s="1" t="s">
        <v>514</v>
      </c>
    </row>
    <row r="64" spans="1:8" x14ac:dyDescent="0.2">
      <c r="A64" s="1" t="s">
        <v>515</v>
      </c>
    </row>
    <row r="65" spans="1:8" x14ac:dyDescent="0.2">
      <c r="A65" s="1" t="s">
        <v>516</v>
      </c>
    </row>
    <row r="66" spans="1:8" x14ac:dyDescent="0.2">
      <c r="A66" s="1" t="s">
        <v>520</v>
      </c>
    </row>
    <row r="67" spans="1:8" x14ac:dyDescent="0.2">
      <c r="A67" s="1" t="s">
        <v>517</v>
      </c>
    </row>
    <row r="69" spans="1:8" x14ac:dyDescent="0.2">
      <c r="A69" s="1" t="s">
        <v>518</v>
      </c>
    </row>
    <row r="70" spans="1:8" x14ac:dyDescent="0.2">
      <c r="A70" s="1" t="s">
        <v>519</v>
      </c>
    </row>
    <row r="71" spans="1:8" x14ac:dyDescent="0.2">
      <c r="E71" s="56">
        <v>44927</v>
      </c>
      <c r="F71" s="56">
        <v>44927</v>
      </c>
    </row>
    <row r="72" spans="1:8" x14ac:dyDescent="0.2">
      <c r="E72" s="19" t="s">
        <v>296</v>
      </c>
      <c r="F72" s="19" t="s">
        <v>296</v>
      </c>
    </row>
    <row r="73" spans="1:8" x14ac:dyDescent="0.2">
      <c r="E73" s="19" t="s">
        <v>533</v>
      </c>
      <c r="F73" s="19" t="s">
        <v>535</v>
      </c>
    </row>
    <row r="74" spans="1:8" x14ac:dyDescent="0.2">
      <c r="B74" s="36">
        <v>44196</v>
      </c>
      <c r="C74" s="36">
        <v>44561</v>
      </c>
      <c r="D74" s="36">
        <v>44926</v>
      </c>
      <c r="E74" s="40" t="s">
        <v>497</v>
      </c>
      <c r="F74" s="40" t="s">
        <v>536</v>
      </c>
      <c r="G74" s="36">
        <v>45291</v>
      </c>
      <c r="H74" s="36">
        <v>45657</v>
      </c>
    </row>
    <row r="75" spans="1:8" x14ac:dyDescent="0.2">
      <c r="A75" s="1" t="s">
        <v>95</v>
      </c>
      <c r="B75" s="38">
        <v>500000</v>
      </c>
      <c r="C75" s="38">
        <v>500000</v>
      </c>
      <c r="D75" s="38">
        <v>500000</v>
      </c>
      <c r="E75" s="38">
        <f>D75-150000</f>
        <v>350000</v>
      </c>
      <c r="F75" s="38">
        <f>E75+150000</f>
        <v>500000</v>
      </c>
      <c r="G75" s="38">
        <f>F75</f>
        <v>500000</v>
      </c>
      <c r="H75" s="38">
        <f>G75</f>
        <v>500000</v>
      </c>
    </row>
    <row r="76" spans="1:8" x14ac:dyDescent="0.2">
      <c r="A76" s="1" t="s">
        <v>96</v>
      </c>
      <c r="B76" s="38">
        <f>B79</f>
        <v>100000</v>
      </c>
      <c r="C76" s="38">
        <f>B76+C79</f>
        <v>200000</v>
      </c>
      <c r="D76" s="38">
        <f>C76+D79</f>
        <v>300000</v>
      </c>
      <c r="E76" s="38">
        <f>D76-90000</f>
        <v>210000</v>
      </c>
      <c r="F76" s="38">
        <f>E76</f>
        <v>210000</v>
      </c>
      <c r="G76" s="38">
        <f>F76+G79</f>
        <v>355000</v>
      </c>
      <c r="H76" s="38">
        <f>G76+H79</f>
        <v>500000</v>
      </c>
    </row>
    <row r="77" spans="1:8" x14ac:dyDescent="0.2">
      <c r="A77" s="1" t="s">
        <v>99</v>
      </c>
      <c r="B77" s="39">
        <f t="shared" ref="B77:H77" si="0">B75-B76</f>
        <v>400000</v>
      </c>
      <c r="C77" s="39">
        <f t="shared" si="0"/>
        <v>300000</v>
      </c>
      <c r="D77" s="39">
        <f t="shared" si="0"/>
        <v>200000</v>
      </c>
      <c r="E77" s="39">
        <f t="shared" si="0"/>
        <v>140000</v>
      </c>
      <c r="F77" s="39">
        <f t="shared" si="0"/>
        <v>290000</v>
      </c>
      <c r="G77" s="39">
        <f t="shared" si="0"/>
        <v>145000</v>
      </c>
      <c r="H77" s="39">
        <f t="shared" si="0"/>
        <v>0</v>
      </c>
    </row>
    <row r="78" spans="1:8" x14ac:dyDescent="0.2">
      <c r="B78" s="38"/>
      <c r="C78" s="38"/>
      <c r="D78" s="38"/>
      <c r="E78" s="19"/>
      <c r="F78" s="19"/>
      <c r="G78" s="19"/>
      <c r="H78" s="19"/>
    </row>
    <row r="79" spans="1:8" x14ac:dyDescent="0.2">
      <c r="A79" s="1" t="s">
        <v>100</v>
      </c>
      <c r="B79" s="38">
        <f>B75/5</f>
        <v>100000</v>
      </c>
      <c r="C79" s="38">
        <f>C75/5</f>
        <v>100000</v>
      </c>
      <c r="D79" s="38">
        <f>D75/5</f>
        <v>100000</v>
      </c>
      <c r="E79" s="19"/>
      <c r="F79" s="19"/>
      <c r="G79" s="19">
        <f>F77/2</f>
        <v>145000</v>
      </c>
      <c r="H79" s="19">
        <f>G79</f>
        <v>145000</v>
      </c>
    </row>
    <row r="80" spans="1:8" x14ac:dyDescent="0.2">
      <c r="B80" s="38"/>
      <c r="C80" s="38"/>
      <c r="D80" s="38"/>
      <c r="E80" s="19"/>
      <c r="F80" s="19"/>
      <c r="G80" s="19"/>
      <c r="H80" s="19"/>
    </row>
    <row r="81" spans="1:8" x14ac:dyDescent="0.2">
      <c r="A81" s="1" t="s">
        <v>534</v>
      </c>
      <c r="B81" s="38"/>
      <c r="C81" s="38"/>
      <c r="D81" s="38"/>
      <c r="E81" s="117">
        <f>F95</f>
        <v>60000</v>
      </c>
      <c r="F81" s="117"/>
      <c r="G81" s="38">
        <f>E81</f>
        <v>60000</v>
      </c>
      <c r="H81" s="19"/>
    </row>
    <row r="83" spans="1:8" x14ac:dyDescent="0.2">
      <c r="A83" s="1" t="s">
        <v>521</v>
      </c>
    </row>
    <row r="84" spans="1:8" x14ac:dyDescent="0.2">
      <c r="B84" s="1" t="s">
        <v>522</v>
      </c>
    </row>
    <row r="85" spans="1:8" x14ac:dyDescent="0.2">
      <c r="B85" s="1" t="s">
        <v>523</v>
      </c>
    </row>
    <row r="87" spans="1:8" x14ac:dyDescent="0.2">
      <c r="A87" s="1" t="s">
        <v>524</v>
      </c>
    </row>
    <row r="88" spans="1:8" x14ac:dyDescent="0.2">
      <c r="B88" s="1" t="s">
        <v>525</v>
      </c>
    </row>
    <row r="89" spans="1:8" x14ac:dyDescent="0.2">
      <c r="B89" s="1" t="s">
        <v>526</v>
      </c>
    </row>
    <row r="90" spans="1:8" x14ac:dyDescent="0.2">
      <c r="B90" s="1" t="s">
        <v>527</v>
      </c>
    </row>
    <row r="91" spans="1:8" x14ac:dyDescent="0.2">
      <c r="B91" s="1" t="s">
        <v>528</v>
      </c>
    </row>
    <row r="93" spans="1:8" x14ac:dyDescent="0.2">
      <c r="C93" s="1" t="s">
        <v>529</v>
      </c>
      <c r="F93" s="23">
        <v>150000</v>
      </c>
    </row>
    <row r="94" spans="1:8" x14ac:dyDescent="0.2">
      <c r="C94" s="1" t="s">
        <v>530</v>
      </c>
      <c r="F94" s="23">
        <v>90000</v>
      </c>
      <c r="H94" s="1" t="s">
        <v>531</v>
      </c>
    </row>
    <row r="95" spans="1:8" x14ac:dyDescent="0.2">
      <c r="C95" s="1" t="s">
        <v>532</v>
      </c>
      <c r="F95" s="23">
        <f>F93-F94</f>
        <v>60000</v>
      </c>
    </row>
    <row r="97" spans="1:8" x14ac:dyDescent="0.2">
      <c r="A97" s="75" t="s">
        <v>537</v>
      </c>
      <c r="B97" s="75"/>
      <c r="C97" s="75"/>
      <c r="D97" s="75"/>
      <c r="E97" s="75"/>
      <c r="F97" s="75"/>
      <c r="G97" s="75"/>
      <c r="H97" s="75"/>
    </row>
    <row r="99" spans="1:8" x14ac:dyDescent="0.2">
      <c r="A99" s="1" t="s">
        <v>538</v>
      </c>
    </row>
    <row r="100" spans="1:8" x14ac:dyDescent="0.2">
      <c r="A100" s="1" t="s">
        <v>539</v>
      </c>
    </row>
    <row r="101" spans="1:8" x14ac:dyDescent="0.2">
      <c r="A101" s="1" t="s">
        <v>540</v>
      </c>
    </row>
    <row r="102" spans="1:8" x14ac:dyDescent="0.2">
      <c r="A102" s="1" t="s">
        <v>541</v>
      </c>
    </row>
    <row r="103" spans="1:8" x14ac:dyDescent="0.2">
      <c r="A103" s="1" t="s">
        <v>542</v>
      </c>
    </row>
    <row r="104" spans="1:8" x14ac:dyDescent="0.2">
      <c r="A104" s="1" t="s">
        <v>543</v>
      </c>
    </row>
    <row r="105" spans="1:8" x14ac:dyDescent="0.2">
      <c r="A105" s="1" t="s">
        <v>544</v>
      </c>
    </row>
    <row r="106" spans="1:8" x14ac:dyDescent="0.2">
      <c r="A106" s="1" t="s">
        <v>545</v>
      </c>
    </row>
    <row r="108" spans="1:8" x14ac:dyDescent="0.2">
      <c r="A108" s="1" t="s">
        <v>546</v>
      </c>
    </row>
    <row r="110" spans="1:8" x14ac:dyDescent="0.2">
      <c r="C110" s="19"/>
      <c r="D110" s="19" t="s">
        <v>549</v>
      </c>
      <c r="E110" s="19" t="s">
        <v>550</v>
      </c>
      <c r="F110" s="19"/>
    </row>
    <row r="111" spans="1:8" x14ac:dyDescent="0.2">
      <c r="C111" s="36">
        <v>44196</v>
      </c>
      <c r="D111" s="36">
        <v>44378</v>
      </c>
      <c r="E111" s="36">
        <v>44378</v>
      </c>
      <c r="F111" s="36">
        <v>44561</v>
      </c>
      <c r="G111" s="36">
        <v>44926</v>
      </c>
    </row>
    <row r="112" spans="1:8" x14ac:dyDescent="0.2">
      <c r="B112" s="1" t="s">
        <v>95</v>
      </c>
      <c r="C112" s="21">
        <v>7200</v>
      </c>
      <c r="D112" s="21">
        <f>C112</f>
        <v>7200</v>
      </c>
      <c r="E112" s="21">
        <f>D112-G127+1000</f>
        <v>7200</v>
      </c>
      <c r="F112" s="21">
        <f>E112</f>
        <v>7200</v>
      </c>
      <c r="G112" s="21">
        <f>F112</f>
        <v>7200</v>
      </c>
    </row>
    <row r="113" spans="2:9" x14ac:dyDescent="0.2">
      <c r="B113" s="1" t="s">
        <v>96</v>
      </c>
      <c r="C113" s="21">
        <f>-C118</f>
        <v>-2400</v>
      </c>
      <c r="D113" s="21">
        <f>C113-D118</f>
        <v>-3600</v>
      </c>
      <c r="E113" s="21">
        <f>D113+G128</f>
        <v>-3100</v>
      </c>
      <c r="F113" s="21">
        <f>E113-E114/1.5*0.5</f>
        <v>-4466.666666666667</v>
      </c>
      <c r="G113" s="21">
        <f>F113-G118</f>
        <v>-7200</v>
      </c>
    </row>
    <row r="114" spans="2:9" x14ac:dyDescent="0.2">
      <c r="B114" s="1" t="s">
        <v>99</v>
      </c>
      <c r="C114" s="76">
        <f>C112+C113</f>
        <v>4800</v>
      </c>
      <c r="D114" s="76">
        <f>D112+D113</f>
        <v>3600</v>
      </c>
      <c r="E114" s="76">
        <f>E112+E113</f>
        <v>4100</v>
      </c>
      <c r="F114" s="76">
        <f>F112+F113</f>
        <v>2733.333333333333</v>
      </c>
      <c r="G114" s="76">
        <f>G112+G113</f>
        <v>0</v>
      </c>
    </row>
    <row r="115" spans="2:9" x14ac:dyDescent="0.2">
      <c r="C115" s="21"/>
      <c r="D115" s="21"/>
      <c r="E115" s="21"/>
      <c r="F115" s="21"/>
      <c r="G115" s="21"/>
    </row>
    <row r="116" spans="2:9" x14ac:dyDescent="0.2">
      <c r="B116" s="1" t="s">
        <v>547</v>
      </c>
      <c r="C116" s="21">
        <v>8000</v>
      </c>
      <c r="D116" s="21">
        <v>0</v>
      </c>
      <c r="E116" s="21">
        <v>0</v>
      </c>
      <c r="F116" s="21">
        <v>0</v>
      </c>
      <c r="G116" s="21"/>
    </row>
    <row r="117" spans="2:9" x14ac:dyDescent="0.2">
      <c r="C117" s="21"/>
      <c r="D117" s="21"/>
      <c r="E117" s="21"/>
      <c r="F117" s="21"/>
      <c r="G117" s="21"/>
    </row>
    <row r="118" spans="2:9" x14ac:dyDescent="0.2">
      <c r="B118" s="1" t="s">
        <v>100</v>
      </c>
      <c r="C118" s="21">
        <f>C112/3</f>
        <v>2400</v>
      </c>
      <c r="D118" s="118">
        <f>C118/2</f>
        <v>1200</v>
      </c>
      <c r="E118" s="118"/>
      <c r="F118" s="21">
        <f>D118+E114/1.5*(6/12)</f>
        <v>2566.666666666667</v>
      </c>
      <c r="G118" s="21">
        <f>E114/1.5</f>
        <v>2733.3333333333335</v>
      </c>
    </row>
    <row r="119" spans="2:9" x14ac:dyDescent="0.2">
      <c r="B119" s="1" t="s">
        <v>548</v>
      </c>
      <c r="C119" s="21">
        <v>800</v>
      </c>
      <c r="D119" s="21"/>
      <c r="E119" s="21"/>
      <c r="F119" s="21"/>
      <c r="G119" s="21"/>
    </row>
    <row r="120" spans="2:9" x14ac:dyDescent="0.2">
      <c r="C120" s="21"/>
      <c r="D120" s="21"/>
      <c r="E120" s="21"/>
      <c r="F120" s="21"/>
      <c r="G120" s="21"/>
    </row>
    <row r="121" spans="2:9" x14ac:dyDescent="0.2">
      <c r="B121" s="1" t="s">
        <v>551</v>
      </c>
      <c r="C121" s="21"/>
      <c r="D121" s="21"/>
      <c r="E121" s="21">
        <f>G129</f>
        <v>500</v>
      </c>
      <c r="F121" s="21">
        <f>E121</f>
        <v>500</v>
      </c>
      <c r="G121" s="21"/>
    </row>
    <row r="123" spans="2:9" x14ac:dyDescent="0.2">
      <c r="B123" s="1" t="s">
        <v>552</v>
      </c>
    </row>
    <row r="124" spans="2:9" x14ac:dyDescent="0.2">
      <c r="B124" s="1" t="s">
        <v>553</v>
      </c>
    </row>
    <row r="125" spans="2:9" x14ac:dyDescent="0.2">
      <c r="B125" s="1" t="s">
        <v>554</v>
      </c>
    </row>
    <row r="127" spans="2:9" x14ac:dyDescent="0.2">
      <c r="B127" s="1" t="s">
        <v>555</v>
      </c>
      <c r="G127" s="23">
        <v>1000</v>
      </c>
    </row>
    <row r="128" spans="2:9" x14ac:dyDescent="0.2">
      <c r="B128" s="1" t="s">
        <v>556</v>
      </c>
      <c r="G128" s="1">
        <v>500</v>
      </c>
      <c r="I128" s="1" t="s">
        <v>557</v>
      </c>
    </row>
    <row r="129" spans="2:9" x14ac:dyDescent="0.2">
      <c r="B129" s="1" t="s">
        <v>558</v>
      </c>
      <c r="G129" s="23">
        <f>G127-G128</f>
        <v>500</v>
      </c>
      <c r="I129" s="1" t="s">
        <v>559</v>
      </c>
    </row>
    <row r="131" spans="2:9" x14ac:dyDescent="0.2">
      <c r="B131" s="1" t="s">
        <v>560</v>
      </c>
    </row>
    <row r="132" spans="2:9" x14ac:dyDescent="0.2">
      <c r="B132" s="1" t="s">
        <v>561</v>
      </c>
    </row>
    <row r="134" spans="2:9" x14ac:dyDescent="0.2">
      <c r="F134" s="40" t="s">
        <v>501</v>
      </c>
    </row>
    <row r="135" spans="2:9" x14ac:dyDescent="0.2">
      <c r="B135" s="35">
        <v>43831</v>
      </c>
      <c r="C135" s="1" t="s">
        <v>562</v>
      </c>
      <c r="F135" s="21">
        <v>0</v>
      </c>
    </row>
    <row r="136" spans="2:9" x14ac:dyDescent="0.2">
      <c r="B136" s="35">
        <v>44196</v>
      </c>
      <c r="C136" s="1" t="s">
        <v>100</v>
      </c>
      <c r="F136" s="21">
        <v>2400</v>
      </c>
      <c r="H136" s="1" t="s">
        <v>568</v>
      </c>
    </row>
    <row r="137" spans="2:9" x14ac:dyDescent="0.2">
      <c r="B137" s="35">
        <v>44196</v>
      </c>
      <c r="C137" s="1" t="s">
        <v>563</v>
      </c>
      <c r="F137" s="78">
        <f>F135+F136</f>
        <v>2400</v>
      </c>
    </row>
    <row r="138" spans="2:9" x14ac:dyDescent="0.2">
      <c r="B138" s="35">
        <v>44378</v>
      </c>
      <c r="C138" s="1" t="s">
        <v>564</v>
      </c>
      <c r="F138" s="21">
        <v>1200</v>
      </c>
      <c r="H138" s="1" t="s">
        <v>569</v>
      </c>
    </row>
    <row r="139" spans="2:9" x14ac:dyDescent="0.2">
      <c r="B139" s="35">
        <v>44378</v>
      </c>
      <c r="C139" s="1" t="s">
        <v>566</v>
      </c>
      <c r="F139" s="21">
        <v>-500</v>
      </c>
      <c r="H139" s="1" t="s">
        <v>557</v>
      </c>
    </row>
    <row r="140" spans="2:9" x14ac:dyDescent="0.2">
      <c r="B140" s="35">
        <v>44561</v>
      </c>
      <c r="C140" s="1" t="s">
        <v>565</v>
      </c>
      <c r="F140" s="21">
        <f>4100/1.5*(6/12)</f>
        <v>1366.6666666666667</v>
      </c>
      <c r="H140" s="1" t="s">
        <v>570</v>
      </c>
    </row>
    <row r="141" spans="2:9" x14ac:dyDescent="0.2">
      <c r="B141" s="35">
        <v>44561</v>
      </c>
      <c r="C141" s="1" t="s">
        <v>563</v>
      </c>
      <c r="F141" s="78">
        <f>SUM(F137:F140)</f>
        <v>4466.666666666667</v>
      </c>
    </row>
    <row r="142" spans="2:9" x14ac:dyDescent="0.2">
      <c r="B142" s="35">
        <v>44926</v>
      </c>
      <c r="C142" s="1" t="s">
        <v>567</v>
      </c>
      <c r="F142" s="21">
        <f>4100/1.5</f>
        <v>2733.3333333333335</v>
      </c>
      <c r="H142" s="1" t="s">
        <v>571</v>
      </c>
    </row>
    <row r="143" spans="2:9" x14ac:dyDescent="0.2">
      <c r="B143" s="35">
        <v>44926</v>
      </c>
      <c r="C143" s="1" t="s">
        <v>563</v>
      </c>
      <c r="F143" s="78">
        <f>F141+F142</f>
        <v>7200</v>
      </c>
    </row>
    <row r="144" spans="2:9" ht="17" thickBot="1" x14ac:dyDescent="0.25"/>
    <row r="145" spans="1:8" ht="17" thickBot="1" x14ac:dyDescent="0.25">
      <c r="A145" s="119" t="s">
        <v>603</v>
      </c>
      <c r="B145" s="120"/>
      <c r="C145" s="120"/>
      <c r="D145" s="120"/>
      <c r="E145" s="120"/>
      <c r="F145" s="120"/>
      <c r="G145" s="120"/>
      <c r="H145" s="121"/>
    </row>
    <row r="146" spans="1:8" ht="17" thickBot="1" x14ac:dyDescent="0.25"/>
    <row r="147" spans="1:8" x14ac:dyDescent="0.2">
      <c r="B147" s="13" t="s">
        <v>572</v>
      </c>
      <c r="C147" s="5"/>
      <c r="D147" s="5"/>
      <c r="E147" s="5"/>
      <c r="F147" s="5"/>
      <c r="G147" s="6"/>
    </row>
    <row r="148" spans="1:8" x14ac:dyDescent="0.2">
      <c r="B148" s="7" t="s">
        <v>573</v>
      </c>
      <c r="G148" s="9"/>
    </row>
    <row r="149" spans="1:8" ht="17" thickBot="1" x14ac:dyDescent="0.25">
      <c r="B149" s="10" t="s">
        <v>574</v>
      </c>
      <c r="C149" s="11"/>
      <c r="D149" s="11"/>
      <c r="E149" s="11"/>
      <c r="F149" s="11"/>
      <c r="G149" s="12"/>
    </row>
    <row r="150" spans="1:8" x14ac:dyDescent="0.2">
      <c r="B150" s="79" t="s">
        <v>575</v>
      </c>
      <c r="F150" s="80" t="s">
        <v>575</v>
      </c>
    </row>
    <row r="151" spans="1:8" x14ac:dyDescent="0.2">
      <c r="B151" s="81" t="s">
        <v>576</v>
      </c>
      <c r="F151" s="82" t="s">
        <v>577</v>
      </c>
    </row>
    <row r="152" spans="1:8" x14ac:dyDescent="0.2">
      <c r="B152" s="81" t="s">
        <v>578</v>
      </c>
      <c r="F152" s="82" t="s">
        <v>578</v>
      </c>
    </row>
    <row r="153" spans="1:8" x14ac:dyDescent="0.2">
      <c r="B153" s="81" t="s">
        <v>579</v>
      </c>
      <c r="F153" s="82" t="s">
        <v>580</v>
      </c>
    </row>
    <row r="154" spans="1:8" ht="17" thickBot="1" x14ac:dyDescent="0.25">
      <c r="B154" s="83" t="s">
        <v>581</v>
      </c>
      <c r="F154" s="84" t="s">
        <v>581</v>
      </c>
    </row>
    <row r="155" spans="1:8" ht="17" thickBot="1" x14ac:dyDescent="0.25">
      <c r="B155" s="79" t="s">
        <v>582</v>
      </c>
      <c r="E155" s="80" t="s">
        <v>583</v>
      </c>
    </row>
    <row r="156" spans="1:8" ht="17" thickBot="1" x14ac:dyDescent="0.25">
      <c r="B156" s="81" t="s">
        <v>584</v>
      </c>
      <c r="C156" s="85" t="s">
        <v>585</v>
      </c>
      <c r="E156" s="82" t="s">
        <v>586</v>
      </c>
    </row>
    <row r="157" spans="1:8" x14ac:dyDescent="0.2">
      <c r="B157" s="81" t="s">
        <v>587</v>
      </c>
      <c r="C157" s="86" t="s">
        <v>588</v>
      </c>
      <c r="E157" s="82" t="s">
        <v>589</v>
      </c>
      <c r="F157" s="87" t="s">
        <v>590</v>
      </c>
      <c r="G157" s="88"/>
    </row>
    <row r="158" spans="1:8" x14ac:dyDescent="0.2">
      <c r="B158" s="81" t="s">
        <v>591</v>
      </c>
      <c r="C158" s="86" t="s">
        <v>592</v>
      </c>
      <c r="E158" s="82" t="s">
        <v>593</v>
      </c>
      <c r="F158" s="89" t="s">
        <v>594</v>
      </c>
      <c r="G158" s="90"/>
    </row>
    <row r="159" spans="1:8" x14ac:dyDescent="0.2">
      <c r="B159" s="81" t="s">
        <v>595</v>
      </c>
      <c r="C159" s="86" t="s">
        <v>596</v>
      </c>
      <c r="E159" s="82" t="s">
        <v>597</v>
      </c>
      <c r="F159" s="89" t="s">
        <v>598</v>
      </c>
      <c r="G159" s="90"/>
    </row>
    <row r="160" spans="1:8" ht="17" thickBot="1" x14ac:dyDescent="0.25">
      <c r="B160" s="81" t="s">
        <v>586</v>
      </c>
      <c r="C160" s="91" t="s">
        <v>599</v>
      </c>
      <c r="E160" s="82" t="s">
        <v>600</v>
      </c>
      <c r="F160" s="92" t="s">
        <v>601</v>
      </c>
      <c r="G160" s="93"/>
    </row>
    <row r="161" spans="1:8" ht="17" thickBot="1" x14ac:dyDescent="0.25">
      <c r="B161" s="83" t="s">
        <v>602</v>
      </c>
      <c r="E161" s="84" t="s">
        <v>584</v>
      </c>
    </row>
    <row r="163" spans="1:8" x14ac:dyDescent="0.2">
      <c r="A163" s="75" t="s">
        <v>604</v>
      </c>
      <c r="B163" s="75"/>
      <c r="C163" s="75"/>
      <c r="D163" s="75"/>
      <c r="E163" s="75"/>
      <c r="F163" s="75"/>
      <c r="G163" s="75"/>
      <c r="H163" s="75"/>
    </row>
    <row r="164" spans="1:8" x14ac:dyDescent="0.2">
      <c r="A164" s="1" t="s">
        <v>605</v>
      </c>
    </row>
    <row r="165" spans="1:8" x14ac:dyDescent="0.2">
      <c r="A165" s="1" t="s">
        <v>606</v>
      </c>
    </row>
    <row r="166" spans="1:8" x14ac:dyDescent="0.2">
      <c r="A166" s="1" t="s">
        <v>612</v>
      </c>
    </row>
    <row r="167" spans="1:8" x14ac:dyDescent="0.2">
      <c r="A167" s="1" t="s">
        <v>607</v>
      </c>
    </row>
    <row r="168" spans="1:8" x14ac:dyDescent="0.2">
      <c r="A168" s="1" t="s">
        <v>608</v>
      </c>
    </row>
    <row r="169" spans="1:8" x14ac:dyDescent="0.2">
      <c r="A169" s="1" t="s">
        <v>609</v>
      </c>
    </row>
    <row r="170" spans="1:8" x14ac:dyDescent="0.2">
      <c r="A170" s="1" t="s">
        <v>610</v>
      </c>
    </row>
    <row r="172" spans="1:8" x14ac:dyDescent="0.2">
      <c r="A172" s="1" t="s">
        <v>60</v>
      </c>
    </row>
    <row r="173" spans="1:8" x14ac:dyDescent="0.2">
      <c r="A173" s="2" t="s">
        <v>611</v>
      </c>
    </row>
    <row r="175" spans="1:8" x14ac:dyDescent="0.2">
      <c r="A175" s="1" t="s">
        <v>613</v>
      </c>
    </row>
    <row r="176" spans="1:8" x14ac:dyDescent="0.2">
      <c r="A176" s="1" t="s">
        <v>614</v>
      </c>
    </row>
    <row r="177" spans="1:8" x14ac:dyDescent="0.2">
      <c r="A177" s="1" t="s">
        <v>615</v>
      </c>
    </row>
    <row r="179" spans="1:8" x14ac:dyDescent="0.2">
      <c r="A179" s="2" t="s">
        <v>616</v>
      </c>
    </row>
    <row r="181" spans="1:8" x14ac:dyDescent="0.2">
      <c r="A181" s="1" t="s">
        <v>617</v>
      </c>
    </row>
    <row r="182" spans="1:8" x14ac:dyDescent="0.2">
      <c r="A182" s="1" t="s">
        <v>618</v>
      </c>
    </row>
    <row r="184" spans="1:8" x14ac:dyDescent="0.2">
      <c r="B184" s="94" t="s">
        <v>619</v>
      </c>
      <c r="C184" s="94"/>
      <c r="D184" s="94"/>
      <c r="F184" s="94" t="s">
        <v>622</v>
      </c>
      <c r="G184" s="94"/>
      <c r="H184" s="94"/>
    </row>
    <row r="185" spans="1:8" x14ac:dyDescent="0.2">
      <c r="B185" s="1" t="s">
        <v>620</v>
      </c>
      <c r="D185" s="23">
        <v>78000</v>
      </c>
      <c r="H185" s="95">
        <v>211000</v>
      </c>
    </row>
    <row r="186" spans="1:8" x14ac:dyDescent="0.2">
      <c r="B186" s="1" t="s">
        <v>621</v>
      </c>
      <c r="D186" s="23">
        <v>90000</v>
      </c>
    </row>
    <row r="187" spans="1:8" x14ac:dyDescent="0.2">
      <c r="B187" s="1" t="s">
        <v>254</v>
      </c>
      <c r="D187" s="51">
        <f>D185+D186</f>
        <v>168000</v>
      </c>
    </row>
    <row r="192" spans="1:8" x14ac:dyDescent="0.2">
      <c r="D192" s="1" t="s">
        <v>623</v>
      </c>
    </row>
    <row r="193" spans="1:8" x14ac:dyDescent="0.2">
      <c r="D193" s="1" t="s">
        <v>624</v>
      </c>
    </row>
    <row r="194" spans="1:8" x14ac:dyDescent="0.2">
      <c r="D194" s="1" t="s">
        <v>625</v>
      </c>
    </row>
    <row r="195" spans="1:8" x14ac:dyDescent="0.2">
      <c r="D195" s="1" t="s">
        <v>626</v>
      </c>
    </row>
    <row r="196" spans="1:8" x14ac:dyDescent="0.2">
      <c r="D196" s="1" t="s">
        <v>627</v>
      </c>
      <c r="H196" s="77">
        <v>211000</v>
      </c>
    </row>
    <row r="198" spans="1:8" x14ac:dyDescent="0.2">
      <c r="A198" s="2" t="s">
        <v>628</v>
      </c>
    </row>
    <row r="200" spans="1:8" x14ac:dyDescent="0.2">
      <c r="A200" s="1" t="s">
        <v>629</v>
      </c>
    </row>
    <row r="202" spans="1:8" x14ac:dyDescent="0.2">
      <c r="A202" s="1" t="s">
        <v>631</v>
      </c>
    </row>
    <row r="203" spans="1:8" x14ac:dyDescent="0.2">
      <c r="B203" s="1" t="s">
        <v>630</v>
      </c>
      <c r="E203" s="23">
        <f>D185</f>
        <v>78000</v>
      </c>
    </row>
    <row r="204" spans="1:8" x14ac:dyDescent="0.2">
      <c r="B204" s="1" t="s">
        <v>632</v>
      </c>
      <c r="E204" s="23">
        <v>100000</v>
      </c>
    </row>
    <row r="205" spans="1:8" x14ac:dyDescent="0.2">
      <c r="B205" s="1" t="s">
        <v>633</v>
      </c>
      <c r="E205" s="23">
        <f>E203+E204</f>
        <v>178000</v>
      </c>
    </row>
    <row r="207" spans="1:8" x14ac:dyDescent="0.2">
      <c r="B207" s="1" t="s">
        <v>634</v>
      </c>
      <c r="F207" s="23">
        <f>H196</f>
        <v>211000</v>
      </c>
    </row>
    <row r="208" spans="1:8" x14ac:dyDescent="0.2">
      <c r="B208" s="1" t="s">
        <v>635</v>
      </c>
      <c r="F208" s="23">
        <f>E205</f>
        <v>178000</v>
      </c>
    </row>
    <row r="209" spans="1:8" x14ac:dyDescent="0.2">
      <c r="B209" s="1" t="s">
        <v>636</v>
      </c>
      <c r="F209" s="77">
        <f>F207-F208</f>
        <v>33000</v>
      </c>
    </row>
    <row r="212" spans="1:8" ht="36" x14ac:dyDescent="0.4">
      <c r="A212" s="96" t="s">
        <v>637</v>
      </c>
      <c r="B212" s="96"/>
      <c r="C212" s="96"/>
      <c r="D212" s="96"/>
      <c r="E212" s="96"/>
      <c r="F212" s="96"/>
      <c r="G212" s="96"/>
      <c r="H212" s="96"/>
    </row>
    <row r="213" spans="1:8" x14ac:dyDescent="0.2">
      <c r="D213" s="1" t="s">
        <v>638</v>
      </c>
    </row>
    <row r="214" spans="1:8" x14ac:dyDescent="0.2">
      <c r="D214" s="1" t="s">
        <v>639</v>
      </c>
    </row>
    <row r="215" spans="1:8" x14ac:dyDescent="0.2">
      <c r="D215" s="1" t="s">
        <v>640</v>
      </c>
    </row>
    <row r="216" spans="1:8" x14ac:dyDescent="0.2">
      <c r="D216" s="1" t="s">
        <v>641</v>
      </c>
    </row>
    <row r="217" spans="1:8" x14ac:dyDescent="0.2">
      <c r="D217" s="1" t="s">
        <v>642</v>
      </c>
    </row>
    <row r="218" spans="1:8" x14ac:dyDescent="0.2">
      <c r="D218" s="1" t="s">
        <v>643</v>
      </c>
    </row>
    <row r="219" spans="1:8" x14ac:dyDescent="0.2">
      <c r="D219" s="1" t="s">
        <v>644</v>
      </c>
    </row>
    <row r="221" spans="1:8" x14ac:dyDescent="0.2">
      <c r="D221" s="1" t="s">
        <v>645</v>
      </c>
    </row>
    <row r="222" spans="1:8" x14ac:dyDescent="0.2">
      <c r="D222" s="1" t="s">
        <v>646</v>
      </c>
    </row>
    <row r="223" spans="1:8" x14ac:dyDescent="0.2">
      <c r="D223" s="1" t="s">
        <v>647</v>
      </c>
    </row>
    <row r="225" spans="1:4" x14ac:dyDescent="0.2">
      <c r="D225" s="1" t="s">
        <v>648</v>
      </c>
    </row>
    <row r="226" spans="1:4" x14ac:dyDescent="0.2">
      <c r="D226" s="1" t="s">
        <v>649</v>
      </c>
    </row>
    <row r="227" spans="1:4" x14ac:dyDescent="0.2">
      <c r="D227" s="1" t="s">
        <v>650</v>
      </c>
    </row>
    <row r="229" spans="1:4" x14ac:dyDescent="0.2">
      <c r="A229" s="1" t="s">
        <v>651</v>
      </c>
    </row>
    <row r="230" spans="1:4" x14ac:dyDescent="0.2">
      <c r="A230" s="1" t="s">
        <v>652</v>
      </c>
    </row>
    <row r="231" spans="1:4" x14ac:dyDescent="0.2">
      <c r="A231" s="1" t="s">
        <v>653</v>
      </c>
    </row>
    <row r="232" spans="1:4" x14ac:dyDescent="0.2">
      <c r="A232" s="1" t="s">
        <v>654</v>
      </c>
    </row>
    <row r="233" spans="1:4" x14ac:dyDescent="0.2">
      <c r="A233" s="1" t="s">
        <v>655</v>
      </c>
    </row>
    <row r="234" spans="1:4" x14ac:dyDescent="0.2">
      <c r="B234" s="94" t="s">
        <v>656</v>
      </c>
      <c r="C234" s="94" t="s">
        <v>501</v>
      </c>
    </row>
    <row r="235" spans="1:4" x14ac:dyDescent="0.2">
      <c r="B235" s="35">
        <v>44196</v>
      </c>
      <c r="C235" s="23">
        <v>550000</v>
      </c>
    </row>
    <row r="236" spans="1:4" x14ac:dyDescent="0.2">
      <c r="B236" s="35">
        <v>44561</v>
      </c>
      <c r="C236" s="23">
        <v>570000</v>
      </c>
    </row>
    <row r="237" spans="1:4" x14ac:dyDescent="0.2">
      <c r="B237" s="35">
        <v>44926</v>
      </c>
      <c r="C237" s="23">
        <v>590000</v>
      </c>
    </row>
    <row r="239" spans="1:4" x14ac:dyDescent="0.2">
      <c r="A239" s="1" t="s">
        <v>657</v>
      </c>
    </row>
    <row r="241" spans="1:8" x14ac:dyDescent="0.2">
      <c r="C241" s="19" t="s">
        <v>658</v>
      </c>
      <c r="D241" s="19" t="s">
        <v>659</v>
      </c>
      <c r="E241" s="19" t="s">
        <v>658</v>
      </c>
      <c r="F241" s="19" t="s">
        <v>660</v>
      </c>
      <c r="G241" s="19" t="s">
        <v>658</v>
      </c>
      <c r="H241" s="19" t="s">
        <v>659</v>
      </c>
    </row>
    <row r="242" spans="1:8" x14ac:dyDescent="0.2">
      <c r="C242" s="36">
        <v>44196</v>
      </c>
      <c r="D242" s="36">
        <v>44196</v>
      </c>
      <c r="E242" s="36">
        <v>44561</v>
      </c>
      <c r="F242" s="36">
        <v>44561</v>
      </c>
      <c r="G242" s="36">
        <v>44926</v>
      </c>
      <c r="H242" s="36">
        <v>44926</v>
      </c>
    </row>
    <row r="243" spans="1:8" x14ac:dyDescent="0.2">
      <c r="A243" s="1" t="s">
        <v>663</v>
      </c>
      <c r="C243" s="19">
        <v>500000</v>
      </c>
      <c r="D243" s="38">
        <f>D245</f>
        <v>550000</v>
      </c>
      <c r="E243" s="38">
        <f>D243</f>
        <v>550000</v>
      </c>
      <c r="F243" s="38">
        <f>F245</f>
        <v>570000</v>
      </c>
      <c r="G243" s="38">
        <f>F243</f>
        <v>570000</v>
      </c>
      <c r="H243" s="38">
        <f>H245</f>
        <v>590000</v>
      </c>
    </row>
    <row r="244" spans="1:8" x14ac:dyDescent="0.2">
      <c r="A244" s="1" t="s">
        <v>96</v>
      </c>
      <c r="C244" s="19">
        <f>-C247</f>
        <v>-50000</v>
      </c>
      <c r="D244" s="19">
        <v>0</v>
      </c>
      <c r="E244" s="38">
        <f>-E247</f>
        <v>-61111.111111111109</v>
      </c>
      <c r="F244" s="19">
        <v>0</v>
      </c>
      <c r="G244" s="19">
        <f>-G247</f>
        <v>-71250</v>
      </c>
      <c r="H244" s="19">
        <v>0</v>
      </c>
    </row>
    <row r="245" spans="1:8" x14ac:dyDescent="0.2">
      <c r="A245" s="1" t="s">
        <v>99</v>
      </c>
      <c r="C245" s="19">
        <f>C243+C244</f>
        <v>450000</v>
      </c>
      <c r="D245" s="38">
        <f>C235</f>
        <v>550000</v>
      </c>
      <c r="E245" s="38">
        <f>E243+E244</f>
        <v>488888.88888888888</v>
      </c>
      <c r="F245" s="38">
        <f>C236</f>
        <v>570000</v>
      </c>
      <c r="G245" s="38">
        <f>G243+G244</f>
        <v>498750</v>
      </c>
      <c r="H245" s="38">
        <f>C237</f>
        <v>590000</v>
      </c>
    </row>
    <row r="246" spans="1:8" x14ac:dyDescent="0.2">
      <c r="C246" s="19"/>
      <c r="D246" s="19"/>
      <c r="E246" s="19"/>
      <c r="F246" s="19"/>
      <c r="G246" s="19"/>
      <c r="H246" s="19"/>
    </row>
    <row r="247" spans="1:8" x14ac:dyDescent="0.2">
      <c r="A247" s="1" t="s">
        <v>100</v>
      </c>
      <c r="C247" s="19">
        <f>C243/10</f>
        <v>50000</v>
      </c>
      <c r="D247" s="19">
        <f>C247</f>
        <v>50000</v>
      </c>
      <c r="E247" s="38">
        <f>D245/9</f>
        <v>61111.111111111109</v>
      </c>
      <c r="F247" s="38">
        <f>E247</f>
        <v>61111.111111111109</v>
      </c>
      <c r="G247" s="19">
        <f>F245/8</f>
        <v>71250</v>
      </c>
      <c r="H247" s="19">
        <f>G247</f>
        <v>71250</v>
      </c>
    </row>
    <row r="248" spans="1:8" x14ac:dyDescent="0.2">
      <c r="C248" s="19"/>
      <c r="D248" s="19"/>
      <c r="E248" s="19"/>
      <c r="F248" s="19"/>
      <c r="G248" s="19"/>
      <c r="H248" s="19"/>
    </row>
    <row r="249" spans="1:8" x14ac:dyDescent="0.2">
      <c r="A249" s="1" t="s">
        <v>661</v>
      </c>
      <c r="C249" s="19"/>
      <c r="D249" s="38">
        <f>D245-C245</f>
        <v>100000</v>
      </c>
      <c r="E249" s="19"/>
      <c r="F249" s="38">
        <f>C236-E245</f>
        <v>81111.111111111124</v>
      </c>
      <c r="G249" s="19"/>
      <c r="H249" s="38">
        <f>H245-G245</f>
        <v>91250</v>
      </c>
    </row>
    <row r="250" spans="1:8" x14ac:dyDescent="0.2">
      <c r="A250" s="1" t="s">
        <v>662</v>
      </c>
      <c r="C250" s="19"/>
      <c r="D250" s="38">
        <f>D249</f>
        <v>100000</v>
      </c>
      <c r="E250" s="19"/>
      <c r="F250" s="38">
        <f>F249+D250</f>
        <v>181111.11111111112</v>
      </c>
      <c r="G250" s="19"/>
      <c r="H250" s="38">
        <f>H249+F250</f>
        <v>272361.11111111112</v>
      </c>
    </row>
  </sheetData>
  <mergeCells count="3">
    <mergeCell ref="E81:F81"/>
    <mergeCell ref="D118:E118"/>
    <mergeCell ref="A145:H1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FD1-920F-B24D-BB0B-4654D39FE2B3}">
  <dimension ref="A1:AF107"/>
  <sheetViews>
    <sheetView rightToLeft="1" topLeftCell="N71" zoomScale="170" zoomScaleNormal="170" workbookViewId="0">
      <selection activeCell="X88" sqref="X88"/>
    </sheetView>
  </sheetViews>
  <sheetFormatPr baseColWidth="10" defaultRowHeight="16" x14ac:dyDescent="0.2"/>
  <cols>
    <col min="1" max="11" width="10.83203125" style="1"/>
    <col min="12" max="14" width="10.83203125" style="1" customWidth="1"/>
    <col min="15" max="15" width="11.1640625" style="1" customWidth="1"/>
    <col min="16" max="26" width="10.83203125" style="1" customWidth="1"/>
    <col min="27" max="16384" width="10.83203125" style="1"/>
  </cols>
  <sheetData>
    <row r="1" spans="1:8" x14ac:dyDescent="0.2">
      <c r="A1" s="3" t="s">
        <v>664</v>
      </c>
      <c r="B1" s="3"/>
      <c r="C1" s="3"/>
      <c r="D1" s="3"/>
      <c r="E1" s="3"/>
      <c r="F1" s="3"/>
      <c r="G1" s="3"/>
      <c r="H1" s="97">
        <v>45750</v>
      </c>
    </row>
    <row r="3" spans="1:8" x14ac:dyDescent="0.2">
      <c r="A3" s="98" t="s">
        <v>665</v>
      </c>
      <c r="B3" s="98"/>
      <c r="C3" s="98"/>
      <c r="D3" s="98"/>
      <c r="E3" s="98"/>
      <c r="F3" s="98"/>
      <c r="G3" s="98"/>
      <c r="H3" s="98"/>
    </row>
    <row r="4" spans="1:8" x14ac:dyDescent="0.2">
      <c r="A4" s="1" t="s">
        <v>666</v>
      </c>
    </row>
    <row r="5" spans="1:8" x14ac:dyDescent="0.2">
      <c r="A5" s="1" t="s">
        <v>667</v>
      </c>
    </row>
    <row r="6" spans="1:8" x14ac:dyDescent="0.2">
      <c r="A6" s="1" t="s">
        <v>668</v>
      </c>
    </row>
    <row r="7" spans="1:8" x14ac:dyDescent="0.2">
      <c r="A7" s="1" t="s">
        <v>669</v>
      </c>
    </row>
    <row r="8" spans="1:8" x14ac:dyDescent="0.2">
      <c r="A8" s="1" t="s">
        <v>670</v>
      </c>
    </row>
    <row r="9" spans="1:8" x14ac:dyDescent="0.2">
      <c r="A9" s="1" t="s">
        <v>671</v>
      </c>
    </row>
    <row r="10" spans="1:8" x14ac:dyDescent="0.2">
      <c r="A10" s="1" t="s">
        <v>672</v>
      </c>
    </row>
    <row r="11" spans="1:8" x14ac:dyDescent="0.2">
      <c r="A11" s="1" t="s">
        <v>673</v>
      </c>
    </row>
    <row r="12" spans="1:8" x14ac:dyDescent="0.2">
      <c r="A12" s="1" t="s">
        <v>674</v>
      </c>
    </row>
    <row r="13" spans="1:8" x14ac:dyDescent="0.2">
      <c r="A13" s="1" t="s">
        <v>675</v>
      </c>
    </row>
    <row r="14" spans="1:8" x14ac:dyDescent="0.2">
      <c r="A14" s="1" t="s">
        <v>676</v>
      </c>
    </row>
    <row r="15" spans="1:8" x14ac:dyDescent="0.2">
      <c r="A15" s="1" t="s">
        <v>677</v>
      </c>
    </row>
    <row r="16" spans="1:8" x14ac:dyDescent="0.2">
      <c r="A16" s="1" t="s">
        <v>678</v>
      </c>
    </row>
    <row r="17" spans="1:8" x14ac:dyDescent="0.2">
      <c r="A17" s="1" t="s">
        <v>679</v>
      </c>
    </row>
    <row r="19" spans="1:8" x14ac:dyDescent="0.2">
      <c r="A19" s="98" t="s">
        <v>680</v>
      </c>
      <c r="B19" s="98"/>
      <c r="C19" s="98"/>
      <c r="D19" s="98"/>
      <c r="E19" s="98"/>
      <c r="F19" s="98"/>
      <c r="G19" s="98"/>
      <c r="H19" s="98"/>
    </row>
    <row r="20" spans="1:8" x14ac:dyDescent="0.2">
      <c r="A20" s="1" t="s">
        <v>681</v>
      </c>
    </row>
    <row r="21" spans="1:8" x14ac:dyDescent="0.2">
      <c r="A21" s="1" t="s">
        <v>682</v>
      </c>
    </row>
    <row r="22" spans="1:8" x14ac:dyDescent="0.2">
      <c r="A22" s="1" t="s">
        <v>683</v>
      </c>
    </row>
    <row r="23" spans="1:8" x14ac:dyDescent="0.2">
      <c r="A23" s="1" t="s">
        <v>684</v>
      </c>
    </row>
    <row r="24" spans="1:8" x14ac:dyDescent="0.2">
      <c r="A24" s="1" t="s">
        <v>685</v>
      </c>
    </row>
    <row r="25" spans="1:8" x14ac:dyDescent="0.2">
      <c r="A25" s="1" t="s">
        <v>686</v>
      </c>
    </row>
    <row r="36" spans="1:30" x14ac:dyDescent="0.2">
      <c r="A36" s="1" t="s">
        <v>687</v>
      </c>
    </row>
    <row r="37" spans="1:30" x14ac:dyDescent="0.2">
      <c r="A37" s="1" t="s">
        <v>688</v>
      </c>
    </row>
    <row r="38" spans="1:30" x14ac:dyDescent="0.2">
      <c r="A38" s="1" t="s">
        <v>689</v>
      </c>
    </row>
    <row r="39" spans="1:30" x14ac:dyDescent="0.2">
      <c r="A39" s="1" t="s">
        <v>690</v>
      </c>
    </row>
    <row r="41" spans="1:30" x14ac:dyDescent="0.2">
      <c r="A41" s="1" t="s">
        <v>691</v>
      </c>
    </row>
    <row r="42" spans="1:30" x14ac:dyDescent="0.2">
      <c r="A42" s="1" t="s">
        <v>692</v>
      </c>
    </row>
    <row r="43" spans="1:30" x14ac:dyDescent="0.2">
      <c r="M43" s="19" t="s">
        <v>711</v>
      </c>
      <c r="N43" s="19" t="s">
        <v>711</v>
      </c>
      <c r="O43" s="69" t="s">
        <v>722</v>
      </c>
      <c r="P43" s="19" t="s">
        <v>711</v>
      </c>
      <c r="Q43" s="19" t="s">
        <v>711</v>
      </c>
      <c r="R43" s="69" t="s">
        <v>722</v>
      </c>
      <c r="U43" s="69" t="s">
        <v>722</v>
      </c>
      <c r="X43" s="69" t="s">
        <v>722</v>
      </c>
      <c r="AA43" s="69" t="s">
        <v>722</v>
      </c>
    </row>
    <row r="44" spans="1:30" x14ac:dyDescent="0.2">
      <c r="A44" s="99" t="s">
        <v>693</v>
      </c>
      <c r="B44" s="99"/>
      <c r="C44" s="99"/>
      <c r="D44" s="99"/>
      <c r="E44" s="99"/>
      <c r="F44" s="99"/>
      <c r="G44" s="99"/>
      <c r="H44" s="99"/>
      <c r="L44" s="19" t="s">
        <v>711</v>
      </c>
      <c r="M44" s="19" t="s">
        <v>723</v>
      </c>
      <c r="N44" s="19" t="s">
        <v>724</v>
      </c>
      <c r="O44" s="19" t="s">
        <v>725</v>
      </c>
      <c r="P44" s="19" t="s">
        <v>723</v>
      </c>
      <c r="Q44" s="19" t="s">
        <v>724</v>
      </c>
      <c r="R44" s="19" t="s">
        <v>725</v>
      </c>
      <c r="S44" s="19" t="s">
        <v>658</v>
      </c>
      <c r="T44" s="19" t="s">
        <v>724</v>
      </c>
      <c r="U44" s="19" t="s">
        <v>725</v>
      </c>
      <c r="V44" s="19" t="s">
        <v>658</v>
      </c>
      <c r="W44" s="19" t="s">
        <v>724</v>
      </c>
      <c r="X44" s="19" t="s">
        <v>725</v>
      </c>
      <c r="Y44" s="19" t="s">
        <v>658</v>
      </c>
      <c r="Z44" s="19" t="s">
        <v>724</v>
      </c>
      <c r="AA44" s="19" t="s">
        <v>725</v>
      </c>
      <c r="AB44" s="19" t="s">
        <v>332</v>
      </c>
      <c r="AC44" s="19" t="s">
        <v>722</v>
      </c>
      <c r="AD44" s="19"/>
    </row>
    <row r="45" spans="1:30" x14ac:dyDescent="0.2">
      <c r="A45" s="1" t="s">
        <v>694</v>
      </c>
      <c r="L45" s="36">
        <v>42370</v>
      </c>
      <c r="M45" s="36">
        <v>42735</v>
      </c>
      <c r="N45" s="36">
        <v>42735</v>
      </c>
      <c r="O45" s="36">
        <v>42735</v>
      </c>
      <c r="P45" s="36">
        <v>43100</v>
      </c>
      <c r="Q45" s="36">
        <v>43100</v>
      </c>
      <c r="R45" s="36">
        <v>43100</v>
      </c>
      <c r="S45" s="36">
        <v>43465</v>
      </c>
      <c r="T45" s="36">
        <v>43465</v>
      </c>
      <c r="U45" s="36">
        <v>43465</v>
      </c>
      <c r="V45" s="36">
        <v>43830</v>
      </c>
      <c r="W45" s="36">
        <v>43830</v>
      </c>
      <c r="X45" s="36">
        <v>43830</v>
      </c>
      <c r="Y45" s="36">
        <v>44196</v>
      </c>
      <c r="Z45" s="36">
        <v>44196</v>
      </c>
      <c r="AA45" s="36">
        <v>44196</v>
      </c>
      <c r="AB45" s="36">
        <v>44377</v>
      </c>
      <c r="AC45" s="36">
        <v>44926</v>
      </c>
      <c r="AD45" s="56"/>
    </row>
    <row r="46" spans="1:30" x14ac:dyDescent="0.2">
      <c r="A46" s="1" t="s">
        <v>695</v>
      </c>
      <c r="J46" s="1" t="s">
        <v>719</v>
      </c>
      <c r="L46" s="38">
        <f>L75</f>
        <v>973438.72827321163</v>
      </c>
      <c r="M46" s="38">
        <f>L46</f>
        <v>973438.72827321163</v>
      </c>
      <c r="N46" s="38">
        <f>N49</f>
        <v>953969.95370774739</v>
      </c>
      <c r="O46" s="38">
        <f>O49</f>
        <v>1200000</v>
      </c>
      <c r="P46" s="38">
        <f>O46</f>
        <v>1200000</v>
      </c>
      <c r="Q46" s="38">
        <f>Q49</f>
        <v>1175510.2040816327</v>
      </c>
      <c r="R46" s="38">
        <f>R49-R48</f>
        <v>929480.15778938006</v>
      </c>
      <c r="S46" s="38">
        <f>R46</f>
        <v>929480.15778938006</v>
      </c>
      <c r="T46" s="38">
        <f>T49-T48</f>
        <v>910115.98783543461</v>
      </c>
      <c r="U46" s="38">
        <f>U49-U48</f>
        <v>910115.98783543461</v>
      </c>
      <c r="V46" s="38">
        <f>U46</f>
        <v>910115.98783543461</v>
      </c>
      <c r="W46" s="38">
        <f>V46+V47</f>
        <v>890751.81788148917</v>
      </c>
      <c r="X46" s="38">
        <f>X49</f>
        <v>900000</v>
      </c>
      <c r="Y46" s="38">
        <f>X46</f>
        <v>900000</v>
      </c>
      <c r="Z46" s="38">
        <f>Z49</f>
        <v>880434.78260869568</v>
      </c>
      <c r="AA46" s="38">
        <f>AA49</f>
        <v>1200000</v>
      </c>
      <c r="AB46" s="38">
        <f>AA46</f>
        <v>1200000</v>
      </c>
      <c r="AC46" s="38">
        <v>0</v>
      </c>
      <c r="AD46" s="38"/>
    </row>
    <row r="47" spans="1:30" x14ac:dyDescent="0.2">
      <c r="A47" s="1" t="s">
        <v>696</v>
      </c>
      <c r="J47" s="1" t="s">
        <v>96</v>
      </c>
      <c r="L47" s="19">
        <v>0</v>
      </c>
      <c r="M47" s="21">
        <f>-M51</f>
        <v>-19468.774565464231</v>
      </c>
      <c r="N47" s="21">
        <v>0</v>
      </c>
      <c r="O47" s="21">
        <v>0</v>
      </c>
      <c r="P47" s="21">
        <f>-P51</f>
        <v>-24489.795918367348</v>
      </c>
      <c r="Q47" s="21">
        <v>0</v>
      </c>
      <c r="R47" s="21">
        <v>0</v>
      </c>
      <c r="S47" s="21">
        <f>-S51+R48/48</f>
        <v>-19364.16995394542</v>
      </c>
      <c r="T47" s="21">
        <v>0</v>
      </c>
      <c r="U47" s="21">
        <f>T47</f>
        <v>0</v>
      </c>
      <c r="V47" s="21">
        <f>-V51+U48/47</f>
        <v>-19364.169953945417</v>
      </c>
      <c r="W47" s="21">
        <v>0</v>
      </c>
      <c r="X47" s="21">
        <v>0</v>
      </c>
      <c r="Y47" s="21">
        <f>-Y51</f>
        <v>-19565.217391304348</v>
      </c>
      <c r="Z47" s="21">
        <v>0</v>
      </c>
      <c r="AA47" s="21">
        <v>0</v>
      </c>
      <c r="AB47" s="21">
        <f>-AB51</f>
        <v>-13333.333333333334</v>
      </c>
      <c r="AC47" s="21">
        <v>0</v>
      </c>
      <c r="AD47" s="21"/>
    </row>
    <row r="48" spans="1:30" x14ac:dyDescent="0.2">
      <c r="A48" s="1" t="s">
        <v>697</v>
      </c>
      <c r="J48" s="1" t="s">
        <v>718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21">
        <f>-R53</f>
        <v>-229480.15778938006</v>
      </c>
      <c r="S48" s="21">
        <f>R48*47/48</f>
        <v>-224699.32116876799</v>
      </c>
      <c r="T48" s="21">
        <f>S48</f>
        <v>-224699.32116876799</v>
      </c>
      <c r="U48" s="21">
        <f>T48-U53</f>
        <v>-410115.98783543461</v>
      </c>
      <c r="V48" s="21">
        <f>U48*46/47</f>
        <v>-401390.11575382965</v>
      </c>
      <c r="W48" s="21">
        <f>V48</f>
        <v>-401390.11575382965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/>
    </row>
    <row r="49" spans="1:30" x14ac:dyDescent="0.2">
      <c r="A49" s="1" t="s">
        <v>698</v>
      </c>
      <c r="J49" s="1" t="s">
        <v>99</v>
      </c>
      <c r="L49" s="39">
        <f>L46</f>
        <v>973438.72827321163</v>
      </c>
      <c r="M49" s="39">
        <f>M46+M47</f>
        <v>953969.95370774739</v>
      </c>
      <c r="N49" s="39">
        <f>M49</f>
        <v>953969.95370774739</v>
      </c>
      <c r="O49" s="39">
        <f>D60</f>
        <v>1200000</v>
      </c>
      <c r="P49" s="39">
        <f>P46+P47</f>
        <v>1175510.2040816327</v>
      </c>
      <c r="Q49" s="39">
        <f>P49</f>
        <v>1175510.2040816327</v>
      </c>
      <c r="R49" s="39">
        <f>D61</f>
        <v>700000</v>
      </c>
      <c r="S49" s="39">
        <f>S46+S47+S48</f>
        <v>685416.66666666663</v>
      </c>
      <c r="T49" s="39">
        <f>S49</f>
        <v>685416.66666666663</v>
      </c>
      <c r="U49" s="39">
        <f>D62</f>
        <v>500000</v>
      </c>
      <c r="V49" s="39">
        <f>V46+V47+V48</f>
        <v>489361.70212765952</v>
      </c>
      <c r="W49" s="39">
        <f>W46+W47+W48</f>
        <v>489361.70212765952</v>
      </c>
      <c r="X49" s="39">
        <f>D63</f>
        <v>900000</v>
      </c>
      <c r="Y49" s="39">
        <f>Y46+Y47+Y48</f>
        <v>880434.78260869568</v>
      </c>
      <c r="Z49" s="39">
        <f>Y49</f>
        <v>880434.78260869568</v>
      </c>
      <c r="AA49" s="39">
        <f>D64</f>
        <v>1200000</v>
      </c>
      <c r="AB49" s="39">
        <f>AB46+AB47</f>
        <v>1186666.6666666667</v>
      </c>
      <c r="AC49" s="39">
        <v>0</v>
      </c>
      <c r="AD49" s="38"/>
    </row>
    <row r="50" spans="1:30" x14ac:dyDescent="0.2">
      <c r="A50" s="1" t="s">
        <v>699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2">
      <c r="A51" s="1" t="s">
        <v>700</v>
      </c>
      <c r="J51" s="1" t="s">
        <v>100</v>
      </c>
      <c r="L51" s="19"/>
      <c r="M51" s="38">
        <f>L49/50</f>
        <v>19468.774565464231</v>
      </c>
      <c r="N51" s="38">
        <f>M51</f>
        <v>19468.774565464231</v>
      </c>
      <c r="O51" s="38">
        <f>N51</f>
        <v>19468.774565464231</v>
      </c>
      <c r="P51" s="38">
        <f>O49/49</f>
        <v>24489.795918367348</v>
      </c>
      <c r="Q51" s="38">
        <f>P51</f>
        <v>24489.795918367348</v>
      </c>
      <c r="R51" s="38">
        <f>Q51</f>
        <v>24489.795918367348</v>
      </c>
      <c r="S51" s="38">
        <f>R49/48</f>
        <v>14583.333333333334</v>
      </c>
      <c r="T51" s="38">
        <f>S51</f>
        <v>14583.333333333334</v>
      </c>
      <c r="U51" s="38">
        <f>T51</f>
        <v>14583.333333333334</v>
      </c>
      <c r="V51" s="38">
        <f>U49/47</f>
        <v>10638.297872340425</v>
      </c>
      <c r="W51" s="38">
        <f>V51</f>
        <v>10638.297872340425</v>
      </c>
      <c r="X51" s="38">
        <f>W51</f>
        <v>10638.297872340425</v>
      </c>
      <c r="Y51" s="38">
        <f>X49/46</f>
        <v>19565.217391304348</v>
      </c>
      <c r="Z51" s="38">
        <f>Y51</f>
        <v>19565.217391304348</v>
      </c>
      <c r="AA51" s="38">
        <f>Z51</f>
        <v>19565.217391304348</v>
      </c>
      <c r="AB51" s="38">
        <f>AA49/45*6/12</f>
        <v>13333.333333333334</v>
      </c>
      <c r="AC51" s="38">
        <f>AB51</f>
        <v>13333.333333333334</v>
      </c>
      <c r="AD51" s="38"/>
    </row>
    <row r="52" spans="1:30" x14ac:dyDescent="0.2">
      <c r="A52" s="1" t="s">
        <v>701</v>
      </c>
      <c r="J52" s="1" t="s">
        <v>726</v>
      </c>
      <c r="L52" s="1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>
        <f>-W48</f>
        <v>401390.11575382965</v>
      </c>
      <c r="Y52" s="38"/>
      <c r="Z52" s="38"/>
      <c r="AA52" s="38"/>
      <c r="AB52" s="38"/>
      <c r="AC52" s="38"/>
      <c r="AD52" s="38"/>
    </row>
    <row r="53" spans="1:30" x14ac:dyDescent="0.2">
      <c r="A53" s="1" t="s">
        <v>702</v>
      </c>
      <c r="J53" s="1" t="s">
        <v>727</v>
      </c>
      <c r="L53" s="19"/>
      <c r="M53" s="38"/>
      <c r="N53" s="38"/>
      <c r="O53" s="38"/>
      <c r="P53" s="38"/>
      <c r="Q53" s="38"/>
      <c r="R53" s="38">
        <f>Q49-R49-R59</f>
        <v>229480.15778938006</v>
      </c>
      <c r="S53" s="38"/>
      <c r="T53" s="38"/>
      <c r="U53" s="38">
        <f>T49-U49</f>
        <v>185416.66666666663</v>
      </c>
      <c r="V53" s="38"/>
      <c r="W53" s="38"/>
      <c r="X53" s="38"/>
      <c r="Y53" s="38"/>
      <c r="Z53" s="38"/>
      <c r="AA53" s="38"/>
      <c r="AB53" s="38"/>
      <c r="AC53" s="38"/>
      <c r="AD53" s="38"/>
    </row>
    <row r="54" spans="1:30" x14ac:dyDescent="0.2">
      <c r="A54" s="1" t="s">
        <v>703</v>
      </c>
      <c r="J54" s="1" t="s">
        <v>548</v>
      </c>
      <c r="L54" s="19"/>
      <c r="M54" s="38">
        <f>7%*L62</f>
        <v>61140.710979124822</v>
      </c>
      <c r="N54" s="38">
        <f>M54</f>
        <v>61140.710979124822</v>
      </c>
      <c r="O54" s="38">
        <f>N54</f>
        <v>61140.710979124822</v>
      </c>
      <c r="P54" s="38">
        <f>O62*7%</f>
        <v>65420.560747663563</v>
      </c>
      <c r="Q54" s="38">
        <f>P54</f>
        <v>65420.560747663563</v>
      </c>
      <c r="R54" s="38">
        <f>Q54</f>
        <v>65420.560747663563</v>
      </c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38"/>
    </row>
    <row r="55" spans="1:30" x14ac:dyDescent="0.2">
      <c r="A55" s="1" t="s">
        <v>704</v>
      </c>
      <c r="J55" s="1" t="s">
        <v>733</v>
      </c>
      <c r="L55" s="1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>
        <f>-Y72</f>
        <v>158629.28348909668</v>
      </c>
      <c r="AD55" s="38"/>
    </row>
    <row r="56" spans="1:30" x14ac:dyDescent="0.2">
      <c r="A56" s="1" t="s">
        <v>728</v>
      </c>
      <c r="AD56" s="21"/>
    </row>
    <row r="57" spans="1:30" x14ac:dyDescent="0.2">
      <c r="A57" s="1" t="s">
        <v>705</v>
      </c>
    </row>
    <row r="58" spans="1:30" x14ac:dyDescent="0.2">
      <c r="J58" s="1" t="s">
        <v>661</v>
      </c>
      <c r="L58" s="19"/>
      <c r="M58" s="38"/>
      <c r="N58" s="38"/>
      <c r="O58" s="38">
        <f>O49-N49</f>
        <v>246030.04629225261</v>
      </c>
      <c r="P58" s="38"/>
      <c r="Q58" s="38"/>
      <c r="R58" s="38"/>
      <c r="S58" s="38"/>
      <c r="T58" s="38"/>
      <c r="U58" s="38"/>
      <c r="V58" s="38"/>
      <c r="W58" s="38"/>
      <c r="X58" s="21">
        <f>X49-W49-X52</f>
        <v>9248.1821185108274</v>
      </c>
      <c r="Y58" s="38"/>
      <c r="Z58" s="38"/>
      <c r="AA58" s="21">
        <f>AA49-Z49</f>
        <v>319565.21739130432</v>
      </c>
      <c r="AB58" s="21"/>
      <c r="AC58" s="21"/>
      <c r="AD58" s="38"/>
    </row>
    <row r="59" spans="1:30" x14ac:dyDescent="0.2">
      <c r="C59" s="94" t="s">
        <v>656</v>
      </c>
      <c r="D59" s="94" t="s">
        <v>706</v>
      </c>
      <c r="J59" s="1" t="s">
        <v>720</v>
      </c>
      <c r="L59" s="19"/>
      <c r="M59" s="38"/>
      <c r="N59" s="38"/>
      <c r="O59" s="38"/>
      <c r="P59" s="38"/>
      <c r="Q59" s="38"/>
      <c r="R59" s="21">
        <f>Q60</f>
        <v>246030.04629225261</v>
      </c>
      <c r="S59" s="21"/>
      <c r="T59" s="21"/>
      <c r="U59" s="21"/>
      <c r="V59" s="21"/>
      <c r="W59" s="21"/>
      <c r="Y59" s="21"/>
      <c r="Z59" s="21"/>
      <c r="AD59" s="38"/>
    </row>
    <row r="60" spans="1:30" x14ac:dyDescent="0.2">
      <c r="C60" s="35">
        <v>42735</v>
      </c>
      <c r="D60" s="73">
        <v>1200000</v>
      </c>
      <c r="J60" s="1" t="s">
        <v>721</v>
      </c>
      <c r="L60" s="19"/>
      <c r="M60" s="38"/>
      <c r="N60" s="38"/>
      <c r="O60" s="38">
        <f>O58</f>
        <v>246030.04629225261</v>
      </c>
      <c r="P60" s="38">
        <f>O60</f>
        <v>246030.04629225261</v>
      </c>
      <c r="Q60" s="38">
        <f>P60</f>
        <v>246030.04629225261</v>
      </c>
      <c r="R60" s="38">
        <f>0</f>
        <v>0</v>
      </c>
      <c r="S60" s="38">
        <f>R60</f>
        <v>0</v>
      </c>
      <c r="T60" s="38">
        <f>S60</f>
        <v>0</v>
      </c>
      <c r="U60" s="38">
        <v>0</v>
      </c>
      <c r="V60" s="38">
        <v>0</v>
      </c>
      <c r="W60" s="38">
        <v>0</v>
      </c>
      <c r="X60" s="38">
        <f>X58</f>
        <v>9248.1821185108274</v>
      </c>
      <c r="Y60" s="38">
        <f>X60</f>
        <v>9248.1821185108274</v>
      </c>
      <c r="Z60" s="38">
        <f>Y60</f>
        <v>9248.1821185108274</v>
      </c>
      <c r="AA60" s="38">
        <f>AA58+Z60</f>
        <v>328813.39950981515</v>
      </c>
      <c r="AB60" s="38">
        <f>AA60</f>
        <v>328813.39950981515</v>
      </c>
      <c r="AC60" s="38">
        <v>0</v>
      </c>
      <c r="AD60" s="38"/>
    </row>
    <row r="61" spans="1:30" x14ac:dyDescent="0.2">
      <c r="C61" s="35">
        <v>43100</v>
      </c>
      <c r="D61" s="73">
        <v>700000</v>
      </c>
      <c r="L61" s="19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30" x14ac:dyDescent="0.2">
      <c r="C62" s="35">
        <v>43465</v>
      </c>
      <c r="D62" s="73">
        <v>500000</v>
      </c>
      <c r="J62" s="1" t="s">
        <v>547</v>
      </c>
      <c r="L62" s="38">
        <f>L74</f>
        <v>873438.72827321163</v>
      </c>
      <c r="M62" s="38">
        <f>L62+M54</f>
        <v>934579.43925233651</v>
      </c>
      <c r="N62" s="38">
        <f>M62</f>
        <v>934579.43925233651</v>
      </c>
      <c r="O62" s="38">
        <f>N62</f>
        <v>934579.43925233651</v>
      </c>
      <c r="P62" s="38">
        <v>0</v>
      </c>
      <c r="Q62" s="38">
        <f>P62</f>
        <v>0</v>
      </c>
      <c r="R62" s="38">
        <v>0</v>
      </c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</row>
    <row r="63" spans="1:30" x14ac:dyDescent="0.2">
      <c r="C63" s="35">
        <v>43830</v>
      </c>
      <c r="D63" s="73">
        <v>900000</v>
      </c>
      <c r="M63" s="23"/>
      <c r="N63" s="23"/>
      <c r="O63" s="23"/>
      <c r="P63" s="23"/>
    </row>
    <row r="64" spans="1:30" x14ac:dyDescent="0.2">
      <c r="C64" s="35">
        <v>44196</v>
      </c>
      <c r="D64" s="73">
        <v>1200000</v>
      </c>
    </row>
    <row r="66" spans="1:29" x14ac:dyDescent="0.2">
      <c r="A66" s="1" t="s">
        <v>707</v>
      </c>
    </row>
    <row r="67" spans="1:29" x14ac:dyDescent="0.2">
      <c r="A67" s="1" t="s">
        <v>708</v>
      </c>
    </row>
    <row r="68" spans="1:29" x14ac:dyDescent="0.2">
      <c r="J68" s="1" t="s">
        <v>712</v>
      </c>
    </row>
    <row r="69" spans="1:29" x14ac:dyDescent="0.2">
      <c r="A69" s="1" t="s">
        <v>709</v>
      </c>
      <c r="W69" s="1" t="s">
        <v>729</v>
      </c>
    </row>
    <row r="70" spans="1:29" x14ac:dyDescent="0.2">
      <c r="A70" s="1" t="s">
        <v>710</v>
      </c>
      <c r="J70" s="1" t="s">
        <v>713</v>
      </c>
      <c r="W70" s="1" t="s">
        <v>730</v>
      </c>
      <c r="Y70" s="21">
        <f>-AB75</f>
        <v>1028037.3831775701</v>
      </c>
    </row>
    <row r="71" spans="1:29" x14ac:dyDescent="0.2">
      <c r="J71" s="1" t="s">
        <v>714</v>
      </c>
      <c r="L71" s="23">
        <v>30000</v>
      </c>
      <c r="W71" s="1" t="s">
        <v>731</v>
      </c>
      <c r="Y71" s="21">
        <f>-AB49</f>
        <v>-1186666.6666666667</v>
      </c>
    </row>
    <row r="72" spans="1:29" x14ac:dyDescent="0.2">
      <c r="J72" s="1" t="s">
        <v>715</v>
      </c>
      <c r="L72" s="23">
        <v>70000</v>
      </c>
      <c r="W72" s="1" t="s">
        <v>732</v>
      </c>
      <c r="Y72" s="22">
        <f>Y70+Y71</f>
        <v>-158629.28348909668</v>
      </c>
      <c r="AB72" s="24">
        <v>7.0000000000000007E-2</v>
      </c>
      <c r="AC72" s="1" t="s">
        <v>113</v>
      </c>
    </row>
    <row r="73" spans="1:29" x14ac:dyDescent="0.2">
      <c r="J73" s="1" t="s">
        <v>716</v>
      </c>
      <c r="AB73" s="1">
        <v>1</v>
      </c>
      <c r="AC73" s="1" t="s">
        <v>114</v>
      </c>
    </row>
    <row r="74" spans="1:29" x14ac:dyDescent="0.2">
      <c r="J74" s="1" t="s">
        <v>717</v>
      </c>
      <c r="L74" s="23">
        <f>O78</f>
        <v>873438.72827321163</v>
      </c>
      <c r="AB74" s="1">
        <v>0</v>
      </c>
      <c r="AC74" s="1" t="s">
        <v>115</v>
      </c>
    </row>
    <row r="75" spans="1:29" x14ac:dyDescent="0.2">
      <c r="J75" s="1" t="s">
        <v>293</v>
      </c>
      <c r="L75" s="51">
        <f>L71+L72+L74</f>
        <v>973438.72827321163</v>
      </c>
      <c r="O75" s="24">
        <v>7.0000000000000007E-2</v>
      </c>
      <c r="P75" s="1" t="s">
        <v>113</v>
      </c>
      <c r="AB75" s="23">
        <f>PV(AB72,AB73,AB74,AB76)</f>
        <v>-1028037.3831775701</v>
      </c>
      <c r="AC75" s="1" t="s">
        <v>116</v>
      </c>
    </row>
    <row r="76" spans="1:29" x14ac:dyDescent="0.2">
      <c r="O76" s="1">
        <v>2</v>
      </c>
      <c r="P76" s="1" t="s">
        <v>114</v>
      </c>
      <c r="AB76" s="23">
        <v>1100000</v>
      </c>
      <c r="AC76" s="1" t="s">
        <v>117</v>
      </c>
    </row>
    <row r="77" spans="1:29" x14ac:dyDescent="0.2">
      <c r="O77" s="1">
        <v>0</v>
      </c>
      <c r="P77" s="1" t="s">
        <v>115</v>
      </c>
    </row>
    <row r="78" spans="1:29" x14ac:dyDescent="0.2">
      <c r="O78" s="23">
        <f>PV(O75,O76,O77,O79)</f>
        <v>873438.72827321163</v>
      </c>
      <c r="P78" s="1" t="s">
        <v>116</v>
      </c>
    </row>
    <row r="79" spans="1:29" x14ac:dyDescent="0.2">
      <c r="O79" s="23">
        <v>-1000000</v>
      </c>
      <c r="P79" s="1" t="s">
        <v>117</v>
      </c>
    </row>
    <row r="80" spans="1:29" x14ac:dyDescent="0.2">
      <c r="A80" s="99" t="s">
        <v>734</v>
      </c>
      <c r="B80" s="99"/>
      <c r="C80" s="99"/>
      <c r="D80" s="99"/>
      <c r="E80" s="99"/>
      <c r="F80" s="99"/>
      <c r="G80" s="99"/>
      <c r="H80" s="99"/>
    </row>
    <row r="81" spans="1:32" x14ac:dyDescent="0.2">
      <c r="A81" s="1" t="s">
        <v>735</v>
      </c>
    </row>
    <row r="82" spans="1:32" x14ac:dyDescent="0.2">
      <c r="A82" s="1" t="s">
        <v>736</v>
      </c>
      <c r="M82" s="19" t="s">
        <v>711</v>
      </c>
      <c r="N82" s="19" t="s">
        <v>711</v>
      </c>
      <c r="O82" s="69" t="s">
        <v>722</v>
      </c>
      <c r="P82" s="19" t="s">
        <v>711</v>
      </c>
      <c r="Q82" s="19" t="s">
        <v>711</v>
      </c>
      <c r="R82" s="69" t="s">
        <v>722</v>
      </c>
      <c r="U82" s="69" t="s">
        <v>722</v>
      </c>
      <c r="X82" s="69" t="s">
        <v>722</v>
      </c>
      <c r="AA82" s="69" t="s">
        <v>722</v>
      </c>
      <c r="AD82" s="69" t="s">
        <v>722</v>
      </c>
      <c r="AF82" s="69" t="s">
        <v>722</v>
      </c>
    </row>
    <row r="83" spans="1:32" x14ac:dyDescent="0.2">
      <c r="A83" s="1" t="s">
        <v>737</v>
      </c>
      <c r="L83" s="19" t="s">
        <v>711</v>
      </c>
      <c r="M83" s="19" t="s">
        <v>723</v>
      </c>
      <c r="N83" s="19" t="s">
        <v>724</v>
      </c>
      <c r="O83" s="19" t="s">
        <v>725</v>
      </c>
      <c r="P83" s="19" t="s">
        <v>723</v>
      </c>
      <c r="Q83" s="19" t="s">
        <v>724</v>
      </c>
      <c r="R83" s="19" t="s">
        <v>725</v>
      </c>
      <c r="S83" s="19" t="s">
        <v>658</v>
      </c>
      <c r="T83" s="19" t="s">
        <v>724</v>
      </c>
      <c r="U83" s="19" t="s">
        <v>725</v>
      </c>
      <c r="V83" s="19" t="s">
        <v>658</v>
      </c>
      <c r="W83" s="19" t="s">
        <v>724</v>
      </c>
      <c r="X83" s="19" t="s">
        <v>725</v>
      </c>
      <c r="Y83" s="19" t="s">
        <v>658</v>
      </c>
      <c r="Z83" s="19" t="s">
        <v>724</v>
      </c>
      <c r="AA83" s="19" t="s">
        <v>725</v>
      </c>
      <c r="AB83" s="19" t="s">
        <v>658</v>
      </c>
      <c r="AC83" s="19" t="s">
        <v>724</v>
      </c>
      <c r="AD83" s="19" t="s">
        <v>725</v>
      </c>
      <c r="AE83" s="19" t="s">
        <v>332</v>
      </c>
      <c r="AF83" s="19" t="s">
        <v>752</v>
      </c>
    </row>
    <row r="84" spans="1:32" x14ac:dyDescent="0.2">
      <c r="A84" s="1" t="s">
        <v>751</v>
      </c>
      <c r="L84" s="36">
        <v>42005</v>
      </c>
      <c r="M84" s="36">
        <v>42369</v>
      </c>
      <c r="N84" s="36">
        <v>42369</v>
      </c>
      <c r="O84" s="36">
        <v>42369</v>
      </c>
      <c r="P84" s="36">
        <v>42735</v>
      </c>
      <c r="Q84" s="36">
        <v>42735</v>
      </c>
      <c r="R84" s="36">
        <v>42735</v>
      </c>
      <c r="S84" s="36">
        <v>43100</v>
      </c>
      <c r="T84" s="36">
        <v>43100</v>
      </c>
      <c r="U84" s="36">
        <v>43100</v>
      </c>
      <c r="V84" s="36">
        <v>43465</v>
      </c>
      <c r="W84" s="36">
        <v>43465</v>
      </c>
      <c r="X84" s="36">
        <v>43465</v>
      </c>
      <c r="Y84" s="36">
        <v>43830</v>
      </c>
      <c r="Z84" s="36">
        <v>43830</v>
      </c>
      <c r="AA84" s="36">
        <v>43830</v>
      </c>
      <c r="AB84" s="36">
        <v>44196</v>
      </c>
      <c r="AC84" s="36">
        <v>44196</v>
      </c>
      <c r="AD84" s="36">
        <v>44196</v>
      </c>
      <c r="AE84" s="36">
        <v>44287</v>
      </c>
      <c r="AF84" s="36">
        <v>44561</v>
      </c>
    </row>
    <row r="85" spans="1:32" x14ac:dyDescent="0.2">
      <c r="A85" s="1" t="s">
        <v>738</v>
      </c>
      <c r="J85" s="1" t="s">
        <v>719</v>
      </c>
      <c r="L85" s="38">
        <v>100000</v>
      </c>
      <c r="M85" s="38">
        <f>L85</f>
        <v>100000</v>
      </c>
      <c r="N85" s="38">
        <f>N88</f>
        <v>95000</v>
      </c>
      <c r="O85" s="38">
        <f>O88</f>
        <v>140000</v>
      </c>
      <c r="P85" s="38">
        <f>O85</f>
        <v>140000</v>
      </c>
      <c r="Q85" s="38">
        <f>Q88</f>
        <v>132631.57894736843</v>
      </c>
      <c r="R85" s="38">
        <f>R88</f>
        <v>150000</v>
      </c>
      <c r="S85" s="38">
        <f>R85</f>
        <v>150000</v>
      </c>
      <c r="T85" s="38">
        <f>T88</f>
        <v>141666.66666666666</v>
      </c>
      <c r="U85" s="38">
        <f>U88</f>
        <v>100000</v>
      </c>
      <c r="V85" s="38">
        <f>U85</f>
        <v>100000</v>
      </c>
      <c r="W85" s="38">
        <f>W88</f>
        <v>94117.647058823524</v>
      </c>
      <c r="X85" s="38">
        <f>X88-X87</f>
        <v>73415.892672858608</v>
      </c>
      <c r="Y85" s="38">
        <f>X85</f>
        <v>73415.892672858608</v>
      </c>
      <c r="Z85" s="38">
        <f>Z88-Z87</f>
        <v>68827.399380804942</v>
      </c>
      <c r="AA85" s="38">
        <f>AA88-AA87-AA86</f>
        <v>68827.399380804942</v>
      </c>
      <c r="AB85" s="38">
        <f>AA85</f>
        <v>68827.399380804942</v>
      </c>
      <c r="AC85" s="38">
        <f>AC88-AC87-AC86</f>
        <v>64238.906088751275</v>
      </c>
      <c r="AD85" s="38">
        <f>AD88</f>
        <v>98000</v>
      </c>
      <c r="AE85" s="38">
        <f>AD85</f>
        <v>98000</v>
      </c>
      <c r="AF85" s="38">
        <v>0</v>
      </c>
    </row>
    <row r="86" spans="1:32" x14ac:dyDescent="0.2">
      <c r="A86" s="1" t="s">
        <v>739</v>
      </c>
      <c r="J86" s="1" t="s">
        <v>96</v>
      </c>
      <c r="L86" s="19">
        <v>0</v>
      </c>
      <c r="M86" s="21">
        <f>-M90</f>
        <v>-5000</v>
      </c>
      <c r="N86" s="21">
        <v>0</v>
      </c>
      <c r="O86" s="21">
        <v>0</v>
      </c>
      <c r="P86" s="21">
        <f>-P90</f>
        <v>-7368.4210526315792</v>
      </c>
      <c r="Q86" s="21">
        <v>0</v>
      </c>
      <c r="R86" s="21">
        <v>0</v>
      </c>
      <c r="S86" s="21">
        <f>-S90</f>
        <v>-8333.3333333333339</v>
      </c>
      <c r="T86" s="21">
        <v>0</v>
      </c>
      <c r="U86" s="21">
        <v>0</v>
      </c>
      <c r="V86" s="21">
        <f>-V90</f>
        <v>-5882.3529411764703</v>
      </c>
      <c r="W86" s="21">
        <v>0</v>
      </c>
      <c r="X86" s="21">
        <v>0</v>
      </c>
      <c r="Y86" s="21">
        <f>-Y90+X87/16</f>
        <v>-4588.493292053663</v>
      </c>
      <c r="Z86" s="21">
        <v>0</v>
      </c>
      <c r="AA86" s="21">
        <v>0</v>
      </c>
      <c r="AB86" s="21">
        <f>-AB90+AA87/15</f>
        <v>-4588.493292053663</v>
      </c>
      <c r="AC86" s="21">
        <v>0</v>
      </c>
      <c r="AD86" s="21">
        <v>0</v>
      </c>
      <c r="AE86" s="21">
        <f>-AE90</f>
        <v>-1750</v>
      </c>
      <c r="AF86" s="21">
        <v>0</v>
      </c>
    </row>
    <row r="87" spans="1:32" x14ac:dyDescent="0.2">
      <c r="A87" s="1" t="s">
        <v>740</v>
      </c>
      <c r="J87" s="1" t="s">
        <v>718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f>-X92</f>
        <v>-13415.892672858608</v>
      </c>
      <c r="Y87" s="21">
        <f>X87*15/16</f>
        <v>-12577.399380804945</v>
      </c>
      <c r="Z87" s="21">
        <f>Y87</f>
        <v>-12577.399380804945</v>
      </c>
      <c r="AA87" s="21">
        <f>Z87-AA92</f>
        <v>-28827.399380804945</v>
      </c>
      <c r="AB87" s="21">
        <f>AA87*14/15</f>
        <v>-26905.57275541795</v>
      </c>
      <c r="AC87" s="21">
        <f>AB87</f>
        <v>-26905.57275541795</v>
      </c>
      <c r="AD87" s="21">
        <v>0</v>
      </c>
      <c r="AE87" s="21">
        <v>0</v>
      </c>
      <c r="AF87" s="21">
        <v>0</v>
      </c>
    </row>
    <row r="88" spans="1:32" x14ac:dyDescent="0.2">
      <c r="A88" s="1" t="s">
        <v>741</v>
      </c>
      <c r="J88" s="1" t="s">
        <v>99</v>
      </c>
      <c r="L88" s="39">
        <f>L85</f>
        <v>100000</v>
      </c>
      <c r="M88" s="39">
        <f>M85+M86</f>
        <v>95000</v>
      </c>
      <c r="N88" s="39">
        <f>M88</f>
        <v>95000</v>
      </c>
      <c r="O88" s="39">
        <f>B97</f>
        <v>140000</v>
      </c>
      <c r="P88" s="39">
        <f>P85+P86</f>
        <v>132631.57894736843</v>
      </c>
      <c r="Q88" s="39">
        <f>P88</f>
        <v>132631.57894736843</v>
      </c>
      <c r="R88" s="39">
        <f>B98</f>
        <v>150000</v>
      </c>
      <c r="S88" s="39">
        <f>S85+S86</f>
        <v>141666.66666666666</v>
      </c>
      <c r="T88" s="39">
        <f>S88</f>
        <v>141666.66666666666</v>
      </c>
      <c r="U88" s="39">
        <f>B99</f>
        <v>100000</v>
      </c>
      <c r="V88" s="39">
        <f>V85+V86</f>
        <v>94117.647058823524</v>
      </c>
      <c r="W88" s="39">
        <f>V88</f>
        <v>94117.647058823524</v>
      </c>
      <c r="X88" s="39">
        <f>B100</f>
        <v>60000</v>
      </c>
      <c r="Y88" s="39">
        <f>Y85+Y86+Y87</f>
        <v>56250</v>
      </c>
      <c r="Z88" s="39">
        <f>Y88</f>
        <v>56250</v>
      </c>
      <c r="AA88" s="39">
        <f>B101</f>
        <v>40000</v>
      </c>
      <c r="AB88" s="39">
        <f>AB85+AB86+AB87</f>
        <v>37333.333333333328</v>
      </c>
      <c r="AC88" s="39">
        <f>AB88</f>
        <v>37333.333333333328</v>
      </c>
      <c r="AD88" s="39">
        <f>B102</f>
        <v>98000</v>
      </c>
      <c r="AE88" s="39">
        <f>AE85+AE86</f>
        <v>96250</v>
      </c>
      <c r="AF88" s="39">
        <v>0</v>
      </c>
    </row>
    <row r="89" spans="1:32" x14ac:dyDescent="0.2">
      <c r="A89" s="1" t="s">
        <v>742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spans="1:32" x14ac:dyDescent="0.2">
      <c r="A90" s="1" t="s">
        <v>743</v>
      </c>
      <c r="J90" s="1" t="s">
        <v>100</v>
      </c>
      <c r="L90" s="19"/>
      <c r="M90" s="38">
        <f>L88/20</f>
        <v>5000</v>
      </c>
      <c r="N90" s="38">
        <f>M90</f>
        <v>5000</v>
      </c>
      <c r="O90" s="38">
        <f>N90</f>
        <v>5000</v>
      </c>
      <c r="P90" s="38">
        <f>O88/19</f>
        <v>7368.4210526315792</v>
      </c>
      <c r="Q90" s="38">
        <f>P90</f>
        <v>7368.4210526315792</v>
      </c>
      <c r="R90" s="38">
        <f>Q90</f>
        <v>7368.4210526315792</v>
      </c>
      <c r="S90" s="38">
        <f>R88/18</f>
        <v>8333.3333333333339</v>
      </c>
      <c r="T90" s="38">
        <f>S90</f>
        <v>8333.3333333333339</v>
      </c>
      <c r="U90" s="38">
        <f>T90</f>
        <v>8333.3333333333339</v>
      </c>
      <c r="V90" s="38">
        <f>U88/17</f>
        <v>5882.3529411764703</v>
      </c>
      <c r="W90" s="38">
        <f>V90</f>
        <v>5882.3529411764703</v>
      </c>
      <c r="X90" s="38">
        <f>W90</f>
        <v>5882.3529411764703</v>
      </c>
      <c r="Y90" s="38">
        <f>X88/16</f>
        <v>3750</v>
      </c>
      <c r="Z90" s="38">
        <f>Y90</f>
        <v>3750</v>
      </c>
      <c r="AA90" s="38">
        <f>Z90</f>
        <v>3750</v>
      </c>
      <c r="AB90" s="38">
        <f>AA88/15</f>
        <v>2666.6666666666665</v>
      </c>
      <c r="AC90" s="38">
        <f>AB90</f>
        <v>2666.6666666666665</v>
      </c>
      <c r="AD90" s="38">
        <f>AC90</f>
        <v>2666.6666666666665</v>
      </c>
      <c r="AE90" s="38">
        <f>AD88/14*3/12</f>
        <v>1750</v>
      </c>
      <c r="AF90" s="38">
        <f>AE90</f>
        <v>1750</v>
      </c>
    </row>
    <row r="91" spans="1:32" x14ac:dyDescent="0.2">
      <c r="A91" s="1" t="s">
        <v>744</v>
      </c>
      <c r="J91" s="1" t="s">
        <v>726</v>
      </c>
      <c r="L91" s="19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>
        <f>-AC87</f>
        <v>26905.57275541795</v>
      </c>
      <c r="AE91" s="38"/>
      <c r="AF91" s="38"/>
    </row>
    <row r="92" spans="1:32" x14ac:dyDescent="0.2">
      <c r="A92" s="1" t="s">
        <v>745</v>
      </c>
      <c r="J92" s="1" t="s">
        <v>727</v>
      </c>
      <c r="L92" s="19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>
        <f>W88-X88-X98</f>
        <v>13415.892672858608</v>
      </c>
      <c r="Y92" s="38"/>
      <c r="Z92" s="38"/>
      <c r="AA92" s="38">
        <f>Z88-AA88</f>
        <v>16250</v>
      </c>
      <c r="AB92" s="38"/>
      <c r="AC92" s="38"/>
      <c r="AD92" s="38"/>
      <c r="AE92" s="38"/>
      <c r="AF92" s="38"/>
    </row>
    <row r="93" spans="1:32" x14ac:dyDescent="0.2">
      <c r="L93" s="19"/>
      <c r="M93" s="38"/>
      <c r="N93" s="38"/>
      <c r="O93" s="38"/>
      <c r="P93" s="38"/>
      <c r="Q93" s="38"/>
      <c r="R93" s="38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</row>
    <row r="94" spans="1:32" x14ac:dyDescent="0.2">
      <c r="A94" s="1" t="s">
        <v>746</v>
      </c>
      <c r="J94" s="1" t="s">
        <v>753</v>
      </c>
      <c r="L94" s="19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>
        <f>106000-AE88</f>
        <v>9750</v>
      </c>
    </row>
    <row r="95" spans="1:32" x14ac:dyDescent="0.2">
      <c r="X95" s="19"/>
    </row>
    <row r="96" spans="1:32" x14ac:dyDescent="0.2">
      <c r="A96" s="94" t="s">
        <v>656</v>
      </c>
      <c r="B96" s="94" t="s">
        <v>747</v>
      </c>
      <c r="X96" s="19"/>
    </row>
    <row r="97" spans="1:32" x14ac:dyDescent="0.2">
      <c r="A97" s="35">
        <v>42369</v>
      </c>
      <c r="B97" s="23">
        <v>140000</v>
      </c>
      <c r="J97" s="1" t="s">
        <v>661</v>
      </c>
      <c r="L97" s="19"/>
      <c r="M97" s="38"/>
      <c r="N97" s="38"/>
      <c r="O97" s="38">
        <f>O88-N88</f>
        <v>45000</v>
      </c>
      <c r="P97" s="38"/>
      <c r="Q97" s="38"/>
      <c r="R97" s="38">
        <f>R88-Q88</f>
        <v>17368.421052631573</v>
      </c>
      <c r="S97" s="38"/>
      <c r="T97" s="38"/>
      <c r="U97" s="38"/>
      <c r="V97" s="38"/>
      <c r="W97" s="38"/>
      <c r="X97" s="21"/>
      <c r="Y97" s="38"/>
      <c r="Z97" s="38"/>
      <c r="AA97" s="21"/>
      <c r="AB97" s="38"/>
      <c r="AC97" s="38"/>
      <c r="AD97" s="21">
        <f>AD88-AC88-AD91</f>
        <v>33761.093911248725</v>
      </c>
      <c r="AE97" s="38"/>
      <c r="AF97" s="21"/>
    </row>
    <row r="98" spans="1:32" x14ac:dyDescent="0.2">
      <c r="A98" s="35">
        <v>42735</v>
      </c>
      <c r="B98" s="23">
        <v>150000</v>
      </c>
      <c r="J98" s="1" t="s">
        <v>720</v>
      </c>
      <c r="L98" s="19"/>
      <c r="M98" s="38"/>
      <c r="N98" s="38"/>
      <c r="O98" s="38"/>
      <c r="P98" s="38"/>
      <c r="Q98" s="38"/>
      <c r="R98" s="21"/>
      <c r="S98" s="21"/>
      <c r="T98" s="21"/>
      <c r="U98" s="21">
        <f>T88-U88</f>
        <v>41666.666666666657</v>
      </c>
      <c r="V98" s="21"/>
      <c r="W98" s="21"/>
      <c r="X98" s="38">
        <f>W99</f>
        <v>20701.754385964916</v>
      </c>
      <c r="Y98" s="21"/>
      <c r="Z98" s="21"/>
      <c r="AB98" s="21"/>
      <c r="AC98" s="21"/>
      <c r="AE98" s="21"/>
    </row>
    <row r="99" spans="1:32" x14ac:dyDescent="0.2">
      <c r="A99" s="35">
        <v>43100</v>
      </c>
      <c r="B99" s="23">
        <v>100000</v>
      </c>
      <c r="J99" s="1" t="s">
        <v>721</v>
      </c>
      <c r="L99" s="19"/>
      <c r="M99" s="38"/>
      <c r="N99" s="38"/>
      <c r="O99" s="38">
        <f>O97</f>
        <v>45000</v>
      </c>
      <c r="P99" s="38">
        <f>O99</f>
        <v>45000</v>
      </c>
      <c r="Q99" s="38">
        <f>P99</f>
        <v>45000</v>
      </c>
      <c r="R99" s="38">
        <f>R97+Q99</f>
        <v>62368.421052631573</v>
      </c>
      <c r="S99" s="38">
        <f>R99</f>
        <v>62368.421052631573</v>
      </c>
      <c r="T99" s="38">
        <f>S99</f>
        <v>62368.421052631573</v>
      </c>
      <c r="U99" s="38">
        <f>T99-U98</f>
        <v>20701.754385964916</v>
      </c>
      <c r="V99" s="38">
        <f>U99</f>
        <v>20701.754385964916</v>
      </c>
      <c r="W99" s="38">
        <f>V99</f>
        <v>20701.754385964916</v>
      </c>
      <c r="X99" s="38">
        <v>0</v>
      </c>
      <c r="Y99" s="38"/>
      <c r="Z99" s="38"/>
      <c r="AA99" s="38"/>
      <c r="AB99" s="38"/>
      <c r="AC99" s="38"/>
      <c r="AD99" s="38">
        <f>AD97</f>
        <v>33761.093911248725</v>
      </c>
      <c r="AE99" s="38">
        <f>AD99</f>
        <v>33761.093911248725</v>
      </c>
      <c r="AF99" s="38">
        <v>0</v>
      </c>
    </row>
    <row r="100" spans="1:32" x14ac:dyDescent="0.2">
      <c r="A100" s="35">
        <v>43465</v>
      </c>
      <c r="B100" s="23">
        <v>60000</v>
      </c>
      <c r="L100" s="19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E100" s="38"/>
    </row>
    <row r="101" spans="1:32" x14ac:dyDescent="0.2">
      <c r="A101" s="35">
        <v>43830</v>
      </c>
      <c r="B101" s="23">
        <v>40000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32" x14ac:dyDescent="0.2">
      <c r="A102" s="35">
        <v>44196</v>
      </c>
      <c r="B102" s="23">
        <v>98000</v>
      </c>
    </row>
    <row r="104" spans="1:32" x14ac:dyDescent="0.2">
      <c r="A104" s="1" t="s">
        <v>748</v>
      </c>
    </row>
    <row r="105" spans="1:32" x14ac:dyDescent="0.2">
      <c r="A105" s="1" t="s">
        <v>749</v>
      </c>
    </row>
    <row r="107" spans="1:32" x14ac:dyDescent="0.2">
      <c r="A107" s="1" t="s">
        <v>750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DB5F-F629-C24B-A84A-92583FB80C1C}">
  <dimension ref="A1:P149"/>
  <sheetViews>
    <sheetView rightToLeft="1" tabSelected="1" topLeftCell="A105" zoomScale="160" zoomScaleNormal="160" workbookViewId="0">
      <pane xSplit="2" topLeftCell="C1" activePane="topRight" state="frozen"/>
      <selection activeCell="A65" sqref="A65"/>
      <selection pane="topRight" activeCell="I117" sqref="I117"/>
    </sheetView>
  </sheetViews>
  <sheetFormatPr baseColWidth="10" defaultRowHeight="16" x14ac:dyDescent="0.2"/>
  <sheetData>
    <row r="1" spans="1:8" s="1" customFormat="1" ht="18" x14ac:dyDescent="0.2">
      <c r="A1" s="101" t="s">
        <v>754</v>
      </c>
      <c r="B1" s="101"/>
      <c r="C1" s="101"/>
      <c r="D1" s="101"/>
      <c r="E1" s="101"/>
      <c r="F1" s="101"/>
      <c r="G1" s="101"/>
      <c r="H1" s="101"/>
    </row>
    <row r="2" spans="1:8" s="1" customFormat="1" x14ac:dyDescent="0.2">
      <c r="A2" s="2"/>
      <c r="B2" s="2"/>
      <c r="C2" s="2"/>
      <c r="D2" s="2"/>
      <c r="E2" s="2"/>
      <c r="F2" s="2"/>
      <c r="G2" s="2"/>
      <c r="H2" s="2"/>
    </row>
    <row r="3" spans="1:8" s="1" customFormat="1" x14ac:dyDescent="0.2">
      <c r="A3" s="98" t="s">
        <v>755</v>
      </c>
      <c r="B3" s="98"/>
      <c r="C3" s="98"/>
      <c r="D3" s="98"/>
      <c r="E3" s="98"/>
      <c r="F3" s="98"/>
      <c r="G3" s="98"/>
      <c r="H3" s="98"/>
    </row>
    <row r="4" spans="1:8" s="1" customFormat="1" x14ac:dyDescent="0.2">
      <c r="A4" s="98" t="s">
        <v>756</v>
      </c>
      <c r="B4" s="98"/>
      <c r="C4" s="98"/>
      <c r="D4" s="98"/>
      <c r="E4" s="98"/>
      <c r="F4" s="98"/>
      <c r="G4" s="98"/>
      <c r="H4" s="98"/>
    </row>
    <row r="5" spans="1:8" s="1" customFormat="1" x14ac:dyDescent="0.2">
      <c r="A5" s="98" t="s">
        <v>757</v>
      </c>
      <c r="B5" s="98"/>
      <c r="C5" s="98"/>
      <c r="D5" s="98"/>
      <c r="E5" s="98"/>
      <c r="F5" s="98"/>
      <c r="G5" s="98"/>
      <c r="H5" s="98"/>
    </row>
    <row r="6" spans="1:8" s="1" customFormat="1" x14ac:dyDescent="0.2">
      <c r="A6" s="98" t="s">
        <v>758</v>
      </c>
      <c r="B6" s="98"/>
      <c r="C6" s="98"/>
      <c r="D6" s="98"/>
      <c r="E6" s="98"/>
      <c r="F6" s="98"/>
      <c r="G6" s="98"/>
      <c r="H6" s="98"/>
    </row>
    <row r="7" spans="1:8" s="1" customFormat="1" x14ac:dyDescent="0.2">
      <c r="A7" s="2"/>
      <c r="B7" s="2"/>
      <c r="C7" s="2"/>
      <c r="D7" s="2"/>
      <c r="E7" s="2"/>
      <c r="F7" s="2"/>
      <c r="G7" s="2"/>
      <c r="H7" s="2"/>
    </row>
    <row r="8" spans="1:8" s="1" customFormat="1" x14ac:dyDescent="0.2">
      <c r="A8" s="2" t="s">
        <v>759</v>
      </c>
      <c r="B8" s="2"/>
      <c r="C8" s="2"/>
      <c r="D8" s="2"/>
      <c r="E8" s="2"/>
      <c r="F8" s="2"/>
      <c r="G8" s="2"/>
      <c r="H8" s="2"/>
    </row>
    <row r="9" spans="1:8" s="1" customFormat="1" x14ac:dyDescent="0.2">
      <c r="A9" s="2"/>
      <c r="B9" s="2" t="s">
        <v>760</v>
      </c>
      <c r="C9" s="2"/>
      <c r="D9" s="2"/>
      <c r="E9" s="2"/>
      <c r="F9" s="2"/>
      <c r="G9" s="2"/>
      <c r="H9" s="2"/>
    </row>
    <row r="10" spans="1:8" s="1" customFormat="1" x14ac:dyDescent="0.2">
      <c r="A10" s="2"/>
      <c r="B10" s="2" t="s">
        <v>761</v>
      </c>
      <c r="C10" s="2"/>
      <c r="D10" s="2"/>
      <c r="E10" s="2"/>
      <c r="F10" s="2"/>
      <c r="G10" s="2"/>
      <c r="H10" s="2"/>
    </row>
    <row r="11" spans="1:8" s="1" customFormat="1" x14ac:dyDescent="0.2">
      <c r="A11" s="2"/>
      <c r="B11" s="2"/>
      <c r="C11" s="2"/>
      <c r="D11" s="2"/>
      <c r="E11" s="2"/>
      <c r="F11" s="2"/>
      <c r="G11" s="2"/>
      <c r="H11" s="2"/>
    </row>
    <row r="12" spans="1:8" s="1" customFormat="1" x14ac:dyDescent="0.2">
      <c r="A12" s="2" t="s">
        <v>762</v>
      </c>
      <c r="B12" s="2"/>
      <c r="C12" s="2"/>
      <c r="D12" s="2"/>
      <c r="E12" s="2"/>
      <c r="F12" s="2"/>
      <c r="G12" s="2"/>
      <c r="H12" s="2"/>
    </row>
    <row r="13" spans="1:8" s="1" customFormat="1" x14ac:dyDescent="0.2">
      <c r="A13" s="2"/>
      <c r="B13" s="1" t="s">
        <v>763</v>
      </c>
      <c r="C13" s="2"/>
      <c r="D13" s="2"/>
      <c r="E13" s="2"/>
      <c r="F13" s="2"/>
      <c r="G13" s="2"/>
      <c r="H13" s="2"/>
    </row>
    <row r="14" spans="1:8" s="1" customFormat="1" x14ac:dyDescent="0.2">
      <c r="A14" s="2"/>
      <c r="B14" s="1" t="s">
        <v>764</v>
      </c>
      <c r="C14" s="2"/>
      <c r="D14" s="2"/>
      <c r="E14" s="2"/>
      <c r="F14" s="2"/>
      <c r="G14" s="2"/>
      <c r="H14" s="2"/>
    </row>
    <row r="15" spans="1:8" s="1" customFormat="1" x14ac:dyDescent="0.2">
      <c r="A15" s="2"/>
      <c r="B15" s="1" t="s">
        <v>765</v>
      </c>
      <c r="C15" s="2"/>
      <c r="D15" s="2"/>
      <c r="E15" s="2"/>
      <c r="F15" s="2"/>
      <c r="G15" s="2"/>
      <c r="H15" s="2"/>
    </row>
    <row r="16" spans="1:8" s="1" customFormat="1" x14ac:dyDescent="0.2">
      <c r="A16" s="2"/>
      <c r="B16" s="2"/>
      <c r="C16" s="2"/>
      <c r="D16" s="2"/>
      <c r="E16" s="2"/>
      <c r="F16" s="2"/>
      <c r="G16" s="2"/>
      <c r="H16" s="2"/>
    </row>
    <row r="17" spans="1:8" s="1" customFormat="1" x14ac:dyDescent="0.2">
      <c r="A17" s="2"/>
      <c r="B17" s="1" t="s">
        <v>766</v>
      </c>
      <c r="C17" s="2"/>
      <c r="D17" s="2"/>
      <c r="E17" s="2"/>
      <c r="F17" s="2"/>
      <c r="G17" s="2"/>
      <c r="H17" s="2"/>
    </row>
    <row r="18" spans="1:8" s="1" customFormat="1" x14ac:dyDescent="0.2">
      <c r="A18" s="2"/>
      <c r="B18" s="1" t="s">
        <v>767</v>
      </c>
      <c r="C18" s="2"/>
      <c r="D18" s="2"/>
      <c r="E18" s="2"/>
      <c r="F18" s="2"/>
      <c r="G18" s="2"/>
      <c r="H18" s="2"/>
    </row>
    <row r="19" spans="1:8" s="1" customFormat="1" x14ac:dyDescent="0.2">
      <c r="A19" s="2"/>
      <c r="B19" s="1" t="s">
        <v>768</v>
      </c>
      <c r="C19" s="2"/>
      <c r="D19" s="2"/>
      <c r="E19" s="2"/>
      <c r="F19" s="2"/>
      <c r="G19" s="2"/>
      <c r="H19" s="2"/>
    </row>
    <row r="20" spans="1:8" s="1" customFormat="1" x14ac:dyDescent="0.2">
      <c r="A20" s="2"/>
      <c r="B20" s="2"/>
      <c r="C20" s="2"/>
      <c r="D20" s="2"/>
      <c r="E20" s="2"/>
      <c r="F20" s="2"/>
      <c r="G20" s="2"/>
      <c r="H20" s="2"/>
    </row>
    <row r="21" spans="1:8" s="1" customFormat="1" x14ac:dyDescent="0.2">
      <c r="A21" s="2"/>
      <c r="B21" s="2" t="s">
        <v>769</v>
      </c>
      <c r="C21" s="2"/>
      <c r="D21" s="2"/>
      <c r="E21" s="2"/>
      <c r="F21" s="2"/>
      <c r="G21" s="2"/>
      <c r="H21" s="2"/>
    </row>
    <row r="22" spans="1:8" s="1" customFormat="1" x14ac:dyDescent="0.2">
      <c r="A22" s="2"/>
      <c r="B22" s="2" t="s">
        <v>770</v>
      </c>
      <c r="C22" s="2"/>
      <c r="D22" s="2"/>
      <c r="E22" s="2"/>
      <c r="F22" s="2"/>
      <c r="G22" s="2"/>
      <c r="H22" s="2"/>
    </row>
    <row r="23" spans="1:8" s="1" customFormat="1" x14ac:dyDescent="0.2">
      <c r="A23" s="2"/>
      <c r="B23" s="2"/>
      <c r="C23" s="2"/>
      <c r="D23" s="2"/>
      <c r="E23" s="2"/>
      <c r="F23" s="2"/>
      <c r="G23" s="2"/>
      <c r="H23" s="2"/>
    </row>
    <row r="24" spans="1:8" s="1" customFormat="1" x14ac:dyDescent="0.2">
      <c r="A24" s="2"/>
      <c r="B24" s="2" t="s">
        <v>771</v>
      </c>
      <c r="C24" s="2" t="s">
        <v>100</v>
      </c>
      <c r="D24" s="2"/>
      <c r="E24" s="102">
        <v>500000</v>
      </c>
      <c r="F24" s="2"/>
      <c r="G24" s="2" t="s">
        <v>772</v>
      </c>
      <c r="H24" s="2"/>
    </row>
    <row r="25" spans="1:8" s="1" customFormat="1" x14ac:dyDescent="0.2">
      <c r="A25" s="2"/>
      <c r="B25" s="2" t="s">
        <v>773</v>
      </c>
      <c r="C25" s="2" t="s">
        <v>100</v>
      </c>
      <c r="D25" s="2"/>
      <c r="E25" s="102">
        <f>14000000/19</f>
        <v>736842.10526315786</v>
      </c>
      <c r="F25" s="2"/>
      <c r="G25" s="2" t="s">
        <v>774</v>
      </c>
      <c r="H25" s="2"/>
    </row>
    <row r="26" spans="1:8" s="1" customFormat="1" x14ac:dyDescent="0.2">
      <c r="A26" s="2"/>
      <c r="B26" s="2" t="s">
        <v>775</v>
      </c>
      <c r="C26" s="2" t="s">
        <v>100</v>
      </c>
      <c r="D26" s="2"/>
      <c r="E26" s="102">
        <f>1000000</f>
        <v>1000000</v>
      </c>
      <c r="F26" s="2"/>
      <c r="G26" s="2" t="s">
        <v>776</v>
      </c>
      <c r="H26" s="2"/>
    </row>
    <row r="27" spans="1:8" s="1" customFormat="1" x14ac:dyDescent="0.2">
      <c r="A27" s="2"/>
      <c r="B27" s="2"/>
      <c r="C27" s="2"/>
      <c r="D27" s="2"/>
      <c r="E27" s="2"/>
      <c r="F27" s="2"/>
      <c r="G27" s="2"/>
      <c r="H27" s="2"/>
    </row>
    <row r="28" spans="1:8" s="1" customFormat="1" x14ac:dyDescent="0.2">
      <c r="A28" s="2"/>
      <c r="B28" s="2" t="s">
        <v>777</v>
      </c>
      <c r="C28" s="2"/>
      <c r="D28" s="2"/>
      <c r="E28" s="2"/>
      <c r="F28" s="2"/>
      <c r="G28" s="2"/>
      <c r="H28" s="2"/>
    </row>
    <row r="29" spans="1:8" s="1" customFormat="1" x14ac:dyDescent="0.2">
      <c r="A29" s="2"/>
      <c r="B29" s="2" t="s">
        <v>778</v>
      </c>
      <c r="C29" s="2"/>
      <c r="D29" s="2"/>
      <c r="E29" s="2"/>
      <c r="F29" s="2"/>
      <c r="G29" s="2"/>
      <c r="H29" s="2"/>
    </row>
    <row r="30" spans="1:8" s="1" customFormat="1" x14ac:dyDescent="0.2">
      <c r="A30" s="2"/>
      <c r="B30" s="2"/>
      <c r="C30" s="2"/>
      <c r="D30" s="2"/>
      <c r="E30" s="2"/>
      <c r="F30" s="2"/>
      <c r="G30" s="2"/>
      <c r="H30" s="2"/>
    </row>
    <row r="31" spans="1:8" s="1" customFormat="1" x14ac:dyDescent="0.2">
      <c r="A31" s="2"/>
      <c r="B31" s="2" t="s">
        <v>779</v>
      </c>
      <c r="C31" s="2"/>
      <c r="D31" s="2"/>
      <c r="E31" s="2"/>
      <c r="F31" s="2"/>
      <c r="G31" s="2"/>
      <c r="H31" s="2"/>
    </row>
    <row r="32" spans="1:8" s="1" customFormat="1" x14ac:dyDescent="0.2">
      <c r="A32" s="2"/>
      <c r="B32" s="2" t="s">
        <v>780</v>
      </c>
      <c r="C32" s="2"/>
      <c r="D32" s="2"/>
      <c r="E32" s="2"/>
      <c r="F32" s="2"/>
      <c r="G32" s="2"/>
      <c r="H32" s="2"/>
    </row>
    <row r="33" spans="1:8" s="1" customFormat="1" x14ac:dyDescent="0.2">
      <c r="A33" s="2"/>
      <c r="B33" s="2"/>
      <c r="C33" s="2"/>
      <c r="D33" s="2"/>
      <c r="E33" s="2"/>
      <c r="F33" s="2"/>
      <c r="G33" s="2"/>
      <c r="H33" s="2"/>
    </row>
    <row r="34" spans="1:8" s="1" customFormat="1" x14ac:dyDescent="0.2">
      <c r="A34" s="70" t="s">
        <v>781</v>
      </c>
      <c r="B34" s="70"/>
      <c r="C34" s="70"/>
      <c r="D34" s="70"/>
      <c r="E34" s="70"/>
      <c r="F34" s="70"/>
      <c r="G34" s="70"/>
      <c r="H34" s="70"/>
    </row>
    <row r="35" spans="1:8" s="1" customFormat="1" x14ac:dyDescent="0.2">
      <c r="A35" s="2"/>
      <c r="B35" s="2"/>
      <c r="C35" s="2"/>
      <c r="D35" s="2"/>
      <c r="E35" s="2"/>
      <c r="F35" s="2"/>
      <c r="G35" s="2"/>
      <c r="H35" s="2"/>
    </row>
    <row r="36" spans="1:8" s="1" customFormat="1" x14ac:dyDescent="0.2">
      <c r="A36" s="1" t="s">
        <v>782</v>
      </c>
    </row>
    <row r="37" spans="1:8" s="1" customFormat="1" x14ac:dyDescent="0.2">
      <c r="B37" s="1" t="s">
        <v>783</v>
      </c>
    </row>
    <row r="38" spans="1:8" s="1" customFormat="1" x14ac:dyDescent="0.2">
      <c r="B38" s="1" t="s">
        <v>784</v>
      </c>
    </row>
    <row r="39" spans="1:8" s="1" customFormat="1" x14ac:dyDescent="0.2">
      <c r="B39" s="1" t="s">
        <v>785</v>
      </c>
    </row>
    <row r="40" spans="1:8" s="1" customFormat="1" x14ac:dyDescent="0.2">
      <c r="B40" s="1" t="s">
        <v>786</v>
      </c>
    </row>
    <row r="41" spans="1:8" s="1" customFormat="1" x14ac:dyDescent="0.2"/>
    <row r="42" spans="1:8" s="1" customFormat="1" x14ac:dyDescent="0.2">
      <c r="A42" s="2" t="s">
        <v>787</v>
      </c>
    </row>
    <row r="43" spans="1:8" s="1" customFormat="1" x14ac:dyDescent="0.2">
      <c r="A43" s="1" t="s">
        <v>788</v>
      </c>
      <c r="B43"/>
    </row>
    <row r="44" spans="1:8" s="1" customFormat="1" x14ac:dyDescent="0.2">
      <c r="A44" s="1" t="s">
        <v>789</v>
      </c>
    </row>
    <row r="45" spans="1:8" s="1" customFormat="1" x14ac:dyDescent="0.2">
      <c r="A45" s="1" t="s">
        <v>790</v>
      </c>
    </row>
    <row r="46" spans="1:8" s="1" customFormat="1" x14ac:dyDescent="0.2">
      <c r="A46" s="1" t="s">
        <v>791</v>
      </c>
    </row>
    <row r="47" spans="1:8" s="1" customFormat="1" x14ac:dyDescent="0.2">
      <c r="A47" s="1" t="s">
        <v>792</v>
      </c>
    </row>
    <row r="48" spans="1:8" s="1" customFormat="1" x14ac:dyDescent="0.2">
      <c r="A48" s="1" t="s">
        <v>793</v>
      </c>
    </row>
    <row r="49" spans="1:9" s="1" customFormat="1" x14ac:dyDescent="0.2">
      <c r="A49" s="1" t="s">
        <v>794</v>
      </c>
    </row>
    <row r="50" spans="1:9" s="1" customFormat="1" x14ac:dyDescent="0.2">
      <c r="A50" s="104" t="s">
        <v>795</v>
      </c>
    </row>
    <row r="51" spans="1:9" s="1" customFormat="1" x14ac:dyDescent="0.2">
      <c r="A51" s="1" t="s">
        <v>796</v>
      </c>
    </row>
    <row r="52" spans="1:9" s="1" customFormat="1" x14ac:dyDescent="0.2">
      <c r="A52" s="1" t="s">
        <v>797</v>
      </c>
    </row>
    <row r="53" spans="1:9" s="1" customFormat="1" x14ac:dyDescent="0.2"/>
    <row r="54" spans="1:9" s="1" customFormat="1" x14ac:dyDescent="0.2">
      <c r="A54" s="94" t="s">
        <v>656</v>
      </c>
      <c r="B54" s="94" t="s">
        <v>798</v>
      </c>
      <c r="D54" s="19" t="s">
        <v>152</v>
      </c>
      <c r="E54" s="1" t="s">
        <v>799</v>
      </c>
    </row>
    <row r="55" spans="1:9" s="1" customFormat="1" x14ac:dyDescent="0.2">
      <c r="A55" s="35">
        <v>43465</v>
      </c>
      <c r="B55" s="23">
        <v>70000</v>
      </c>
      <c r="E55" s="1" t="s">
        <v>800</v>
      </c>
    </row>
    <row r="56" spans="1:9" s="1" customFormat="1" x14ac:dyDescent="0.2">
      <c r="A56" s="35">
        <v>44196</v>
      </c>
      <c r="B56" s="23">
        <v>30000</v>
      </c>
      <c r="E56" s="1" t="s">
        <v>801</v>
      </c>
    </row>
    <row r="57" spans="1:9" s="1" customFormat="1" x14ac:dyDescent="0.2">
      <c r="A57" s="35">
        <v>44926</v>
      </c>
      <c r="B57" s="23">
        <v>80000</v>
      </c>
      <c r="E57" s="1" t="s">
        <v>802</v>
      </c>
    </row>
    <row r="58" spans="1:9" s="1" customFormat="1" x14ac:dyDescent="0.2">
      <c r="A58" s="35">
        <v>45657</v>
      </c>
      <c r="B58" s="23">
        <v>35000</v>
      </c>
    </row>
    <row r="59" spans="1:9" s="1" customFormat="1" x14ac:dyDescent="0.2"/>
    <row r="60" spans="1:9" s="1" customFormat="1" x14ac:dyDescent="0.2">
      <c r="A60" s="1" t="s">
        <v>803</v>
      </c>
    </row>
    <row r="61" spans="1:9" s="1" customFormat="1" x14ac:dyDescent="0.2"/>
    <row r="62" spans="1:9" s="1" customFormat="1" x14ac:dyDescent="0.2">
      <c r="A62" s="2" t="s">
        <v>829</v>
      </c>
    </row>
    <row r="63" spans="1:9" s="1" customFormat="1" x14ac:dyDescent="0.2"/>
    <row r="64" spans="1:9" s="1" customFormat="1" x14ac:dyDescent="0.2">
      <c r="A64" s="1" t="s">
        <v>712</v>
      </c>
      <c r="B64" s="23">
        <v>50000</v>
      </c>
      <c r="C64" s="1" t="s">
        <v>830</v>
      </c>
      <c r="D64" s="1" t="s">
        <v>831</v>
      </c>
      <c r="E64" s="1" t="s">
        <v>832</v>
      </c>
      <c r="F64" s="1">
        <v>20</v>
      </c>
      <c r="G64" s="1" t="s">
        <v>833</v>
      </c>
      <c r="H64" s="1" t="s">
        <v>834</v>
      </c>
      <c r="I64" s="1" t="s">
        <v>835</v>
      </c>
    </row>
    <row r="65" spans="1:16" s="1" customFormat="1" x14ac:dyDescent="0.2">
      <c r="L65" s="23"/>
      <c r="M65" s="23"/>
    </row>
    <row r="66" spans="1:16" s="1" customFormat="1" x14ac:dyDescent="0.2">
      <c r="C66" s="108"/>
      <c r="D66" s="111" t="s">
        <v>658</v>
      </c>
      <c r="E66" s="108" t="s">
        <v>804</v>
      </c>
      <c r="F66" s="108"/>
      <c r="G66" s="47" t="s">
        <v>658</v>
      </c>
      <c r="H66" s="108" t="s">
        <v>804</v>
      </c>
      <c r="I66" s="111" t="s">
        <v>805</v>
      </c>
      <c r="J66" s="47" t="s">
        <v>658</v>
      </c>
      <c r="K66" s="107" t="s">
        <v>804</v>
      </c>
      <c r="L66" s="111" t="s">
        <v>805</v>
      </c>
      <c r="M66" s="111" t="s">
        <v>658</v>
      </c>
      <c r="N66" s="108" t="s">
        <v>804</v>
      </c>
      <c r="O66" s="111" t="s">
        <v>299</v>
      </c>
      <c r="P66" s="108" t="s">
        <v>806</v>
      </c>
    </row>
    <row r="67" spans="1:16" s="1" customFormat="1" x14ac:dyDescent="0.2">
      <c r="C67" s="109">
        <v>43100</v>
      </c>
      <c r="D67" s="112">
        <v>43465</v>
      </c>
      <c r="E67" s="109">
        <v>43465</v>
      </c>
      <c r="F67" s="109">
        <v>43830</v>
      </c>
      <c r="G67" s="48">
        <v>44196</v>
      </c>
      <c r="H67" s="109">
        <v>44196</v>
      </c>
      <c r="I67" s="112">
        <v>44561</v>
      </c>
      <c r="J67" s="112">
        <v>44926</v>
      </c>
      <c r="K67" s="109">
        <v>44926</v>
      </c>
      <c r="L67" s="112">
        <v>45291</v>
      </c>
      <c r="M67" s="112">
        <v>45657</v>
      </c>
      <c r="N67" s="109">
        <v>45657</v>
      </c>
      <c r="O67" s="112">
        <v>45809</v>
      </c>
      <c r="P67" s="109">
        <v>46022</v>
      </c>
    </row>
    <row r="68" spans="1:16" s="1" customFormat="1" x14ac:dyDescent="0.2">
      <c r="A68" s="1" t="s">
        <v>807</v>
      </c>
      <c r="C68" s="110">
        <v>50000</v>
      </c>
      <c r="D68" s="110">
        <f>C68</f>
        <v>50000</v>
      </c>
      <c r="E68" s="110">
        <f>E71</f>
        <v>70000</v>
      </c>
      <c r="F68" s="110">
        <f>E68</f>
        <v>70000</v>
      </c>
      <c r="G68" s="110">
        <f>F68</f>
        <v>70000</v>
      </c>
      <c r="H68" s="110">
        <f>H71+H70</f>
        <v>40000</v>
      </c>
      <c r="I68" s="110">
        <f>H68</f>
        <v>40000</v>
      </c>
      <c r="J68" s="110">
        <f>I68</f>
        <v>40000</v>
      </c>
      <c r="K68" s="110">
        <f>K71</f>
        <v>80000</v>
      </c>
      <c r="L68" s="110">
        <f>K68</f>
        <v>80000</v>
      </c>
      <c r="M68" s="110">
        <f>L68</f>
        <v>80000</v>
      </c>
      <c r="N68" s="110">
        <f>N71</f>
        <v>35000</v>
      </c>
      <c r="O68" s="110">
        <f>N68</f>
        <v>35000</v>
      </c>
      <c r="P68" s="111">
        <v>0</v>
      </c>
    </row>
    <row r="69" spans="1:16" s="1" customFormat="1" x14ac:dyDescent="0.2">
      <c r="A69" s="1" t="s">
        <v>96</v>
      </c>
      <c r="C69" s="110">
        <f>C73</f>
        <v>2500</v>
      </c>
      <c r="D69" s="110">
        <f>C69+D73</f>
        <v>5000</v>
      </c>
      <c r="E69" s="111">
        <v>0</v>
      </c>
      <c r="F69" s="110">
        <f>F73</f>
        <v>3888.8888888888887</v>
      </c>
      <c r="G69" s="110">
        <f>F69+G73</f>
        <v>7777.7777777777774</v>
      </c>
      <c r="H69" s="111">
        <v>0</v>
      </c>
      <c r="I69" s="110">
        <f>I73+H70/16</f>
        <v>2500</v>
      </c>
      <c r="J69" s="110">
        <f>I69+J73+H70/16</f>
        <v>5000</v>
      </c>
      <c r="K69" s="111">
        <v>0</v>
      </c>
      <c r="L69" s="110">
        <f>L73</f>
        <v>5714.2857142857147</v>
      </c>
      <c r="M69" s="110">
        <f>L69+M73</f>
        <v>11428.571428571429</v>
      </c>
      <c r="N69" s="111">
        <v>0</v>
      </c>
      <c r="O69" s="110">
        <f>O73</f>
        <v>1215.2777777777778</v>
      </c>
      <c r="P69" s="111">
        <v>0</v>
      </c>
    </row>
    <row r="70" spans="1:16" s="1" customFormat="1" x14ac:dyDescent="0.2">
      <c r="A70" s="1" t="s">
        <v>201</v>
      </c>
      <c r="C70" s="111"/>
      <c r="D70" s="106"/>
      <c r="E70" s="106"/>
      <c r="F70" s="111"/>
      <c r="G70" s="106"/>
      <c r="H70" s="110">
        <f>H75</f>
        <v>10000</v>
      </c>
      <c r="I70" s="110">
        <f>H70*15/16</f>
        <v>9375</v>
      </c>
      <c r="J70" s="110">
        <f>I70-H70/16</f>
        <v>8750</v>
      </c>
      <c r="K70" s="111">
        <v>0</v>
      </c>
      <c r="L70" s="47"/>
      <c r="M70" s="47"/>
      <c r="N70" s="105"/>
      <c r="O70" s="47"/>
      <c r="P70" s="111">
        <v>0</v>
      </c>
    </row>
    <row r="71" spans="1:16" s="1" customFormat="1" x14ac:dyDescent="0.2">
      <c r="A71" s="1" t="s">
        <v>99</v>
      </c>
      <c r="C71" s="110">
        <f>C68-C69</f>
        <v>47500</v>
      </c>
      <c r="D71" s="110">
        <f>D68-D69</f>
        <v>45000</v>
      </c>
      <c r="E71" s="110">
        <f>B55</f>
        <v>70000</v>
      </c>
      <c r="F71" s="110">
        <f>F68-F69</f>
        <v>66111.111111111109</v>
      </c>
      <c r="G71" s="110">
        <f>G68-G69</f>
        <v>62222.222222222219</v>
      </c>
      <c r="H71" s="110">
        <f>B56</f>
        <v>30000</v>
      </c>
      <c r="I71" s="110">
        <f>I68-I69-I70</f>
        <v>28125</v>
      </c>
      <c r="J71" s="110">
        <f>J68-J69-J70</f>
        <v>26250</v>
      </c>
      <c r="K71" s="110">
        <f>B57</f>
        <v>80000</v>
      </c>
      <c r="L71" s="110">
        <f>L68-L69</f>
        <v>74285.71428571429</v>
      </c>
      <c r="M71" s="110">
        <f>M68-M69</f>
        <v>68571.428571428565</v>
      </c>
      <c r="N71" s="110">
        <v>35000</v>
      </c>
      <c r="O71" s="110">
        <f>O68-O69</f>
        <v>33784.722222222219</v>
      </c>
      <c r="P71" s="111">
        <v>0</v>
      </c>
    </row>
    <row r="72" spans="1:16" s="1" customFormat="1" x14ac:dyDescent="0.2">
      <c r="C72" s="106"/>
      <c r="D72" s="106"/>
      <c r="E72" s="106"/>
      <c r="F72" s="106"/>
      <c r="G72" s="106"/>
      <c r="H72" s="106"/>
      <c r="I72" s="105"/>
      <c r="J72" s="105"/>
      <c r="K72" s="105"/>
      <c r="L72" s="105"/>
      <c r="M72" s="105"/>
      <c r="N72" s="105"/>
      <c r="O72" s="105"/>
      <c r="P72" s="105"/>
    </row>
    <row r="73" spans="1:16" s="1" customFormat="1" x14ac:dyDescent="0.2">
      <c r="A73" s="1" t="s">
        <v>808</v>
      </c>
      <c r="C73" s="110">
        <f>C68/20</f>
        <v>2500</v>
      </c>
      <c r="D73" s="110">
        <f>C73</f>
        <v>2500</v>
      </c>
      <c r="E73" s="110">
        <f>D73</f>
        <v>2500</v>
      </c>
      <c r="F73" s="110">
        <f>E71/18</f>
        <v>3888.8888888888887</v>
      </c>
      <c r="G73" s="110">
        <f>F73</f>
        <v>3888.8888888888887</v>
      </c>
      <c r="H73" s="110">
        <f>G73</f>
        <v>3888.8888888888887</v>
      </c>
      <c r="I73" s="110">
        <f>H71/16</f>
        <v>1875</v>
      </c>
      <c r="J73" s="110">
        <f>I73</f>
        <v>1875</v>
      </c>
      <c r="K73" s="110">
        <f>J73</f>
        <v>1875</v>
      </c>
      <c r="L73" s="110">
        <f>K71/14</f>
        <v>5714.2857142857147</v>
      </c>
      <c r="M73" s="110">
        <f>L73</f>
        <v>5714.2857142857147</v>
      </c>
      <c r="N73" s="110">
        <f>M73</f>
        <v>5714.2857142857147</v>
      </c>
      <c r="O73" s="110">
        <f>N71/12*(5/12)</f>
        <v>1215.2777777777778</v>
      </c>
      <c r="P73" s="110">
        <f>O73</f>
        <v>1215.2777777777778</v>
      </c>
    </row>
    <row r="74" spans="1:16" s="1" customFormat="1" x14ac:dyDescent="0.2">
      <c r="C74" s="106"/>
      <c r="D74" s="106"/>
      <c r="E74" s="106"/>
      <c r="F74" s="111"/>
      <c r="G74" s="106"/>
      <c r="H74" s="106"/>
      <c r="I74" s="105"/>
      <c r="J74" s="105"/>
      <c r="K74" s="105"/>
      <c r="L74" s="105"/>
      <c r="M74" s="105"/>
      <c r="N74" s="105"/>
      <c r="O74" s="47"/>
      <c r="P74" s="105"/>
    </row>
    <row r="75" spans="1:16" s="1" customFormat="1" x14ac:dyDescent="0.2">
      <c r="A75" s="1" t="s">
        <v>136</v>
      </c>
      <c r="C75" s="106"/>
      <c r="D75" s="106"/>
      <c r="E75" s="106"/>
      <c r="F75" s="111"/>
      <c r="G75" s="106"/>
      <c r="H75" s="110">
        <f>G71-H71-H79</f>
        <v>10000</v>
      </c>
      <c r="I75" s="47"/>
      <c r="J75" s="47"/>
      <c r="K75" s="105"/>
      <c r="L75" s="105"/>
      <c r="M75" s="105"/>
      <c r="N75" s="105"/>
      <c r="O75" s="47"/>
      <c r="P75" s="47"/>
    </row>
    <row r="76" spans="1:16" s="1" customFormat="1" x14ac:dyDescent="0.2">
      <c r="A76" s="1" t="s">
        <v>809</v>
      </c>
      <c r="C76" s="106"/>
      <c r="D76" s="106"/>
      <c r="E76" s="106"/>
      <c r="F76" s="111"/>
      <c r="G76" s="106"/>
      <c r="H76" s="106"/>
      <c r="I76" s="105"/>
      <c r="J76" s="47"/>
      <c r="K76" s="110">
        <f>J70</f>
        <v>8750</v>
      </c>
      <c r="L76" s="105"/>
      <c r="M76" s="105"/>
      <c r="N76" s="105"/>
      <c r="O76" s="47"/>
      <c r="P76" s="47"/>
    </row>
    <row r="77" spans="1:16" s="1" customFormat="1" x14ac:dyDescent="0.2">
      <c r="C77" s="106"/>
      <c r="D77" s="106"/>
      <c r="E77" s="106"/>
      <c r="F77" s="111"/>
      <c r="G77" s="106"/>
      <c r="H77" s="106"/>
      <c r="I77" s="47"/>
      <c r="J77" s="47"/>
      <c r="K77" s="105"/>
      <c r="L77" s="105"/>
      <c r="M77" s="105"/>
      <c r="N77" s="105"/>
      <c r="O77" s="47"/>
      <c r="P77" s="47"/>
    </row>
    <row r="78" spans="1:16" s="1" customFormat="1" x14ac:dyDescent="0.2">
      <c r="A78" s="1" t="s">
        <v>661</v>
      </c>
      <c r="C78" s="106"/>
      <c r="D78" s="106"/>
      <c r="E78" s="110">
        <f>E71-D71</f>
        <v>25000</v>
      </c>
      <c r="F78" s="111"/>
      <c r="G78" s="106"/>
      <c r="H78" s="106"/>
      <c r="I78" s="47"/>
      <c r="J78" s="47"/>
      <c r="K78" s="110">
        <f>K71-J71-K76</f>
        <v>45000</v>
      </c>
      <c r="L78" s="105"/>
      <c r="M78" s="105"/>
      <c r="N78" s="105"/>
      <c r="O78" s="47"/>
      <c r="P78" s="47"/>
    </row>
    <row r="79" spans="1:16" s="1" customFormat="1" x14ac:dyDescent="0.2">
      <c r="A79" s="1" t="s">
        <v>720</v>
      </c>
      <c r="C79" s="106"/>
      <c r="D79" s="106"/>
      <c r="E79" s="106"/>
      <c r="F79" s="111"/>
      <c r="G79" s="106"/>
      <c r="H79" s="110">
        <f>G81</f>
        <v>22222.222222222219</v>
      </c>
      <c r="I79" s="47"/>
      <c r="J79" s="47"/>
      <c r="K79" s="47"/>
      <c r="L79" s="105"/>
      <c r="M79" s="105"/>
      <c r="N79" s="110">
        <f>M71-N71</f>
        <v>33571.428571428565</v>
      </c>
      <c r="O79" s="47"/>
      <c r="P79" s="47"/>
    </row>
    <row r="80" spans="1:16" s="1" customFormat="1" x14ac:dyDescent="0.2">
      <c r="C80" s="106"/>
      <c r="D80" s="106"/>
      <c r="E80" s="106"/>
      <c r="F80" s="111"/>
      <c r="G80" s="106"/>
      <c r="H80" s="106"/>
      <c r="I80" s="47"/>
      <c r="J80" s="47"/>
      <c r="K80" s="47"/>
      <c r="L80" s="105"/>
      <c r="M80" s="105"/>
      <c r="N80" s="105"/>
      <c r="O80" s="47"/>
      <c r="P80" s="105"/>
    </row>
    <row r="81" spans="1:16" s="1" customFormat="1" x14ac:dyDescent="0.2">
      <c r="A81" s="1" t="s">
        <v>721</v>
      </c>
      <c r="C81" s="106"/>
      <c r="D81" s="106"/>
      <c r="E81" s="110">
        <f>E78</f>
        <v>25000</v>
      </c>
      <c r="F81" s="110">
        <f>E81-F83</f>
        <v>23611.111111111109</v>
      </c>
      <c r="G81" s="110">
        <f>F81-G83</f>
        <v>22222.222222222219</v>
      </c>
      <c r="H81" s="111">
        <v>0</v>
      </c>
      <c r="I81" s="47"/>
      <c r="J81" s="47"/>
      <c r="K81" s="110">
        <f>K78</f>
        <v>45000</v>
      </c>
      <c r="L81" s="110">
        <f>K81-L83</f>
        <v>41785.714285714283</v>
      </c>
      <c r="M81" s="110">
        <f>L81-M83</f>
        <v>38571.428571428565</v>
      </c>
      <c r="N81" s="110">
        <f>M81-N79</f>
        <v>5000</v>
      </c>
      <c r="O81" s="110">
        <f>N81-O83</f>
        <v>4826.3888888888887</v>
      </c>
      <c r="P81" s="111">
        <v>0</v>
      </c>
    </row>
    <row r="82" spans="1:16" s="1" customFormat="1" x14ac:dyDescent="0.2">
      <c r="C82" s="106"/>
      <c r="D82" s="106"/>
      <c r="E82" s="106"/>
      <c r="F82" s="106"/>
      <c r="G82" s="106"/>
      <c r="H82" s="106"/>
      <c r="I82" s="47"/>
      <c r="J82" s="47"/>
      <c r="K82" s="105"/>
      <c r="L82" s="47"/>
      <c r="M82" s="47"/>
      <c r="N82" s="105"/>
      <c r="O82" s="105"/>
      <c r="P82" s="105"/>
    </row>
    <row r="83" spans="1:16" s="1" customFormat="1" x14ac:dyDescent="0.2">
      <c r="A83" s="1" t="s">
        <v>810</v>
      </c>
      <c r="C83" s="106"/>
      <c r="D83" s="106"/>
      <c r="E83" s="106"/>
      <c r="F83" s="110">
        <f>E81/18</f>
        <v>1388.8888888888889</v>
      </c>
      <c r="G83" s="110">
        <f>F83</f>
        <v>1388.8888888888889</v>
      </c>
      <c r="H83" s="110">
        <f>G83</f>
        <v>1388.8888888888889</v>
      </c>
      <c r="I83" s="47"/>
      <c r="J83" s="47"/>
      <c r="K83" s="105"/>
      <c r="L83" s="110">
        <f>K81/14</f>
        <v>3214.2857142857142</v>
      </c>
      <c r="M83" s="110">
        <f>L83</f>
        <v>3214.2857142857142</v>
      </c>
      <c r="N83" s="110">
        <f>M83</f>
        <v>3214.2857142857142</v>
      </c>
      <c r="O83" s="110">
        <f>N81/12*(5/12)</f>
        <v>173.61111111111111</v>
      </c>
      <c r="P83" s="110">
        <f>O83+O81</f>
        <v>5000</v>
      </c>
    </row>
    <row r="84" spans="1:16" s="1" customFormat="1" x14ac:dyDescent="0.2">
      <c r="C84" s="105"/>
      <c r="D84" s="105"/>
      <c r="E84" s="105"/>
      <c r="F84" s="105"/>
      <c r="G84" s="105"/>
      <c r="H84" s="105"/>
      <c r="I84" s="105"/>
      <c r="J84" s="47"/>
      <c r="K84" s="105"/>
      <c r="L84" s="105"/>
      <c r="M84" s="105"/>
      <c r="N84" s="105"/>
      <c r="O84" s="105"/>
      <c r="P84" s="105"/>
    </row>
    <row r="85" spans="1:16" s="47" customFormat="1" x14ac:dyDescent="0.2">
      <c r="A85" s="47" t="s">
        <v>733</v>
      </c>
      <c r="P85" s="110">
        <f>O71-33000</f>
        <v>784.72222222221899</v>
      </c>
    </row>
    <row r="86" spans="1:16" s="1" customFormat="1" x14ac:dyDescent="0.2">
      <c r="J86" s="47"/>
    </row>
    <row r="87" spans="1:16" s="1" customFormat="1" x14ac:dyDescent="0.2">
      <c r="A87" s="70" t="s">
        <v>811</v>
      </c>
      <c r="B87" s="70"/>
      <c r="C87" s="70"/>
      <c r="D87" s="70"/>
      <c r="E87" s="70"/>
      <c r="F87" s="70"/>
      <c r="G87" s="70"/>
      <c r="H87" s="70"/>
    </row>
    <row r="88" spans="1:16" s="1" customFormat="1" x14ac:dyDescent="0.2"/>
    <row r="89" spans="1:16" s="1" customFormat="1" x14ac:dyDescent="0.2">
      <c r="A89" s="1" t="s">
        <v>812</v>
      </c>
      <c r="F89"/>
    </row>
    <row r="90" spans="1:16" s="1" customFormat="1" x14ac:dyDescent="0.2">
      <c r="A90" s="1" t="s">
        <v>813</v>
      </c>
      <c r="F90"/>
    </row>
    <row r="91" spans="1:16" s="1" customFormat="1" x14ac:dyDescent="0.2">
      <c r="A91" s="1" t="s">
        <v>814</v>
      </c>
      <c r="F91"/>
    </row>
    <row r="92" spans="1:16" s="1" customFormat="1" x14ac:dyDescent="0.2">
      <c r="A92" s="1" t="s">
        <v>815</v>
      </c>
      <c r="F92"/>
    </row>
    <row r="93" spans="1:16" s="1" customFormat="1" x14ac:dyDescent="0.2">
      <c r="A93" s="1" t="s">
        <v>816</v>
      </c>
      <c r="F93"/>
    </row>
    <row r="94" spans="1:16" s="1" customFormat="1" x14ac:dyDescent="0.2">
      <c r="A94" s="1" t="s">
        <v>744</v>
      </c>
      <c r="F94"/>
    </row>
    <row r="95" spans="1:16" s="1" customFormat="1" x14ac:dyDescent="0.2">
      <c r="A95" s="1" t="s">
        <v>817</v>
      </c>
      <c r="F95"/>
    </row>
    <row r="96" spans="1:16" s="1" customFormat="1" x14ac:dyDescent="0.2">
      <c r="F96"/>
    </row>
    <row r="97" spans="1:12" s="1" customFormat="1" x14ac:dyDescent="0.2">
      <c r="A97" s="1" t="s">
        <v>818</v>
      </c>
      <c r="F97"/>
    </row>
    <row r="98" spans="1:12" s="1" customFormat="1" x14ac:dyDescent="0.2">
      <c r="A98" s="94"/>
      <c r="B98" s="94" t="s">
        <v>819</v>
      </c>
      <c r="F98"/>
    </row>
    <row r="99" spans="1:12" s="1" customFormat="1" x14ac:dyDescent="0.2">
      <c r="A99" s="35">
        <v>44196</v>
      </c>
      <c r="B99" s="23">
        <v>500000</v>
      </c>
      <c r="F99"/>
    </row>
    <row r="100" spans="1:12" s="1" customFormat="1" x14ac:dyDescent="0.2">
      <c r="A100" s="35">
        <v>44561</v>
      </c>
      <c r="B100" s="23">
        <v>480000</v>
      </c>
      <c r="F100" s="1" t="s">
        <v>820</v>
      </c>
      <c r="J100" s="1" t="s">
        <v>821</v>
      </c>
    </row>
    <row r="101" spans="1:12" s="1" customFormat="1" x14ac:dyDescent="0.2">
      <c r="A101" s="35">
        <v>44926</v>
      </c>
      <c r="B101" s="23">
        <v>320000</v>
      </c>
      <c r="F101" s="122" t="s">
        <v>822</v>
      </c>
      <c r="G101" s="122"/>
      <c r="H101" s="122"/>
      <c r="L101" s="1" t="s">
        <v>823</v>
      </c>
    </row>
    <row r="102" spans="1:12" s="1" customFormat="1" x14ac:dyDescent="0.2">
      <c r="A102" s="35">
        <v>45291</v>
      </c>
      <c r="B102" s="23">
        <v>380000</v>
      </c>
      <c r="F102"/>
    </row>
    <row r="103" spans="1:12" s="1" customFormat="1" x14ac:dyDescent="0.2">
      <c r="F103"/>
    </row>
    <row r="104" spans="1:12" s="1" customFormat="1" x14ac:dyDescent="0.2">
      <c r="A104" s="1" t="s">
        <v>824</v>
      </c>
      <c r="F104"/>
    </row>
    <row r="105" spans="1:12" s="1" customFormat="1" x14ac:dyDescent="0.2">
      <c r="F105"/>
    </row>
    <row r="106" spans="1:12" s="1" customFormat="1" x14ac:dyDescent="0.2">
      <c r="A106" s="1" t="s">
        <v>506</v>
      </c>
      <c r="F106"/>
    </row>
    <row r="107" spans="1:12" s="1" customFormat="1" x14ac:dyDescent="0.2">
      <c r="C107" s="47" t="s">
        <v>658</v>
      </c>
      <c r="D107" s="41" t="s">
        <v>804</v>
      </c>
      <c r="E107" s="1" t="s">
        <v>658</v>
      </c>
      <c r="F107" s="41" t="s">
        <v>804</v>
      </c>
      <c r="G107" s="1" t="s">
        <v>658</v>
      </c>
      <c r="H107" s="41" t="s">
        <v>804</v>
      </c>
      <c r="I107" s="1" t="s">
        <v>658</v>
      </c>
      <c r="J107" s="41" t="s">
        <v>804</v>
      </c>
      <c r="K107" s="1" t="s">
        <v>299</v>
      </c>
      <c r="L107" s="41" t="s">
        <v>806</v>
      </c>
    </row>
    <row r="108" spans="1:12" s="1" customFormat="1" x14ac:dyDescent="0.2">
      <c r="C108" s="48">
        <v>44196</v>
      </c>
      <c r="D108" s="103">
        <v>44196</v>
      </c>
      <c r="E108" s="49">
        <v>44561</v>
      </c>
      <c r="F108" s="103">
        <v>44561</v>
      </c>
      <c r="G108" s="49">
        <v>44926</v>
      </c>
      <c r="H108" s="103">
        <v>44926</v>
      </c>
      <c r="I108" s="49">
        <v>45291</v>
      </c>
      <c r="J108" s="103">
        <v>45291</v>
      </c>
      <c r="K108" s="49">
        <v>45383</v>
      </c>
      <c r="L108" s="103">
        <v>45657</v>
      </c>
    </row>
    <row r="109" spans="1:12" s="1" customFormat="1" x14ac:dyDescent="0.2">
      <c r="A109" s="1" t="s">
        <v>825</v>
      </c>
      <c r="C109" s="124">
        <v>500000</v>
      </c>
      <c r="D109" s="124">
        <f>D112-D110</f>
        <v>500000</v>
      </c>
      <c r="E109" s="124">
        <f>D109</f>
        <v>500000</v>
      </c>
      <c r="F109" s="124">
        <f>F112</f>
        <v>480000</v>
      </c>
      <c r="G109" s="124">
        <f>F109</f>
        <v>480000</v>
      </c>
      <c r="H109" s="124">
        <f>H112+H111</f>
        <v>350000</v>
      </c>
      <c r="I109" s="124">
        <f>H109</f>
        <v>350000</v>
      </c>
      <c r="J109" s="124">
        <f>J112</f>
        <v>380000</v>
      </c>
      <c r="K109" s="124">
        <f>J109</f>
        <v>380000</v>
      </c>
      <c r="L109" s="124">
        <v>0</v>
      </c>
    </row>
    <row r="110" spans="1:12" s="1" customFormat="1" x14ac:dyDescent="0.2">
      <c r="A110" s="1" t="s">
        <v>96</v>
      </c>
      <c r="C110" s="124">
        <f>C114</f>
        <v>50000</v>
      </c>
      <c r="D110" s="124">
        <v>0</v>
      </c>
      <c r="E110" s="124">
        <f>E114</f>
        <v>55555.555555555555</v>
      </c>
      <c r="F110" s="124">
        <v>0</v>
      </c>
      <c r="G110" s="124">
        <f>G114</f>
        <v>60000</v>
      </c>
      <c r="H110" s="124">
        <v>0</v>
      </c>
      <c r="I110" s="124">
        <f>I114+H111/7</f>
        <v>50000</v>
      </c>
      <c r="J110" s="124">
        <v>0</v>
      </c>
      <c r="K110" s="124">
        <f>K114</f>
        <v>15833.333333333334</v>
      </c>
      <c r="L110" s="124">
        <v>0</v>
      </c>
    </row>
    <row r="111" spans="1:12" s="1" customFormat="1" x14ac:dyDescent="0.2">
      <c r="A111" s="1" t="s">
        <v>201</v>
      </c>
      <c r="C111" s="124"/>
      <c r="D111" s="124"/>
      <c r="E111" s="124"/>
      <c r="F111" s="124"/>
      <c r="G111" s="124"/>
      <c r="H111" s="124">
        <f>H116</f>
        <v>30000</v>
      </c>
      <c r="I111" s="124">
        <f>H111*6/7</f>
        <v>25714.285714285714</v>
      </c>
      <c r="J111" s="124">
        <v>0</v>
      </c>
      <c r="K111" s="124"/>
      <c r="L111" s="124">
        <v>0</v>
      </c>
    </row>
    <row r="112" spans="1:12" s="1" customFormat="1" x14ac:dyDescent="0.2">
      <c r="A112" s="1" t="s">
        <v>99</v>
      </c>
      <c r="C112" s="125">
        <f>C109-C110-C111</f>
        <v>450000</v>
      </c>
      <c r="D112" s="125">
        <f>B99</f>
        <v>500000</v>
      </c>
      <c r="E112" s="125">
        <f>E109-E110</f>
        <v>444444.44444444444</v>
      </c>
      <c r="F112" s="125">
        <v>480000</v>
      </c>
      <c r="G112" s="125">
        <f>G109-G110</f>
        <v>420000</v>
      </c>
      <c r="H112" s="125">
        <v>320000</v>
      </c>
      <c r="I112" s="125">
        <f>I109-I110-I111</f>
        <v>274285.71428571426</v>
      </c>
      <c r="J112" s="125">
        <v>380000</v>
      </c>
      <c r="K112" s="125">
        <f>K109-K110</f>
        <v>364166.66666666669</v>
      </c>
      <c r="L112" s="125">
        <v>0</v>
      </c>
    </row>
    <row r="113" spans="1:12" s="1" customFormat="1" x14ac:dyDescent="0.2">
      <c r="C113" s="124"/>
      <c r="D113" s="124"/>
      <c r="E113" s="124"/>
      <c r="F113" s="124"/>
      <c r="G113" s="124"/>
      <c r="H113" s="124"/>
      <c r="I113" s="123"/>
      <c r="J113" s="124"/>
      <c r="K113" s="123"/>
      <c r="L113" s="123"/>
    </row>
    <row r="114" spans="1:12" s="1" customFormat="1" x14ac:dyDescent="0.2">
      <c r="A114" s="1" t="s">
        <v>100</v>
      </c>
      <c r="C114" s="124">
        <f>500000/10</f>
        <v>50000</v>
      </c>
      <c r="D114" s="124">
        <f>C114</f>
        <v>50000</v>
      </c>
      <c r="E114" s="124">
        <f>D112/9</f>
        <v>55555.555555555555</v>
      </c>
      <c r="F114" s="124">
        <f>E114</f>
        <v>55555.555555555555</v>
      </c>
      <c r="G114" s="124">
        <f>F112/8</f>
        <v>60000</v>
      </c>
      <c r="H114" s="124">
        <f>G114</f>
        <v>60000</v>
      </c>
      <c r="I114" s="124">
        <f>H112/7</f>
        <v>45714.285714285717</v>
      </c>
      <c r="J114" s="124">
        <f>I114</f>
        <v>45714.285714285717</v>
      </c>
      <c r="K114" s="124">
        <f>J112/6*3/12</f>
        <v>15833.333333333334</v>
      </c>
      <c r="L114" s="124">
        <f>K114</f>
        <v>15833.333333333334</v>
      </c>
    </row>
    <row r="115" spans="1:12" s="1" customFormat="1" x14ac:dyDescent="0.2">
      <c r="A115" s="1" t="s">
        <v>809</v>
      </c>
      <c r="C115" s="124"/>
      <c r="D115" s="124"/>
      <c r="E115" s="124"/>
      <c r="F115" s="124"/>
      <c r="G115" s="124"/>
      <c r="H115" s="124"/>
      <c r="I115" s="124"/>
      <c r="J115" s="124">
        <f>I111</f>
        <v>25714.285714285714</v>
      </c>
      <c r="K115" s="124"/>
      <c r="L115" s="124"/>
    </row>
    <row r="116" spans="1:12" s="1" customFormat="1" x14ac:dyDescent="0.2">
      <c r="A116" s="1" t="s">
        <v>136</v>
      </c>
      <c r="C116" s="124"/>
      <c r="D116" s="124"/>
      <c r="E116" s="124"/>
      <c r="F116" s="124"/>
      <c r="G116" s="124"/>
      <c r="H116" s="124">
        <f>G112-H112-H118</f>
        <v>30000</v>
      </c>
      <c r="J116" s="124"/>
      <c r="K116" s="124"/>
      <c r="L116" s="124"/>
    </row>
    <row r="117" spans="1:12" s="1" customFormat="1" x14ac:dyDescent="0.2">
      <c r="A117" s="1" t="s">
        <v>661</v>
      </c>
      <c r="C117" s="124"/>
      <c r="D117" s="124">
        <f>D112-C112</f>
        <v>50000</v>
      </c>
      <c r="E117" s="124"/>
      <c r="F117" s="124">
        <f>F112-E112</f>
        <v>35555.555555555562</v>
      </c>
      <c r="G117" s="124"/>
      <c r="H117" s="124"/>
      <c r="I117" s="124"/>
      <c r="J117" s="124">
        <f>J112-I112-J115</f>
        <v>80000.000000000029</v>
      </c>
      <c r="K117" s="124"/>
      <c r="L117" s="124"/>
    </row>
    <row r="118" spans="1:12" s="1" customFormat="1" x14ac:dyDescent="0.2">
      <c r="A118" s="1" t="s">
        <v>720</v>
      </c>
      <c r="C118" s="124"/>
      <c r="D118" s="124"/>
      <c r="E118" s="124"/>
      <c r="F118" s="124"/>
      <c r="G118" s="124"/>
      <c r="H118" s="124">
        <f>G122</f>
        <v>70000</v>
      </c>
      <c r="I118" s="124"/>
      <c r="J118" s="124"/>
      <c r="K118" s="124"/>
      <c r="L118" s="124"/>
    </row>
    <row r="119" spans="1:12" s="1" customFormat="1" x14ac:dyDescent="0.2">
      <c r="A119" s="1" t="s">
        <v>826</v>
      </c>
      <c r="C119" s="124"/>
      <c r="D119" s="124"/>
      <c r="E119" s="124"/>
      <c r="F119" s="124"/>
      <c r="G119" s="124"/>
      <c r="H119" s="124"/>
      <c r="I119" s="124"/>
      <c r="J119" s="124"/>
      <c r="K119" s="124"/>
      <c r="L119" s="123"/>
    </row>
    <row r="120" spans="1:12" s="1" customFormat="1" x14ac:dyDescent="0.2">
      <c r="A120" s="1" t="s">
        <v>733</v>
      </c>
      <c r="C120" s="124"/>
      <c r="D120" s="124"/>
      <c r="E120" s="124"/>
      <c r="F120" s="124"/>
      <c r="G120" s="124"/>
      <c r="H120" s="124"/>
      <c r="I120" s="124"/>
      <c r="J120" s="124"/>
      <c r="K120" s="124"/>
      <c r="L120" s="124">
        <f>K112-1.1*327000</f>
        <v>4466.6666666666861</v>
      </c>
    </row>
    <row r="121" spans="1:12" s="1" customFormat="1" x14ac:dyDescent="0.2">
      <c r="C121" s="124"/>
      <c r="D121" s="124"/>
      <c r="E121" s="124"/>
      <c r="F121" s="124"/>
      <c r="G121" s="124"/>
      <c r="H121" s="124"/>
      <c r="I121" s="124"/>
      <c r="J121" s="124"/>
      <c r="K121" s="124"/>
      <c r="L121" s="123"/>
    </row>
    <row r="122" spans="1:12" s="1" customFormat="1" x14ac:dyDescent="0.2">
      <c r="A122" s="1" t="s">
        <v>827</v>
      </c>
      <c r="C122" s="124"/>
      <c r="D122" s="124">
        <f>D117</f>
        <v>50000</v>
      </c>
      <c r="E122" s="124">
        <f>D122-E124</f>
        <v>44444.444444444445</v>
      </c>
      <c r="F122" s="124">
        <f>F117+E122</f>
        <v>80000</v>
      </c>
      <c r="G122" s="124">
        <f>F122-G124</f>
        <v>70000</v>
      </c>
      <c r="H122" s="124">
        <f>G122-H118</f>
        <v>0</v>
      </c>
      <c r="I122" s="124"/>
      <c r="J122" s="124">
        <f>J117</f>
        <v>80000.000000000029</v>
      </c>
      <c r="K122" s="124">
        <f>J122-K124</f>
        <v>76666.666666666701</v>
      </c>
      <c r="L122" s="124">
        <v>0</v>
      </c>
    </row>
    <row r="123" spans="1:12" s="1" customFormat="1" x14ac:dyDescent="0.2">
      <c r="C123" s="47"/>
      <c r="D123" s="47"/>
      <c r="E123" s="124"/>
      <c r="F123" s="124"/>
      <c r="G123" s="124"/>
      <c r="H123" s="124"/>
      <c r="I123" s="124"/>
      <c r="J123" s="124"/>
      <c r="K123" s="124"/>
      <c r="L123" s="123"/>
    </row>
    <row r="124" spans="1:12" s="1" customFormat="1" x14ac:dyDescent="0.2">
      <c r="A124" s="1" t="s">
        <v>828</v>
      </c>
      <c r="C124" s="47"/>
      <c r="D124" s="47"/>
      <c r="E124" s="124">
        <f>D122/9</f>
        <v>5555.5555555555557</v>
      </c>
      <c r="F124" s="124">
        <f>E124</f>
        <v>5555.5555555555557</v>
      </c>
      <c r="G124" s="124">
        <f>F122/8</f>
        <v>10000</v>
      </c>
      <c r="H124" s="124">
        <f>G124</f>
        <v>10000</v>
      </c>
      <c r="I124" s="124"/>
      <c r="J124" s="124"/>
      <c r="K124" s="124">
        <f>J122/6*3/12</f>
        <v>3333.3333333333344</v>
      </c>
      <c r="L124" s="124">
        <f>K122+K124</f>
        <v>80000.000000000029</v>
      </c>
    </row>
    <row r="125" spans="1:12" s="1" customFormat="1" x14ac:dyDescent="0.2">
      <c r="F125" s="126"/>
      <c r="G125" s="47"/>
      <c r="H125" s="47"/>
      <c r="J125" s="47"/>
    </row>
    <row r="126" spans="1:12" s="1" customFormat="1" x14ac:dyDescent="0.2">
      <c r="F126"/>
      <c r="H126" s="47"/>
    </row>
    <row r="127" spans="1:12" s="1" customFormat="1" x14ac:dyDescent="0.2">
      <c r="F127"/>
    </row>
    <row r="128" spans="1:12" s="1" customFormat="1" x14ac:dyDescent="0.2">
      <c r="F128"/>
    </row>
    <row r="129" spans="6:6" s="1" customFormat="1" x14ac:dyDescent="0.2">
      <c r="F129"/>
    </row>
    <row r="130" spans="6:6" s="1" customFormat="1" x14ac:dyDescent="0.2">
      <c r="F130"/>
    </row>
    <row r="131" spans="6:6" s="1" customFormat="1" x14ac:dyDescent="0.2">
      <c r="F131"/>
    </row>
    <row r="132" spans="6:6" s="1" customFormat="1" x14ac:dyDescent="0.2">
      <c r="F132"/>
    </row>
    <row r="133" spans="6:6" s="1" customFormat="1" x14ac:dyDescent="0.2">
      <c r="F133"/>
    </row>
    <row r="134" spans="6:6" s="1" customFormat="1" x14ac:dyDescent="0.2">
      <c r="F134"/>
    </row>
    <row r="135" spans="6:6" s="1" customFormat="1" x14ac:dyDescent="0.2">
      <c r="F135"/>
    </row>
    <row r="136" spans="6:6" s="1" customFormat="1" x14ac:dyDescent="0.2">
      <c r="F136"/>
    </row>
    <row r="137" spans="6:6" s="1" customFormat="1" x14ac:dyDescent="0.2">
      <c r="F137"/>
    </row>
    <row r="138" spans="6:6" s="1" customFormat="1" x14ac:dyDescent="0.2">
      <c r="F138"/>
    </row>
    <row r="139" spans="6:6" s="1" customFormat="1" x14ac:dyDescent="0.2">
      <c r="F139"/>
    </row>
    <row r="140" spans="6:6" s="1" customFormat="1" x14ac:dyDescent="0.2">
      <c r="F140"/>
    </row>
    <row r="141" spans="6:6" s="1" customFormat="1" x14ac:dyDescent="0.2">
      <c r="F141"/>
    </row>
    <row r="142" spans="6:6" s="1" customFormat="1" x14ac:dyDescent="0.2">
      <c r="F142"/>
    </row>
    <row r="143" spans="6:6" s="1" customFormat="1" x14ac:dyDescent="0.2">
      <c r="F143"/>
    </row>
    <row r="144" spans="6:6" s="1" customFormat="1" x14ac:dyDescent="0.2">
      <c r="F144"/>
    </row>
    <row r="145" spans="6:6" s="1" customFormat="1" x14ac:dyDescent="0.2">
      <c r="F145"/>
    </row>
    <row r="146" spans="6:6" s="1" customFormat="1" x14ac:dyDescent="0.2">
      <c r="F146"/>
    </row>
    <row r="147" spans="6:6" s="1" customFormat="1" x14ac:dyDescent="0.2">
      <c r="F147"/>
    </row>
    <row r="148" spans="6:6" s="1" customFormat="1" x14ac:dyDescent="0.2">
      <c r="F148"/>
    </row>
    <row r="149" spans="6:6" s="1" customFormat="1" x14ac:dyDescent="0.2">
      <c r="F149"/>
    </row>
  </sheetData>
  <mergeCells count="1">
    <mergeCell ref="F101:H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2025-03-13T11:07:02Z</dcterms:created>
  <dcterms:modified xsi:type="dcterms:W3CDTF">2025-04-26T14:27:00Z</dcterms:modified>
</cp:coreProperties>
</file>