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1"/>
  <workbookPr/>
  <mc:AlternateContent xmlns:mc="http://schemas.openxmlformats.org/markup-compatibility/2006">
    <mc:Choice Requires="x15">
      <x15ac:absPath xmlns:x15ac="http://schemas.microsoft.com/office/spreadsheetml/2010/11/ac" url="/Users/shaymorris-doty/Desktop/"/>
    </mc:Choice>
  </mc:AlternateContent>
  <xr:revisionPtr revIDLastSave="0" documentId="13_ncr:1_{DC29DBCE-7CC3-E148-93B4-3724319EF6FB}" xr6:coauthVersionLast="46" xr6:coauthVersionMax="46" xr10:uidLastSave="{00000000-0000-0000-0000-000000000000}"/>
  <bookViews>
    <workbookView xWindow="8880" yWindow="5120" windowWidth="18940" windowHeight="14680" activeTab="1" xr2:uid="{00000000-000D-0000-FFFF-FFFF00000000}"/>
  </bookViews>
  <sheets>
    <sheet name="determinant" sheetId="2" state="hidden" r:id="rId1"/>
    <sheet name="waifw B" sheetId="1" r:id="rId2"/>
  </sheets>
  <definedNames>
    <definedName name="ave_infous">'waifw B'!$F$3</definedName>
    <definedName name="b_mm">'waifw B'!$G$18</definedName>
    <definedName name="b_mo">'waifw B'!$H$18</definedName>
    <definedName name="b_my">'waifw B'!$F$18</definedName>
    <definedName name="b_om">'waifw B'!$G$19</definedName>
    <definedName name="b_oo">'waifw B'!$H$19</definedName>
    <definedName name="b_oy">'waifw B'!$F$19</definedName>
    <definedName name="b_ym">'waifw B'!$G$17</definedName>
    <definedName name="b_yo">'waifw B'!$H$17</definedName>
    <definedName name="b_yy">'waifw B'!$F$17</definedName>
    <definedName name="N_m">'waifw B'!$F$5</definedName>
    <definedName name="N_o">'waifw B'!$F$6</definedName>
    <definedName name="N_y">'waifw B'!$F$4</definedName>
    <definedName name="prop_imm">'waifw B'!$F$8</definedName>
    <definedName name="R_mm">'waifw B'!$G$26</definedName>
    <definedName name="R_mo">'waifw B'!$H$26</definedName>
    <definedName name="R_my">'waifw B'!$F$26</definedName>
    <definedName name="R_om">'waifw B'!$G$27</definedName>
    <definedName name="R_oo">'waifw B'!$H$27</definedName>
    <definedName name="R_oy">'waifw B'!$F$27</definedName>
    <definedName name="R_ym">'waifw B'!$G$25</definedName>
    <definedName name="R_yo">'waifw B'!$H$25</definedName>
    <definedName name="R_yy">'waifw B'!$F$25</definedName>
    <definedName name="R0">'waifw B'!$G$89</definedName>
    <definedName name="R0_est">'waifw B'!$F$36</definedName>
    <definedName name="R0_new">determinant!$B$2</definedName>
    <definedName name="S_m">'waifw B'!$F$10</definedName>
    <definedName name="S_o">'waifw B'!$F$11</definedName>
    <definedName name="S_y">'waifw B'!$F$9</definedName>
    <definedName name="solver_cvg" localSheetId="0" hidden="1">0.0001</definedName>
    <definedName name="solver_cvg" localSheetId="1" hidden="1">0.0001</definedName>
    <definedName name="solver_drv" localSheetId="0" hidden="1">1</definedName>
    <definedName name="solver_drv" localSheetId="1" hidden="1">1</definedName>
    <definedName name="solver_est" localSheetId="0" hidden="1">1</definedName>
    <definedName name="solver_est" localSheetId="1" hidden="1">1</definedName>
    <definedName name="solver_itr" localSheetId="0" hidden="1">100</definedName>
    <definedName name="solver_itr" localSheetId="1" hidden="1">100</definedName>
    <definedName name="solver_lhs1" localSheetId="1" hidden="1">'waifw B'!$F$39</definedName>
    <definedName name="solver_lhs2" localSheetId="1" hidden="1">'waifw B'!$F$40</definedName>
    <definedName name="solver_lhs3" localSheetId="1" hidden="1">'waifw B'!$D$48</definedName>
    <definedName name="solver_lhs4" localSheetId="1" hidden="1">'waifw B'!$D$48</definedName>
    <definedName name="solver_lin" localSheetId="0" hidden="1">2</definedName>
    <definedName name="solver_lin" localSheetId="1" hidden="1">2</definedName>
    <definedName name="solver_neg" localSheetId="0" hidden="1">2</definedName>
    <definedName name="solver_neg" localSheetId="1" hidden="1">2</definedName>
    <definedName name="solver_num" localSheetId="0" hidden="1">0</definedName>
    <definedName name="solver_num" localSheetId="1" hidden="1">0</definedName>
    <definedName name="solver_nwt" localSheetId="0" hidden="1">1</definedName>
    <definedName name="solver_nwt" localSheetId="1" hidden="1">1</definedName>
    <definedName name="solver_pre" localSheetId="0" hidden="1">0.000001</definedName>
    <definedName name="solver_pre" localSheetId="1" hidden="1">0.000001</definedName>
    <definedName name="solver_rel1" localSheetId="1" hidden="1">2</definedName>
    <definedName name="solver_rel2" localSheetId="1" hidden="1">2</definedName>
    <definedName name="solver_rel3" localSheetId="1" hidden="1">2</definedName>
    <definedName name="solver_rel4" localSheetId="1" hidden="1">2</definedName>
    <definedName name="solver_rhs1" localSheetId="1" hidden="1">R0_est*y</definedName>
    <definedName name="solver_rhs2" localSheetId="1" hidden="1">R0_est*(1-x_-y)</definedName>
    <definedName name="solver_rhs3" localSheetId="1" hidden="1">R0_est*(1-x_-y)</definedName>
    <definedName name="solver_rhs4" localSheetId="1" hidden="1">R0_est*(1-x_-y)</definedName>
    <definedName name="solver_scl" localSheetId="0" hidden="1">2</definedName>
    <definedName name="solver_scl" localSheetId="1" hidden="1">2</definedName>
    <definedName name="solver_sho" localSheetId="0" hidden="1">2</definedName>
    <definedName name="solver_sho" localSheetId="1" hidden="1">2</definedName>
    <definedName name="solver_tim" localSheetId="0" hidden="1">100</definedName>
    <definedName name="solver_tim" localSheetId="1" hidden="1">100</definedName>
    <definedName name="solver_tol" localSheetId="0" hidden="1">0.05</definedName>
    <definedName name="solver_tol" localSheetId="1" hidden="1">0.05</definedName>
    <definedName name="solver_typ" localSheetId="0" hidden="1">1</definedName>
    <definedName name="solver_typ" localSheetId="1" hidden="1">1</definedName>
    <definedName name="solver_val" localSheetId="0" hidden="1">0</definedName>
    <definedName name="solver_val" localSheetId="1" hidden="1">0</definedName>
    <definedName name="w_">'waifw B'!$F$34</definedName>
    <definedName name="x_">'waifw B'!$F$33</definedName>
    <definedName name="z_">'waifw B'!$F$35</definedName>
  </definedNames>
  <calcPr calcId="191029"/>
</workbook>
</file>

<file path=xl/calcChain.xml><?xml version="1.0" encoding="utf-8"?>
<calcChain xmlns="http://schemas.openxmlformats.org/spreadsheetml/2006/main">
  <c r="F10" i="1" l="1"/>
  <c r="F25" i="1"/>
  <c r="G25" i="1"/>
  <c r="H25" i="1"/>
  <c r="H29" i="1" s="1"/>
  <c r="F26" i="1"/>
  <c r="G26" i="1"/>
  <c r="H26" i="1"/>
  <c r="F40" i="1" s="1"/>
  <c r="K40" i="1" s="1"/>
  <c r="F27" i="1"/>
  <c r="F41" i="1" s="1"/>
  <c r="K41" i="1" s="1"/>
  <c r="G27" i="1"/>
  <c r="H27" i="1"/>
  <c r="F29" i="1"/>
  <c r="G29" i="1"/>
  <c r="F35" i="1"/>
  <c r="F39" i="1"/>
  <c r="K39" i="1" s="1"/>
  <c r="H39" i="1"/>
  <c r="H40" i="1"/>
  <c r="H41" i="1"/>
  <c r="E47" i="1"/>
  <c r="G47" i="1" s="1"/>
  <c r="H47" i="1"/>
  <c r="I47" i="1"/>
  <c r="A48" i="1"/>
  <c r="B48" i="1"/>
  <c r="E48" i="1" s="1"/>
  <c r="C48" i="1"/>
  <c r="D49" i="1" s="1"/>
  <c r="D48" i="1"/>
  <c r="A49" i="1"/>
  <c r="B49" i="1"/>
  <c r="C50" i="1" s="1"/>
  <c r="C49" i="1"/>
  <c r="A50" i="1"/>
  <c r="A51" i="1"/>
  <c r="A52" i="1" s="1"/>
  <c r="A53" i="1" s="1"/>
  <c r="A54" i="1" s="1"/>
  <c r="A55" i="1" s="1"/>
  <c r="A56" i="1" s="1"/>
  <c r="A57" i="1" s="1"/>
  <c r="B50" i="1" l="1"/>
  <c r="K48" i="1"/>
  <c r="G48" i="1"/>
  <c r="H48" i="1"/>
  <c r="I48" i="1"/>
  <c r="K42" i="1"/>
  <c r="D50" i="1"/>
  <c r="E49" i="1"/>
  <c r="C7" i="2"/>
  <c r="D6" i="2"/>
  <c r="B51" i="1" l="1"/>
  <c r="D51" i="1"/>
  <c r="C51" i="1"/>
  <c r="E50" i="1"/>
  <c r="K49" i="1"/>
  <c r="G49" i="1"/>
  <c r="H49" i="1"/>
  <c r="I49" i="1"/>
  <c r="C6" i="2"/>
  <c r="D7" i="2"/>
  <c r="K50" i="1" l="1"/>
  <c r="H50" i="1"/>
  <c r="H51" i="1"/>
  <c r="I51" i="1"/>
  <c r="I50" i="1"/>
  <c r="G50" i="1"/>
  <c r="G51" i="1"/>
  <c r="B52" i="1"/>
  <c r="C52" i="1"/>
  <c r="E51" i="1"/>
  <c r="K51" i="1" s="1"/>
  <c r="D52" i="1"/>
  <c r="B6" i="2"/>
  <c r="B7" i="2"/>
  <c r="C5" i="2"/>
  <c r="B5" i="2"/>
  <c r="D5" i="2"/>
  <c r="E52" i="1" l="1"/>
  <c r="K52" i="1" s="1"/>
  <c r="D53" i="1"/>
  <c r="B53" i="1"/>
  <c r="C53" i="1"/>
  <c r="I52" i="1"/>
  <c r="H52" i="1"/>
  <c r="E9" i="2"/>
  <c r="C54" i="1" l="1"/>
  <c r="E53" i="1"/>
  <c r="K53" i="1" s="1"/>
  <c r="D54" i="1"/>
  <c r="B54" i="1"/>
  <c r="G52" i="1"/>
  <c r="H53" i="1" l="1"/>
  <c r="G53" i="1"/>
  <c r="I53" i="1"/>
  <c r="B55" i="1"/>
  <c r="D55" i="1"/>
  <c r="C55" i="1"/>
  <c r="E54" i="1"/>
  <c r="K54" i="1" s="1"/>
  <c r="G54" i="1"/>
  <c r="E55" i="1" l="1"/>
  <c r="K55" i="1" s="1"/>
  <c r="B56" i="1"/>
  <c r="C56" i="1"/>
  <c r="D56" i="1"/>
  <c r="I54" i="1"/>
  <c r="H54" i="1"/>
  <c r="G55" i="1" l="1"/>
  <c r="E56" i="1"/>
  <c r="K56" i="1" s="1"/>
  <c r="D57" i="1"/>
  <c r="B57" i="1"/>
  <c r="C57" i="1"/>
  <c r="I55" i="1"/>
  <c r="H55" i="1"/>
  <c r="E57" i="1" l="1"/>
  <c r="K57" i="1" s="1"/>
  <c r="H56" i="1"/>
  <c r="G56" i="1"/>
  <c r="I56" i="1"/>
  <c r="G57" i="1" l="1"/>
  <c r="H57" i="1"/>
  <c r="I5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evynnycky</author>
  </authors>
  <commentList>
    <comment ref="H25" authorId="0" shapeId="0" xr:uid="{00000000-0006-0000-0100-000001000000}">
      <text>
        <r>
          <rPr>
            <sz val="10"/>
            <color rgb="FF000000"/>
            <rFont val="Tahoma"/>
            <family val="2"/>
          </rPr>
          <t xml:space="preserve">Comment:
</t>
        </r>
        <r>
          <rPr>
            <sz val="10"/>
            <color rgb="FF000000"/>
            <rFont val="Tahoma"/>
            <family val="2"/>
          </rPr>
          <t xml:space="preserve">NB: The equations in these cells could have been set up in terms of N_y, N_m and N_o, rather than in terms of S_y, S_m and S_o.    
</t>
        </r>
        <r>
          <rPr>
            <sz val="10"/>
            <color rgb="FF000000"/>
            <rFont val="Tahoma"/>
            <family val="2"/>
          </rPr>
          <t xml:space="preserve">
</t>
        </r>
        <r>
          <rPr>
            <sz val="10"/>
            <color rgb="FF000000"/>
            <rFont val="Tahoma"/>
            <family val="2"/>
          </rPr>
          <t>However, in a later stage of this practical, we will vary the proportion immune in the population and use these cells to calculate the net reproduction number.  For this reason, the reproduction numbers in these cells have been expressed in terms of S_y, S_m and S_o.</t>
        </r>
      </text>
    </comment>
  </commentList>
</comments>
</file>

<file path=xl/sharedStrings.xml><?xml version="1.0" encoding="utf-8"?>
<sst xmlns="http://schemas.openxmlformats.org/spreadsheetml/2006/main" count="80" uniqueCount="64">
  <si>
    <t>Total number of young individuals</t>
  </si>
  <si>
    <t>ave_infous</t>
  </si>
  <si>
    <t>N_y</t>
  </si>
  <si>
    <t>Total number of middle-aged individuals</t>
  </si>
  <si>
    <t>N_m</t>
  </si>
  <si>
    <t>Total number of old individuals</t>
  </si>
  <si>
    <t>N_o</t>
  </si>
  <si>
    <t>WAIFW matrix</t>
  </si>
  <si>
    <t>young</t>
  </si>
  <si>
    <t>middle-aged</t>
  </si>
  <si>
    <t>old</t>
  </si>
  <si>
    <t xml:space="preserve">young </t>
  </si>
  <si>
    <t>Age category of infectious person</t>
  </si>
  <si>
    <t xml:space="preserve">Age category of susceptible </t>
  </si>
  <si>
    <t>person:</t>
  </si>
  <si>
    <t>young age category</t>
  </si>
  <si>
    <t>middle-age category</t>
  </si>
  <si>
    <t>old age category</t>
  </si>
  <si>
    <t>number</t>
  </si>
  <si>
    <t>Generation</t>
  </si>
  <si>
    <t>Total</t>
  </si>
  <si>
    <t>preceding generation</t>
  </si>
  <si>
    <t>Total number of susceptible young individuals</t>
  </si>
  <si>
    <t>S_y</t>
  </si>
  <si>
    <t>S_m</t>
  </si>
  <si>
    <t>S_o</t>
  </si>
  <si>
    <t>Total number of susceptible middle-aged individuals</t>
  </si>
  <si>
    <t>Key input parameters</t>
  </si>
  <si>
    <t>Total number of susceptible old individuals</t>
  </si>
  <si>
    <t>R0_est</t>
  </si>
  <si>
    <t>Possible value for the R0</t>
  </si>
  <si>
    <t>Determinant of the above matrix:</t>
  </si>
  <si>
    <t>R0_new</t>
  </si>
  <si>
    <t>Value</t>
  </si>
  <si>
    <t>Name in spreadsheet</t>
  </si>
  <si>
    <t>value</t>
  </si>
  <si>
    <t>prop_imm</t>
  </si>
  <si>
    <t>spreadsheet</t>
  </si>
  <si>
    <t>Name in</t>
  </si>
  <si>
    <t>Next generation matrix, with R0_new subtracted from the elements of the diagonal</t>
  </si>
  <si>
    <t>Proportion immune</t>
  </si>
  <si>
    <t>Age distribution of the infectious individual introduced into the population</t>
  </si>
  <si>
    <t>Square of the difference between LHS</t>
  </si>
  <si>
    <t>and RHS of the matrix equation</t>
  </si>
  <si>
    <t xml:space="preserve">SUM: </t>
  </si>
  <si>
    <t>LHS of matrix equn</t>
  </si>
  <si>
    <t>RHS of matrix equn</t>
  </si>
  <si>
    <t>Daily rate at which a specific infectious person and a specific susceptible person  come into effective contact</t>
  </si>
  <si>
    <t>Proportion of the infectious person which is in the:</t>
  </si>
  <si>
    <t xml:space="preserve">among whom secondary infectious </t>
  </si>
  <si>
    <t>individuals occur</t>
  </si>
  <si>
    <t>Average number of secondary infectious individuals</t>
  </si>
  <si>
    <t>Number of infectious individuals:</t>
  </si>
  <si>
    <t>Proportion of infectious individuals who are:</t>
  </si>
  <si>
    <t>resulting from each infectious person in the</t>
  </si>
  <si>
    <t>x_</t>
  </si>
  <si>
    <t>w_</t>
  </si>
  <si>
    <t>z_</t>
  </si>
  <si>
    <t>Age category of susceptibles</t>
  </si>
  <si>
    <t>Number of secondary infectious individuals resulting from individuals in different age categories (NGM):</t>
  </si>
  <si>
    <t>Total number of young infectious individuals resulting from the introduction of an infectious person (equn B)</t>
  </si>
  <si>
    <t>Total number of middle-aged infectious individuals resulting from the introduction of an infectious person (equn C)</t>
  </si>
  <si>
    <t>Total number of old infectious individuals resulting  from the introduction of an infectious person (equn D)</t>
  </si>
  <si>
    <t>Average duration of infectiousness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</si>
</sst>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name val="Arial"/>
    </font>
    <font>
      <b/>
      <sz val="10"/>
      <name val="Arial"/>
      <family val="2"/>
    </font>
    <font>
      <sz val="10"/>
      <name val="Arial"/>
      <family val="2"/>
    </font>
    <font>
      <b/>
      <u/>
      <sz val="10"/>
      <name val="Arial"/>
      <family val="2"/>
    </font>
    <font>
      <b/>
      <sz val="10"/>
      <color indexed="10"/>
      <name val="Arial"/>
      <family val="2"/>
    </font>
    <font>
      <sz val="10"/>
      <color indexed="9"/>
      <name val="Arial"/>
      <family val="2"/>
    </font>
    <font>
      <b/>
      <sz val="10"/>
      <color indexed="9"/>
      <name val="Arial"/>
      <family val="2"/>
    </font>
    <font>
      <b/>
      <sz val="10"/>
      <color indexed="9"/>
      <name val="Arial"/>
      <family val="2"/>
    </font>
    <font>
      <sz val="10"/>
      <color rgb="FF000000"/>
      <name val="Tahoma"/>
      <family val="2"/>
    </font>
  </fonts>
  <fills count="7">
    <fill>
      <patternFill patternType="none"/>
    </fill>
    <fill>
      <patternFill patternType="gray125"/>
    </fill>
    <fill>
      <patternFill patternType="solid">
        <fgColor indexed="15"/>
        <bgColor indexed="64"/>
      </patternFill>
    </fill>
    <fill>
      <patternFill patternType="solid">
        <fgColor indexed="13"/>
        <bgColor indexed="64"/>
      </patternFill>
    </fill>
    <fill>
      <patternFill patternType="solid">
        <fgColor indexed="52"/>
        <bgColor indexed="64"/>
      </patternFill>
    </fill>
    <fill>
      <patternFill patternType="solid">
        <fgColor indexed="14"/>
        <bgColor indexed="64"/>
      </patternFill>
    </fill>
    <fill>
      <patternFill patternType="solid">
        <fgColor indexed="46"/>
        <bgColor indexed="64"/>
      </patternFill>
    </fill>
  </fills>
  <borders count="6">
    <border>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top style="thin">
        <color indexed="9"/>
      </top>
      <bottom style="thin">
        <color indexed="9"/>
      </bottom>
      <diagonal/>
    </border>
  </borders>
  <cellStyleXfs count="1">
    <xf numFmtId="0" fontId="0" fillId="0" borderId="0"/>
  </cellStyleXfs>
  <cellXfs count="36">
    <xf numFmtId="0" fontId="0" fillId="0" borderId="0" xfId="0"/>
    <xf numFmtId="0" fontId="1" fillId="0" borderId="0" xfId="0" applyFont="1"/>
    <xf numFmtId="0" fontId="0" fillId="0" borderId="0" xfId="0" applyAlignment="1">
      <alignment wrapText="1"/>
    </xf>
    <xf numFmtId="0" fontId="0" fillId="2" borderId="0" xfId="0" applyFill="1"/>
    <xf numFmtId="0" fontId="1" fillId="2" borderId="0" xfId="0" applyFont="1" applyFill="1"/>
    <xf numFmtId="0" fontId="2" fillId="2" borderId="0" xfId="0" applyFont="1" applyFill="1"/>
    <xf numFmtId="0" fontId="3" fillId="2" borderId="0" xfId="0" applyFont="1" applyFill="1"/>
    <xf numFmtId="0" fontId="1" fillId="2" borderId="0" xfId="0" applyFont="1" applyFill="1" applyAlignment="1">
      <alignment horizontal="center"/>
    </xf>
    <xf numFmtId="0" fontId="4" fillId="2" borderId="0" xfId="0" applyFont="1" applyFill="1" applyAlignment="1">
      <alignment horizontal="center"/>
    </xf>
    <xf numFmtId="0" fontId="0" fillId="2" borderId="1" xfId="0" applyFill="1" applyBorder="1"/>
    <xf numFmtId="0" fontId="0" fillId="2" borderId="2" xfId="0" applyFill="1" applyBorder="1"/>
    <xf numFmtId="0" fontId="0" fillId="2" borderId="3" xfId="0" applyFill="1" applyBorder="1"/>
    <xf numFmtId="0" fontId="0" fillId="2" borderId="2" xfId="0" applyFill="1" applyBorder="1" applyAlignment="1">
      <alignment horizontal="center"/>
    </xf>
    <xf numFmtId="0" fontId="1" fillId="3" borderId="0" xfId="0" applyFont="1" applyFill="1"/>
    <xf numFmtId="0" fontId="0" fillId="3" borderId="0" xfId="0" applyFill="1"/>
    <xf numFmtId="11" fontId="4" fillId="2" borderId="0" xfId="0" applyNumberFormat="1" applyFont="1" applyFill="1"/>
    <xf numFmtId="0" fontId="1" fillId="4" borderId="0" xfId="0" applyFont="1" applyFill="1"/>
    <xf numFmtId="0" fontId="0" fillId="4" borderId="0" xfId="0" applyFill="1"/>
    <xf numFmtId="0" fontId="0" fillId="4" borderId="1" xfId="0" applyFill="1" applyBorder="1"/>
    <xf numFmtId="0" fontId="0" fillId="4" borderId="2" xfId="0" applyFill="1" applyBorder="1"/>
    <xf numFmtId="0" fontId="0" fillId="4" borderId="3" xfId="0" applyFill="1" applyBorder="1"/>
    <xf numFmtId="0" fontId="1" fillId="5" borderId="0" xfId="0" applyFont="1" applyFill="1"/>
    <xf numFmtId="0" fontId="0" fillId="5" borderId="0" xfId="0" applyFill="1"/>
    <xf numFmtId="0" fontId="0" fillId="0" borderId="0" xfId="0" applyFill="1"/>
    <xf numFmtId="0" fontId="3" fillId="3" borderId="0" xfId="0" applyFont="1" applyFill="1"/>
    <xf numFmtId="0" fontId="1" fillId="3" borderId="0" xfId="0" applyFont="1" applyFill="1" applyAlignment="1">
      <alignment horizontal="center"/>
    </xf>
    <xf numFmtId="0" fontId="0" fillId="2" borderId="4" xfId="0" applyFill="1" applyBorder="1"/>
    <xf numFmtId="0" fontId="0" fillId="4" borderId="4" xfId="0" applyFill="1" applyBorder="1"/>
    <xf numFmtId="0" fontId="0" fillId="6" borderId="0" xfId="0" applyFill="1"/>
    <xf numFmtId="0" fontId="1" fillId="6" borderId="0" xfId="0" applyFont="1" applyFill="1"/>
    <xf numFmtId="0" fontId="5" fillId="0" borderId="0" xfId="0" applyFont="1" applyFill="1"/>
    <xf numFmtId="0" fontId="6" fillId="0" borderId="0" xfId="0" applyFont="1" applyFill="1"/>
    <xf numFmtId="0" fontId="7" fillId="0" borderId="0" xfId="0" applyFont="1" applyFill="1"/>
    <xf numFmtId="0" fontId="7" fillId="0" borderId="5" xfId="0" applyFont="1" applyFill="1" applyBorder="1"/>
    <xf numFmtId="0" fontId="2" fillId="6" borderId="0" xfId="0" applyFont="1" applyFill="1"/>
    <xf numFmtId="0" fontId="2" fillId="3" borderId="0" xfId="0" applyFont="1"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1100" b="1" i="0" u="none" strike="noStrike" baseline="0">
                <a:solidFill>
                  <a:srgbClr val="000000"/>
                </a:solidFill>
                <a:latin typeface="Arial"/>
                <a:ea typeface="Arial"/>
                <a:cs typeface="Arial"/>
              </a:defRPr>
            </a:pPr>
            <a:r>
              <a:rPr lang="en-GB" sz="1100"/>
              <a:t>Proportion of infectious individuals who are in the young, middle-aged and old categories</a:t>
            </a:r>
          </a:p>
        </c:rich>
      </c:tx>
      <c:overlay val="0"/>
      <c:spPr>
        <a:noFill/>
        <a:ln w="25400">
          <a:noFill/>
        </a:ln>
      </c:spPr>
    </c:title>
    <c:autoTitleDeleted val="0"/>
    <c:plotArea>
      <c:layout>
        <c:manualLayout>
          <c:layoutTarget val="inner"/>
          <c:xMode val="edge"/>
          <c:yMode val="edge"/>
          <c:x val="7.7439147161399352E-2"/>
          <c:y val="3.0651340996168612E-2"/>
          <c:w val="0.89092852263330224"/>
          <c:h val="0.81730533683289663"/>
        </c:manualLayout>
      </c:layout>
      <c:scatterChart>
        <c:scatterStyle val="lineMarker"/>
        <c:varyColors val="0"/>
        <c:ser>
          <c:idx val="0"/>
          <c:order val="0"/>
          <c:tx>
            <c:v>young</c:v>
          </c:tx>
          <c:spPr>
            <a:ln w="12700">
              <a:solidFill>
                <a:srgbClr val="000080"/>
              </a:solidFill>
              <a:prstDash val="solid"/>
            </a:ln>
          </c:spPr>
          <c:marker>
            <c:symbol val="square"/>
            <c:size val="5"/>
            <c:spPr>
              <a:solidFill>
                <a:srgbClr val="000080"/>
              </a:solidFill>
              <a:ln>
                <a:solidFill>
                  <a:srgbClr val="000080"/>
                </a:solidFill>
                <a:prstDash val="solid"/>
              </a:ln>
            </c:spPr>
          </c:marker>
          <c:xVal>
            <c:numRef>
              <c:f>'waifw B'!$A$47:$A$87</c:f>
              <c:numCache>
                <c:formatCode>General</c:formatCode>
                <c:ptCount val="41"/>
                <c:pt idx="0">
                  <c:v>0</c:v>
                </c:pt>
                <c:pt idx="1">
                  <c:v>1</c:v>
                </c:pt>
                <c:pt idx="2">
                  <c:v>2</c:v>
                </c:pt>
                <c:pt idx="3">
                  <c:v>3</c:v>
                </c:pt>
                <c:pt idx="4">
                  <c:v>4</c:v>
                </c:pt>
                <c:pt idx="5">
                  <c:v>5</c:v>
                </c:pt>
                <c:pt idx="6">
                  <c:v>6</c:v>
                </c:pt>
                <c:pt idx="7">
                  <c:v>7</c:v>
                </c:pt>
                <c:pt idx="8">
                  <c:v>8</c:v>
                </c:pt>
                <c:pt idx="9">
                  <c:v>9</c:v>
                </c:pt>
                <c:pt idx="10">
                  <c:v>10</c:v>
                </c:pt>
              </c:numCache>
            </c:numRef>
          </c:xVal>
          <c:yVal>
            <c:numRef>
              <c:f>'waifw B'!$G$47:$G$87</c:f>
              <c:numCache>
                <c:formatCode>General</c:formatCode>
                <c:ptCount val="41"/>
                <c:pt idx="0">
                  <c:v>1</c:v>
                </c:pt>
                <c:pt idx="1">
                  <c:v>0.64734419733157567</c:v>
                </c:pt>
                <c:pt idx="2">
                  <c:v>0.58995949423889416</c:v>
                </c:pt>
                <c:pt idx="3">
                  <c:v>0.57880701723126726</c:v>
                </c:pt>
                <c:pt idx="4">
                  <c:v>0.57656879795841753</c:v>
                </c:pt>
                <c:pt idx="5">
                  <c:v>0.57611673484735548</c:v>
                </c:pt>
                <c:pt idx="6">
                  <c:v>0.57602531245552024</c:v>
                </c:pt>
                <c:pt idx="7">
                  <c:v>0.57600681897346939</c:v>
                </c:pt>
                <c:pt idx="8">
                  <c:v>0.57600307780232318</c:v>
                </c:pt>
                <c:pt idx="9">
                  <c:v>0.57600232096756432</c:v>
                </c:pt>
                <c:pt idx="10">
                  <c:v>0.57600216786040637</c:v>
                </c:pt>
              </c:numCache>
            </c:numRef>
          </c:yVal>
          <c:smooth val="0"/>
          <c:extLst>
            <c:ext xmlns:c16="http://schemas.microsoft.com/office/drawing/2014/chart" uri="{C3380CC4-5D6E-409C-BE32-E72D297353CC}">
              <c16:uniqueId val="{00000000-F45C-FE4C-8514-EAE1C2CAAB1E}"/>
            </c:ext>
          </c:extLst>
        </c:ser>
        <c:ser>
          <c:idx val="1"/>
          <c:order val="1"/>
          <c:tx>
            <c:v>middle-aged</c:v>
          </c:tx>
          <c:spPr>
            <a:ln w="12700">
              <a:solidFill>
                <a:srgbClr val="00FFFF"/>
              </a:solidFill>
              <a:prstDash val="solid"/>
            </a:ln>
          </c:spPr>
          <c:marker>
            <c:symbol val="square"/>
            <c:size val="5"/>
            <c:spPr>
              <a:solidFill>
                <a:srgbClr val="00FFFF"/>
              </a:solidFill>
              <a:ln>
                <a:solidFill>
                  <a:srgbClr val="00FFFF"/>
                </a:solidFill>
                <a:prstDash val="solid"/>
              </a:ln>
            </c:spPr>
          </c:marker>
          <c:xVal>
            <c:numRef>
              <c:f>'waifw B'!$A$47:$A$87</c:f>
              <c:numCache>
                <c:formatCode>General</c:formatCode>
                <c:ptCount val="41"/>
                <c:pt idx="0">
                  <c:v>0</c:v>
                </c:pt>
                <c:pt idx="1">
                  <c:v>1</c:v>
                </c:pt>
                <c:pt idx="2">
                  <c:v>2</c:v>
                </c:pt>
                <c:pt idx="3">
                  <c:v>3</c:v>
                </c:pt>
                <c:pt idx="4">
                  <c:v>4</c:v>
                </c:pt>
                <c:pt idx="5">
                  <c:v>5</c:v>
                </c:pt>
                <c:pt idx="6">
                  <c:v>6</c:v>
                </c:pt>
                <c:pt idx="7">
                  <c:v>7</c:v>
                </c:pt>
                <c:pt idx="8">
                  <c:v>8</c:v>
                </c:pt>
                <c:pt idx="9">
                  <c:v>9</c:v>
                </c:pt>
                <c:pt idx="10">
                  <c:v>10</c:v>
                </c:pt>
              </c:numCache>
            </c:numRef>
          </c:xVal>
          <c:yVal>
            <c:numRef>
              <c:f>'waifw B'!$H$47:$H$87</c:f>
              <c:numCache>
                <c:formatCode>General</c:formatCode>
                <c:ptCount val="41"/>
                <c:pt idx="0">
                  <c:v>0</c:v>
                </c:pt>
                <c:pt idx="1">
                  <c:v>0</c:v>
                </c:pt>
                <c:pt idx="2">
                  <c:v>0</c:v>
                </c:pt>
                <c:pt idx="3">
                  <c:v>0</c:v>
                </c:pt>
                <c:pt idx="4">
                  <c:v>0</c:v>
                </c:pt>
                <c:pt idx="5">
                  <c:v>0</c:v>
                </c:pt>
                <c:pt idx="6">
                  <c:v>0</c:v>
                </c:pt>
                <c:pt idx="7">
                  <c:v>0</c:v>
                </c:pt>
                <c:pt idx="8">
                  <c:v>0</c:v>
                </c:pt>
                <c:pt idx="9">
                  <c:v>0</c:v>
                </c:pt>
                <c:pt idx="10">
                  <c:v>0</c:v>
                </c:pt>
              </c:numCache>
            </c:numRef>
          </c:yVal>
          <c:smooth val="0"/>
          <c:extLst>
            <c:ext xmlns:c16="http://schemas.microsoft.com/office/drawing/2014/chart" uri="{C3380CC4-5D6E-409C-BE32-E72D297353CC}">
              <c16:uniqueId val="{00000001-F45C-FE4C-8514-EAE1C2CAAB1E}"/>
            </c:ext>
          </c:extLst>
        </c:ser>
        <c:ser>
          <c:idx val="2"/>
          <c:order val="2"/>
          <c:tx>
            <c:v>old</c:v>
          </c:tx>
          <c:spPr>
            <a:ln w="12700">
              <a:solidFill>
                <a:srgbClr val="FF0000"/>
              </a:solidFill>
              <a:prstDash val="solid"/>
            </a:ln>
          </c:spPr>
          <c:marker>
            <c:symbol val="square"/>
            <c:size val="5"/>
            <c:spPr>
              <a:solidFill>
                <a:srgbClr val="FF0000"/>
              </a:solidFill>
              <a:ln>
                <a:solidFill>
                  <a:srgbClr val="FF0000"/>
                </a:solidFill>
                <a:prstDash val="solid"/>
              </a:ln>
            </c:spPr>
          </c:marker>
          <c:xVal>
            <c:numRef>
              <c:f>'waifw B'!$A$47:$A$87</c:f>
              <c:numCache>
                <c:formatCode>General</c:formatCode>
                <c:ptCount val="41"/>
                <c:pt idx="0">
                  <c:v>0</c:v>
                </c:pt>
                <c:pt idx="1">
                  <c:v>1</c:v>
                </c:pt>
                <c:pt idx="2">
                  <c:v>2</c:v>
                </c:pt>
                <c:pt idx="3">
                  <c:v>3</c:v>
                </c:pt>
                <c:pt idx="4">
                  <c:v>4</c:v>
                </c:pt>
                <c:pt idx="5">
                  <c:v>5</c:v>
                </c:pt>
                <c:pt idx="6">
                  <c:v>6</c:v>
                </c:pt>
                <c:pt idx="7">
                  <c:v>7</c:v>
                </c:pt>
                <c:pt idx="8">
                  <c:v>8</c:v>
                </c:pt>
                <c:pt idx="9">
                  <c:v>9</c:v>
                </c:pt>
                <c:pt idx="10">
                  <c:v>10</c:v>
                </c:pt>
              </c:numCache>
            </c:numRef>
          </c:xVal>
          <c:yVal>
            <c:numRef>
              <c:f>'waifw B'!$I$47:$I$87</c:f>
              <c:numCache>
                <c:formatCode>General</c:formatCode>
                <c:ptCount val="41"/>
                <c:pt idx="0">
                  <c:v>0</c:v>
                </c:pt>
                <c:pt idx="1">
                  <c:v>0.35265580266842445</c:v>
                </c:pt>
                <c:pt idx="2">
                  <c:v>0.41004050576110584</c:v>
                </c:pt>
                <c:pt idx="3">
                  <c:v>0.42119298276873268</c:v>
                </c:pt>
                <c:pt idx="4">
                  <c:v>0.42343120204158252</c:v>
                </c:pt>
                <c:pt idx="5">
                  <c:v>0.42388326515264452</c:v>
                </c:pt>
                <c:pt idx="6">
                  <c:v>0.42397468754447976</c:v>
                </c:pt>
                <c:pt idx="7">
                  <c:v>0.42399318102653061</c:v>
                </c:pt>
                <c:pt idx="8">
                  <c:v>0.42399692219767687</c:v>
                </c:pt>
                <c:pt idx="9">
                  <c:v>0.42399767903243574</c:v>
                </c:pt>
                <c:pt idx="10">
                  <c:v>0.42399783213959358</c:v>
                </c:pt>
              </c:numCache>
            </c:numRef>
          </c:yVal>
          <c:smooth val="0"/>
          <c:extLst>
            <c:ext xmlns:c16="http://schemas.microsoft.com/office/drawing/2014/chart" uri="{C3380CC4-5D6E-409C-BE32-E72D297353CC}">
              <c16:uniqueId val="{00000002-F45C-FE4C-8514-EAE1C2CAAB1E}"/>
            </c:ext>
          </c:extLst>
        </c:ser>
        <c:dLbls>
          <c:showLegendKey val="0"/>
          <c:showVal val="0"/>
          <c:showCatName val="0"/>
          <c:showSerName val="0"/>
          <c:showPercent val="0"/>
          <c:showBubbleSize val="0"/>
        </c:dLbls>
        <c:axId val="84372480"/>
        <c:axId val="95206400"/>
      </c:scatterChart>
      <c:valAx>
        <c:axId val="84372480"/>
        <c:scaling>
          <c:orientation val="minMax"/>
          <c:max val="10"/>
        </c:scaling>
        <c:delete val="0"/>
        <c:axPos val="b"/>
        <c:title>
          <c:tx>
            <c:rich>
              <a:bodyPr/>
              <a:lstStyle/>
              <a:p>
                <a:pPr>
                  <a:defRPr sz="1100" b="1" i="0" u="none" strike="noStrike" baseline="0">
                    <a:solidFill>
                      <a:srgbClr val="000000"/>
                    </a:solidFill>
                    <a:latin typeface="Arial"/>
                    <a:ea typeface="Arial"/>
                    <a:cs typeface="Arial"/>
                  </a:defRPr>
                </a:pPr>
                <a:r>
                  <a:rPr lang="en-GB" sz="1100"/>
                  <a:t>Generation number</a:t>
                </a:r>
              </a:p>
            </c:rich>
          </c:tx>
          <c:overlay val="0"/>
          <c:spPr>
            <a:noFill/>
            <a:ln w="25400">
              <a:noFill/>
            </a:ln>
          </c:spPr>
        </c:title>
        <c:numFmt formatCode="General" sourceLinked="1"/>
        <c:majorTickMark val="out"/>
        <c:minorTickMark val="out"/>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95206400"/>
        <c:crosses val="autoZero"/>
        <c:crossBetween val="midCat"/>
        <c:majorUnit val="2"/>
      </c:valAx>
      <c:valAx>
        <c:axId val="95206400"/>
        <c:scaling>
          <c:orientation val="minMax"/>
          <c:max val="1"/>
          <c:min val="0"/>
        </c:scaling>
        <c:delete val="0"/>
        <c:axPos val="l"/>
        <c:numFmt formatCode="General" sourceLinked="1"/>
        <c:majorTickMark val="out"/>
        <c:minorTickMark val="out"/>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84372480"/>
        <c:crosses val="autoZero"/>
        <c:crossBetween val="midCat"/>
        <c:majorUnit val="0.2"/>
        <c:minorUnit val="0.05"/>
      </c:valAx>
      <c:spPr>
        <a:noFill/>
        <a:ln w="25400">
          <a:noFill/>
        </a:ln>
      </c:spPr>
    </c:plotArea>
    <c:legend>
      <c:legendPos val="r"/>
      <c:layout>
        <c:manualLayout>
          <c:xMode val="edge"/>
          <c:yMode val="edge"/>
          <c:x val="0.53876712328767118"/>
          <c:y val="0.16905240293239249"/>
          <c:w val="0.30369863013698628"/>
          <c:h val="0.26892599631942643"/>
        </c:manualLayout>
      </c:layout>
      <c:overlay val="0"/>
      <c:spPr>
        <a:noFill/>
        <a:ln w="25400">
          <a:noFill/>
        </a:ln>
      </c:spPr>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 b="0" i="0" u="none" strike="noStrike" baseline="0">
          <a:solidFill>
            <a:srgbClr val="000000"/>
          </a:solidFill>
          <a:latin typeface="Arial"/>
          <a:ea typeface="Arial"/>
          <a:cs typeface="Arial"/>
        </a:defRPr>
      </a:pPr>
      <a:endParaRPr lang="en-US"/>
    </a:p>
  </c:txPr>
  <c:printSettings>
    <c:headerFooter alignWithMargins="0"/>
    <c:pageMargins b="1" l="0.75000000000000111" r="0.75000000000000111"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1100" b="1" i="0" u="none" strike="noStrike" baseline="0">
                <a:solidFill>
                  <a:srgbClr val="000000"/>
                </a:solidFill>
                <a:latin typeface="Arial"/>
                <a:ea typeface="Arial"/>
                <a:cs typeface="Arial"/>
              </a:defRPr>
            </a:pPr>
            <a:r>
              <a:rPr lang="en-GB" sz="1100"/>
              <a:t>Average number of secondary infectious individuals resulting from each infectious person in the preceding generation</a:t>
            </a:r>
          </a:p>
        </c:rich>
      </c:tx>
      <c:overlay val="0"/>
      <c:spPr>
        <a:noFill/>
        <a:ln w="25400">
          <a:noFill/>
        </a:ln>
      </c:spPr>
    </c:title>
    <c:autoTitleDeleted val="0"/>
    <c:plotArea>
      <c:layout>
        <c:manualLayout>
          <c:layoutTarget val="inner"/>
          <c:xMode val="edge"/>
          <c:yMode val="edge"/>
          <c:x val="7.4668859885664976E-2"/>
          <c:y val="0.12883126678130771"/>
          <c:w val="0.88625013482903658"/>
          <c:h val="0.66134129785501095"/>
        </c:manualLayout>
      </c:layout>
      <c:scatterChart>
        <c:scatterStyle val="lineMarker"/>
        <c:varyColors val="0"/>
        <c:ser>
          <c:idx val="0"/>
          <c:order val="0"/>
          <c:spPr>
            <a:ln w="12700">
              <a:solidFill>
                <a:srgbClr val="FF6600"/>
              </a:solidFill>
              <a:prstDash val="solid"/>
            </a:ln>
          </c:spPr>
          <c:marker>
            <c:symbol val="square"/>
            <c:size val="5"/>
            <c:spPr>
              <a:solidFill>
                <a:srgbClr val="FF6600"/>
              </a:solidFill>
              <a:ln>
                <a:solidFill>
                  <a:srgbClr val="FF6600"/>
                </a:solidFill>
                <a:prstDash val="solid"/>
              </a:ln>
            </c:spPr>
          </c:marker>
          <c:xVal>
            <c:numRef>
              <c:f>'waifw B'!$A$47:$A$87</c:f>
              <c:numCache>
                <c:formatCode>General</c:formatCode>
                <c:ptCount val="41"/>
                <c:pt idx="0">
                  <c:v>0</c:v>
                </c:pt>
                <c:pt idx="1">
                  <c:v>1</c:v>
                </c:pt>
                <c:pt idx="2">
                  <c:v>2</c:v>
                </c:pt>
                <c:pt idx="3">
                  <c:v>3</c:v>
                </c:pt>
                <c:pt idx="4">
                  <c:v>4</c:v>
                </c:pt>
                <c:pt idx="5">
                  <c:v>5</c:v>
                </c:pt>
                <c:pt idx="6">
                  <c:v>6</c:v>
                </c:pt>
                <c:pt idx="7">
                  <c:v>7</c:v>
                </c:pt>
                <c:pt idx="8">
                  <c:v>8</c:v>
                </c:pt>
                <c:pt idx="9">
                  <c:v>9</c:v>
                </c:pt>
                <c:pt idx="10">
                  <c:v>10</c:v>
                </c:pt>
              </c:numCache>
            </c:numRef>
          </c:xVal>
          <c:yVal>
            <c:numRef>
              <c:f>'waifw B'!$K$47:$K$87</c:f>
              <c:numCache>
                <c:formatCode>General</c:formatCode>
                <c:ptCount val="41"/>
                <c:pt idx="1">
                  <c:v>1.1913066364553999</c:v>
                </c:pt>
                <c:pt idx="2">
                  <c:v>1.0245846256666342</c:v>
                </c:pt>
                <c:pt idx="3">
                  <c:v>0.99745535963517895</c:v>
                </c:pt>
                <c:pt idx="4">
                  <c:v>0.99218290026284495</c:v>
                </c:pt>
                <c:pt idx="5">
                  <c:v>0.99112475684103785</c:v>
                </c:pt>
                <c:pt idx="6">
                  <c:v>0.99091103890329413</c:v>
                </c:pt>
                <c:pt idx="7">
                  <c:v>0.99086781793575984</c:v>
                </c:pt>
                <c:pt idx="8">
                  <c:v>0.99085907493340264</c:v>
                </c:pt>
                <c:pt idx="9">
                  <c:v>0.99085730625252033</c:v>
                </c:pt>
                <c:pt idx="10">
                  <c:v>0.99085694845034655</c:v>
                </c:pt>
              </c:numCache>
            </c:numRef>
          </c:yVal>
          <c:smooth val="0"/>
          <c:extLst>
            <c:ext xmlns:c16="http://schemas.microsoft.com/office/drawing/2014/chart" uri="{C3380CC4-5D6E-409C-BE32-E72D297353CC}">
              <c16:uniqueId val="{00000000-5160-5B45-9C8F-BE2B36D8F681}"/>
            </c:ext>
          </c:extLst>
        </c:ser>
        <c:dLbls>
          <c:showLegendKey val="0"/>
          <c:showVal val="0"/>
          <c:showCatName val="0"/>
          <c:showSerName val="0"/>
          <c:showPercent val="0"/>
          <c:showBubbleSize val="0"/>
        </c:dLbls>
        <c:axId val="95636864"/>
        <c:axId val="95306496"/>
      </c:scatterChart>
      <c:valAx>
        <c:axId val="95636864"/>
        <c:scaling>
          <c:orientation val="minMax"/>
          <c:max val="10"/>
        </c:scaling>
        <c:delete val="0"/>
        <c:axPos val="b"/>
        <c:title>
          <c:tx>
            <c:rich>
              <a:bodyPr/>
              <a:lstStyle/>
              <a:p>
                <a:pPr>
                  <a:defRPr sz="1100" b="1" i="0" u="none" strike="noStrike" baseline="0">
                    <a:solidFill>
                      <a:srgbClr val="000000"/>
                    </a:solidFill>
                    <a:latin typeface="Arial"/>
                    <a:ea typeface="Arial"/>
                    <a:cs typeface="Arial"/>
                  </a:defRPr>
                </a:pPr>
                <a:r>
                  <a:rPr lang="en-GB" sz="1100"/>
                  <a:t>Generation number</a:t>
                </a:r>
              </a:p>
            </c:rich>
          </c:tx>
          <c:overlay val="0"/>
          <c:spPr>
            <a:noFill/>
            <a:ln w="25400">
              <a:noFill/>
            </a:ln>
          </c:spPr>
        </c:title>
        <c:numFmt formatCode="General" sourceLinked="1"/>
        <c:majorTickMark val="out"/>
        <c:minorTickMark val="out"/>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95306496"/>
        <c:crosses val="autoZero"/>
        <c:crossBetween val="midCat"/>
        <c:majorUnit val="2"/>
      </c:valAx>
      <c:valAx>
        <c:axId val="95306496"/>
        <c:scaling>
          <c:orientation val="minMax"/>
          <c:max val="15"/>
          <c:min val="0"/>
        </c:scaling>
        <c:delete val="0"/>
        <c:axPos val="l"/>
        <c:numFmt formatCode="General" sourceLinked="1"/>
        <c:majorTickMark val="out"/>
        <c:minorTickMark val="out"/>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95636864"/>
        <c:crosses val="autoZero"/>
        <c:crossBetween val="midCat"/>
        <c:majorUnit val="5"/>
        <c:minorUnit val="1"/>
      </c:valAx>
      <c:spPr>
        <a:noFill/>
        <a:ln w="25400">
          <a:noFill/>
        </a:ln>
      </c:spPr>
    </c:plotArea>
    <c:plotVisOnly val="1"/>
    <c:dispBlanksAs val="gap"/>
    <c:showDLblsOverMax val="0"/>
  </c:chart>
  <c:spPr>
    <a:solidFill>
      <a:srgbClr val="FFFFFF"/>
    </a:solidFill>
    <a:ln w="9525">
      <a:noFill/>
    </a:ln>
  </c:spPr>
  <c:txPr>
    <a:bodyPr/>
    <a:lstStyle/>
    <a:p>
      <a:pPr>
        <a:defRPr sz="100" b="0" i="0" u="none" strike="noStrike" baseline="0">
          <a:solidFill>
            <a:srgbClr val="000000"/>
          </a:solidFill>
          <a:latin typeface="Arial"/>
          <a:ea typeface="Arial"/>
          <a:cs typeface="Arial"/>
        </a:defRPr>
      </a:pPr>
      <a:endParaRPr lang="en-US"/>
    </a:p>
  </c:txPr>
  <c:printSettings>
    <c:headerFooter alignWithMargins="0"/>
    <c:pageMargins b="1" l="0.75000000000000111" r="0.75000000000000111" t="1" header="0.5" footer="0.5"/>
    <c:pageSetup orientation="landscape" horizontalDpi="200" verticalDpi="200"/>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76200</xdr:colOff>
      <xdr:row>42</xdr:row>
      <xdr:rowOff>123825</xdr:rowOff>
    </xdr:from>
    <xdr:to>
      <xdr:col>23</xdr:col>
      <xdr:colOff>152400</xdr:colOff>
      <xdr:row>63</xdr:row>
      <xdr:rowOff>38100</xdr:rowOff>
    </xdr:to>
    <xdr:graphicFrame macro="">
      <xdr:nvGraphicFramePr>
        <xdr:cNvPr id="1026" name="Chart 2">
          <a:extLst>
            <a:ext uri="{FF2B5EF4-FFF2-40B4-BE49-F238E27FC236}">
              <a16:creationId xmlns:a16="http://schemas.microsoft.com/office/drawing/2014/main" id="{00000000-0008-0000-0100-000002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76200</xdr:colOff>
      <xdr:row>63</xdr:row>
      <xdr:rowOff>85725</xdr:rowOff>
    </xdr:from>
    <xdr:to>
      <xdr:col>23</xdr:col>
      <xdr:colOff>152400</xdr:colOff>
      <xdr:row>84</xdr:row>
      <xdr:rowOff>0</xdr:rowOff>
    </xdr:to>
    <xdr:graphicFrame macro="">
      <xdr:nvGraphicFramePr>
        <xdr:cNvPr id="1027" name="Chart 3">
          <a:extLst>
            <a:ext uri="{FF2B5EF4-FFF2-40B4-BE49-F238E27FC236}">
              <a16:creationId xmlns:a16="http://schemas.microsoft.com/office/drawing/2014/main" id="{00000000-0008-0000-0100-000003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E9"/>
  <sheetViews>
    <sheetView workbookViewId="0">
      <selection activeCell="C2" sqref="C2"/>
    </sheetView>
  </sheetViews>
  <sheetFormatPr baseColWidth="10" defaultColWidth="8.83203125" defaultRowHeight="13" x14ac:dyDescent="0.15"/>
  <sheetData>
    <row r="2" spans="1:5" x14ac:dyDescent="0.15">
      <c r="A2" s="1" t="s">
        <v>32</v>
      </c>
      <c r="B2">
        <v>2.9142804810632326</v>
      </c>
    </row>
    <row r="4" spans="1:5" x14ac:dyDescent="0.15">
      <c r="A4" s="1" t="s">
        <v>39</v>
      </c>
    </row>
    <row r="5" spans="1:5" x14ac:dyDescent="0.15">
      <c r="B5">
        <f>R_yy-R0_new</f>
        <v>-2.1430950427112325</v>
      </c>
      <c r="C5">
        <f>R_ym</f>
        <v>0</v>
      </c>
      <c r="D5">
        <f>R_yo</f>
        <v>0.29842415234100006</v>
      </c>
    </row>
    <row r="6" spans="1:5" x14ac:dyDescent="0.15">
      <c r="B6">
        <f>R_my</f>
        <v>0</v>
      </c>
      <c r="C6">
        <f>R_mm-R0_new</f>
        <v>-2.9142804810632326</v>
      </c>
      <c r="D6">
        <f>R_mo</f>
        <v>0</v>
      </c>
    </row>
    <row r="7" spans="1:5" x14ac:dyDescent="0.15">
      <c r="B7">
        <f>R_oy</f>
        <v>0.42012119810339998</v>
      </c>
      <c r="C7">
        <f>R_om</f>
        <v>0</v>
      </c>
      <c r="D7">
        <f>R_oo-R0_new</f>
        <v>-2.4941592829598327</v>
      </c>
    </row>
    <row r="9" spans="1:5" x14ac:dyDescent="0.15">
      <c r="A9" s="1" t="s">
        <v>31</v>
      </c>
      <c r="E9">
        <f>MDETERM(B5:D7)</f>
        <v>-15.212095552730716</v>
      </c>
    </row>
  </sheetData>
  <phoneticPr fontId="0" type="noConversion"/>
  <pageMargins left="0.75" right="0.75" top="1" bottom="1" header="0.5" footer="0.5"/>
  <pageSetup orientation="portrait" horizontalDpi="200" verticalDpi="200"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N91"/>
  <sheetViews>
    <sheetView tabSelected="1" zoomScale="165" zoomScaleNormal="165" workbookViewId="0">
      <selection sqref="A1:XFD1048576"/>
    </sheetView>
  </sheetViews>
  <sheetFormatPr baseColWidth="10" defaultColWidth="8.83203125" defaultRowHeight="13" x14ac:dyDescent="0.15"/>
  <cols>
    <col min="1" max="1" width="17.5" customWidth="1"/>
    <col min="2" max="2" width="15" customWidth="1"/>
    <col min="3" max="3" width="12.5" customWidth="1"/>
    <col min="4" max="4" width="13.83203125" bestFit="1" customWidth="1"/>
    <col min="5" max="5" width="14" bestFit="1" customWidth="1"/>
    <col min="6" max="6" width="13.5" bestFit="1" customWidth="1"/>
    <col min="7" max="8" width="12.83203125" bestFit="1" customWidth="1"/>
    <col min="9" max="9" width="9.5" bestFit="1" customWidth="1"/>
    <col min="11" max="11" width="36.6640625" customWidth="1"/>
    <col min="15" max="24" width="9.1640625" customWidth="1"/>
  </cols>
  <sheetData>
    <row r="2" spans="1:9" x14ac:dyDescent="0.15">
      <c r="A2" s="6" t="s">
        <v>27</v>
      </c>
      <c r="B2" s="3"/>
      <c r="C2" s="3"/>
      <c r="D2" s="3"/>
      <c r="E2" s="3"/>
      <c r="F2" s="7" t="s">
        <v>33</v>
      </c>
      <c r="G2" s="4" t="s">
        <v>34</v>
      </c>
      <c r="H2" s="3"/>
      <c r="I2" s="3"/>
    </row>
    <row r="3" spans="1:9" x14ac:dyDescent="0.15">
      <c r="A3" s="5" t="s">
        <v>63</v>
      </c>
      <c r="B3" s="3"/>
      <c r="C3" s="3"/>
      <c r="D3" s="3"/>
      <c r="E3" s="3"/>
      <c r="F3" s="8">
        <v>6</v>
      </c>
      <c r="G3" s="3" t="s">
        <v>1</v>
      </c>
      <c r="H3" s="3"/>
      <c r="I3" s="3"/>
    </row>
    <row r="4" spans="1:9" x14ac:dyDescent="0.15">
      <c r="A4" s="5" t="s">
        <v>0</v>
      </c>
      <c r="B4" s="3"/>
      <c r="C4" s="3"/>
      <c r="D4" s="3"/>
      <c r="E4" s="3"/>
      <c r="F4" s="8">
        <v>28480</v>
      </c>
      <c r="G4" s="3" t="s">
        <v>2</v>
      </c>
      <c r="H4" s="3"/>
      <c r="I4" s="3"/>
    </row>
    <row r="5" spans="1:9" x14ac:dyDescent="0.15">
      <c r="A5" s="5" t="s">
        <v>3</v>
      </c>
      <c r="B5" s="3"/>
      <c r="C5" s="3"/>
      <c r="D5" s="3"/>
      <c r="E5" s="3"/>
      <c r="F5" s="8">
        <v>0</v>
      </c>
      <c r="G5" s="3" t="s">
        <v>4</v>
      </c>
      <c r="H5" s="3"/>
      <c r="I5" s="3"/>
    </row>
    <row r="6" spans="1:9" x14ac:dyDescent="0.15">
      <c r="A6" s="5" t="s">
        <v>5</v>
      </c>
      <c r="B6" s="3"/>
      <c r="C6" s="3"/>
      <c r="D6" s="3"/>
      <c r="E6" s="3"/>
      <c r="F6" s="8">
        <v>60520</v>
      </c>
      <c r="G6" s="3" t="s">
        <v>6</v>
      </c>
      <c r="H6" s="3"/>
      <c r="I6" s="3"/>
    </row>
    <row r="7" spans="1:9" x14ac:dyDescent="0.15">
      <c r="A7" s="5"/>
      <c r="B7" s="3"/>
      <c r="C7" s="3"/>
      <c r="D7" s="3"/>
      <c r="E7" s="3"/>
      <c r="F7" s="8"/>
      <c r="G7" s="3"/>
      <c r="H7" s="3"/>
      <c r="I7" s="3"/>
    </row>
    <row r="8" spans="1:9" x14ac:dyDescent="0.15">
      <c r="A8" s="5" t="s">
        <v>40</v>
      </c>
      <c r="B8" s="3"/>
      <c r="C8" s="3"/>
      <c r="D8" s="3"/>
      <c r="E8" s="3"/>
      <c r="F8" s="8">
        <v>0</v>
      </c>
      <c r="G8" s="3" t="s">
        <v>36</v>
      </c>
      <c r="H8" s="3"/>
      <c r="I8" s="3"/>
    </row>
    <row r="9" spans="1:9" x14ac:dyDescent="0.15">
      <c r="A9" s="5" t="s">
        <v>22</v>
      </c>
      <c r="B9" s="3"/>
      <c r="C9" s="3"/>
      <c r="D9" s="3"/>
      <c r="E9" s="3"/>
      <c r="F9" s="8">
        <v>17091.87585</v>
      </c>
      <c r="G9" s="3" t="s">
        <v>23</v>
      </c>
      <c r="H9" s="3"/>
      <c r="I9" s="3"/>
    </row>
    <row r="10" spans="1:9" x14ac:dyDescent="0.15">
      <c r="A10" s="5" t="s">
        <v>26</v>
      </c>
      <c r="B10" s="3"/>
      <c r="C10" s="3"/>
      <c r="D10" s="3"/>
      <c r="E10" s="3"/>
      <c r="F10" s="8">
        <f>N_m*(1-prop_imm)</f>
        <v>0</v>
      </c>
      <c r="G10" s="3" t="s">
        <v>24</v>
      </c>
      <c r="H10" s="3"/>
      <c r="I10" s="3"/>
    </row>
    <row r="11" spans="1:9" x14ac:dyDescent="0.15">
      <c r="A11" s="5" t="s">
        <v>28</v>
      </c>
      <c r="B11" s="3"/>
      <c r="C11" s="3"/>
      <c r="D11" s="3"/>
      <c r="E11" s="3"/>
      <c r="F11" s="8">
        <v>24061.924289999999</v>
      </c>
      <c r="G11" s="3" t="s">
        <v>25</v>
      </c>
      <c r="H11" s="3"/>
      <c r="I11" s="3"/>
    </row>
    <row r="13" spans="1:9" x14ac:dyDescent="0.15">
      <c r="A13" s="4" t="s">
        <v>7</v>
      </c>
      <c r="B13" s="3"/>
      <c r="C13" s="3"/>
      <c r="D13" s="3"/>
      <c r="E13" s="3"/>
      <c r="F13" s="3"/>
      <c r="G13" s="3"/>
      <c r="H13" s="3"/>
      <c r="I13" s="3"/>
    </row>
    <row r="14" spans="1:9" x14ac:dyDescent="0.15">
      <c r="A14" s="5" t="s">
        <v>47</v>
      </c>
      <c r="B14" s="3"/>
      <c r="C14" s="3"/>
      <c r="D14" s="3"/>
      <c r="E14" s="3"/>
      <c r="F14" s="3"/>
      <c r="G14" s="3"/>
      <c r="H14" s="3"/>
      <c r="I14" s="3"/>
    </row>
    <row r="15" spans="1:9" x14ac:dyDescent="0.15">
      <c r="A15" s="3"/>
      <c r="B15" s="3"/>
      <c r="C15" s="3"/>
      <c r="D15" s="3"/>
      <c r="E15" s="9"/>
      <c r="F15" s="4" t="s">
        <v>12</v>
      </c>
      <c r="G15" s="3"/>
      <c r="H15" s="3"/>
      <c r="I15" s="3"/>
    </row>
    <row r="16" spans="1:9" ht="14" thickBot="1" x14ac:dyDescent="0.2">
      <c r="A16" s="10"/>
      <c r="B16" s="10"/>
      <c r="C16" s="10"/>
      <c r="D16" s="10"/>
      <c r="E16" s="11"/>
      <c r="F16" s="12" t="s">
        <v>8</v>
      </c>
      <c r="G16" s="12" t="s">
        <v>9</v>
      </c>
      <c r="H16" s="12" t="s">
        <v>10</v>
      </c>
      <c r="I16" s="3"/>
    </row>
    <row r="17" spans="1:10" x14ac:dyDescent="0.15">
      <c r="A17" s="4"/>
      <c r="B17" s="4" t="s">
        <v>13</v>
      </c>
      <c r="C17" s="3"/>
      <c r="D17" s="3"/>
      <c r="E17" s="26" t="s">
        <v>8</v>
      </c>
      <c r="F17" s="15">
        <v>7.52E-6</v>
      </c>
      <c r="G17" s="15">
        <v>0</v>
      </c>
      <c r="H17" s="15">
        <v>2.9100000000000001E-6</v>
      </c>
      <c r="I17" s="3"/>
    </row>
    <row r="18" spans="1:10" x14ac:dyDescent="0.15">
      <c r="A18" s="4"/>
      <c r="B18" s="4" t="s">
        <v>14</v>
      </c>
      <c r="C18" s="3"/>
      <c r="D18" s="3"/>
      <c r="E18" s="9" t="s">
        <v>9</v>
      </c>
      <c r="F18" s="15">
        <v>0</v>
      </c>
      <c r="G18" s="15">
        <v>0</v>
      </c>
      <c r="H18" s="15">
        <v>0</v>
      </c>
      <c r="I18" s="3"/>
    </row>
    <row r="19" spans="1:10" x14ac:dyDescent="0.15">
      <c r="A19" s="3"/>
      <c r="B19" s="3"/>
      <c r="C19" s="3"/>
      <c r="D19" s="3"/>
      <c r="E19" s="9" t="s">
        <v>10</v>
      </c>
      <c r="F19" s="15">
        <v>2.9100000000000001E-6</v>
      </c>
      <c r="G19" s="15">
        <v>0</v>
      </c>
      <c r="H19" s="15">
        <v>2.9100000000000001E-6</v>
      </c>
      <c r="I19" s="3"/>
    </row>
    <row r="20" spans="1:10" x14ac:dyDescent="0.15">
      <c r="A20" s="3"/>
      <c r="B20" s="3"/>
      <c r="C20" s="3"/>
      <c r="D20" s="3"/>
      <c r="E20" s="9"/>
      <c r="F20" s="3"/>
      <c r="G20" s="3"/>
      <c r="H20" s="3"/>
      <c r="I20" s="3"/>
    </row>
    <row r="22" spans="1:10" x14ac:dyDescent="0.15">
      <c r="A22" s="16" t="s">
        <v>59</v>
      </c>
      <c r="B22" s="17"/>
      <c r="C22" s="17"/>
      <c r="D22" s="17"/>
      <c r="E22" s="17"/>
      <c r="F22" s="17"/>
      <c r="G22" s="17"/>
      <c r="H22" s="17"/>
      <c r="I22" s="17"/>
      <c r="J22" s="17"/>
    </row>
    <row r="23" spans="1:10" x14ac:dyDescent="0.15">
      <c r="A23" s="17"/>
      <c r="B23" s="17"/>
      <c r="C23" s="17"/>
      <c r="D23" s="17"/>
      <c r="E23" s="18"/>
      <c r="F23" s="16" t="s">
        <v>12</v>
      </c>
      <c r="G23" s="17"/>
      <c r="H23" s="17"/>
      <c r="I23" s="17"/>
      <c r="J23" s="17"/>
    </row>
    <row r="24" spans="1:10" ht="14" thickBot="1" x14ac:dyDescent="0.2">
      <c r="A24" s="19"/>
      <c r="B24" s="19"/>
      <c r="C24" s="19"/>
      <c r="D24" s="19"/>
      <c r="E24" s="20"/>
      <c r="F24" s="19" t="s">
        <v>11</v>
      </c>
      <c r="G24" s="19" t="s">
        <v>9</v>
      </c>
      <c r="H24" s="19" t="s">
        <v>10</v>
      </c>
      <c r="I24" s="17"/>
      <c r="J24" s="17"/>
    </row>
    <row r="25" spans="1:10" x14ac:dyDescent="0.15">
      <c r="A25" s="16"/>
      <c r="B25" s="16" t="s">
        <v>58</v>
      </c>
      <c r="C25" s="17"/>
      <c r="D25" s="17"/>
      <c r="E25" s="27" t="s">
        <v>8</v>
      </c>
      <c r="F25" s="17">
        <f>S_y*b_yy*ave_infous</f>
        <v>0.77118543835200004</v>
      </c>
      <c r="G25" s="17">
        <f>S_y*b_ym*ave_infous</f>
        <v>0</v>
      </c>
      <c r="H25" s="17">
        <f>S_y*b_yo*ave_infous</f>
        <v>0.29842415234100006</v>
      </c>
      <c r="I25" s="17"/>
      <c r="J25" s="17"/>
    </row>
    <row r="26" spans="1:10" x14ac:dyDescent="0.15">
      <c r="A26" s="16"/>
      <c r="B26" s="16" t="s">
        <v>49</v>
      </c>
      <c r="C26" s="17"/>
      <c r="D26" s="17"/>
      <c r="E26" s="18" t="s">
        <v>9</v>
      </c>
      <c r="F26" s="17">
        <f>S_m*b_my*ave_infous</f>
        <v>0</v>
      </c>
      <c r="G26" s="17">
        <f>S_m*b_mm*ave_infous</f>
        <v>0</v>
      </c>
      <c r="H26" s="17">
        <f>S_m*b_mo*ave_infous</f>
        <v>0</v>
      </c>
      <c r="I26" s="17"/>
      <c r="J26" s="17"/>
    </row>
    <row r="27" spans="1:10" x14ac:dyDescent="0.15">
      <c r="A27" s="16"/>
      <c r="B27" s="16" t="s">
        <v>50</v>
      </c>
      <c r="C27" s="17"/>
      <c r="D27" s="17"/>
      <c r="E27" s="18" t="s">
        <v>10</v>
      </c>
      <c r="F27" s="17">
        <f>S_o*b_oy*ave_infous</f>
        <v>0.42012119810339998</v>
      </c>
      <c r="G27" s="17">
        <f>S_o*b_om*ave_infous</f>
        <v>0</v>
      </c>
      <c r="H27" s="17">
        <f>S_o*b_oo*ave_infous</f>
        <v>0.42012119810339998</v>
      </c>
      <c r="I27" s="17"/>
      <c r="J27" s="17"/>
    </row>
    <row r="28" spans="1:10" x14ac:dyDescent="0.15">
      <c r="A28" s="17"/>
      <c r="B28" s="17"/>
      <c r="C28" s="17"/>
      <c r="D28" s="17"/>
      <c r="E28" s="18"/>
      <c r="F28" s="17"/>
      <c r="G28" s="17"/>
      <c r="H28" s="17"/>
      <c r="I28" s="17"/>
      <c r="J28" s="17"/>
    </row>
    <row r="29" spans="1:10" x14ac:dyDescent="0.15">
      <c r="A29" s="17"/>
      <c r="B29" s="17"/>
      <c r="C29" s="17"/>
      <c r="D29" s="17"/>
      <c r="E29" s="18" t="s">
        <v>20</v>
      </c>
      <c r="F29" s="17">
        <f>SUM(F25:F27)</f>
        <v>1.1913066364553999</v>
      </c>
      <c r="G29" s="17">
        <f>SUM(G25:G27)</f>
        <v>0</v>
      </c>
      <c r="H29" s="17">
        <f>SUM(H25:H27)</f>
        <v>0.71854535044440004</v>
      </c>
      <c r="I29" s="17"/>
      <c r="J29" s="17"/>
    </row>
    <row r="30" spans="1:10" x14ac:dyDescent="0.15">
      <c r="A30" s="23"/>
      <c r="B30" s="23"/>
      <c r="C30" s="23"/>
      <c r="D30" s="23"/>
      <c r="E30" s="23"/>
      <c r="F30" s="23"/>
      <c r="G30" s="23"/>
      <c r="H30" s="23"/>
    </row>
    <row r="31" spans="1:10" x14ac:dyDescent="0.15">
      <c r="A31" s="24" t="s">
        <v>41</v>
      </c>
      <c r="B31" s="14"/>
      <c r="C31" s="14"/>
      <c r="D31" s="14"/>
      <c r="E31" s="14"/>
      <c r="F31" s="14"/>
      <c r="G31" s="13" t="s">
        <v>38</v>
      </c>
      <c r="H31" s="14"/>
    </row>
    <row r="32" spans="1:10" x14ac:dyDescent="0.15">
      <c r="A32" s="14"/>
      <c r="B32" s="13" t="s">
        <v>48</v>
      </c>
      <c r="C32" s="14"/>
      <c r="D32" s="14"/>
      <c r="E32" s="14"/>
      <c r="F32" s="25" t="s">
        <v>35</v>
      </c>
      <c r="G32" s="25" t="s">
        <v>37</v>
      </c>
      <c r="H32" s="14"/>
    </row>
    <row r="33" spans="1:14" x14ac:dyDescent="0.15">
      <c r="A33" s="14"/>
      <c r="B33" s="14"/>
      <c r="C33" s="14" t="s">
        <v>15</v>
      </c>
      <c r="D33" s="14"/>
      <c r="E33" s="14"/>
      <c r="F33" s="14">
        <v>0.44557994550657143</v>
      </c>
      <c r="G33" s="35" t="s">
        <v>55</v>
      </c>
      <c r="H33" s="14"/>
    </row>
    <row r="34" spans="1:14" x14ac:dyDescent="0.15">
      <c r="A34" s="14"/>
      <c r="B34" s="14"/>
      <c r="C34" s="14" t="s">
        <v>16</v>
      </c>
      <c r="D34" s="14"/>
      <c r="E34" s="14"/>
      <c r="F34" s="14">
        <v>0</v>
      </c>
      <c r="G34" s="35" t="s">
        <v>56</v>
      </c>
      <c r="H34" s="14"/>
    </row>
    <row r="35" spans="1:14" x14ac:dyDescent="0.15">
      <c r="A35" s="14"/>
      <c r="B35" s="14"/>
      <c r="C35" s="14" t="s">
        <v>17</v>
      </c>
      <c r="D35" s="14"/>
      <c r="E35" s="14"/>
      <c r="F35" s="14">
        <f>1-x_-w_</f>
        <v>0.55442005449342857</v>
      </c>
      <c r="G35" s="35" t="s">
        <v>57</v>
      </c>
      <c r="H35" s="14"/>
    </row>
    <row r="36" spans="1:14" x14ac:dyDescent="0.15">
      <c r="A36" s="28" t="s">
        <v>30</v>
      </c>
      <c r="B36" s="28"/>
      <c r="C36" s="28"/>
      <c r="D36" s="28"/>
      <c r="E36" s="28"/>
      <c r="F36" s="28">
        <v>1.9</v>
      </c>
      <c r="G36" s="28" t="s">
        <v>29</v>
      </c>
      <c r="H36" s="28"/>
      <c r="I36" s="28"/>
      <c r="J36" s="30"/>
      <c r="K36" s="30"/>
      <c r="L36" s="30"/>
    </row>
    <row r="37" spans="1:14" x14ac:dyDescent="0.15">
      <c r="A37" s="28"/>
      <c r="B37" s="28"/>
      <c r="C37" s="28"/>
      <c r="D37" s="28"/>
      <c r="E37" s="28"/>
      <c r="F37" s="28"/>
      <c r="G37" s="28"/>
      <c r="H37" s="28"/>
      <c r="I37" s="28"/>
      <c r="J37" s="23"/>
      <c r="K37" s="31" t="s">
        <v>42</v>
      </c>
      <c r="L37" s="30"/>
    </row>
    <row r="38" spans="1:14" x14ac:dyDescent="0.15">
      <c r="A38" s="28"/>
      <c r="B38" s="28"/>
      <c r="C38" s="28"/>
      <c r="D38" s="28"/>
      <c r="E38" s="28"/>
      <c r="F38" s="29" t="s">
        <v>45</v>
      </c>
      <c r="G38" s="28"/>
      <c r="H38" s="29" t="s">
        <v>46</v>
      </c>
      <c r="I38" s="28"/>
      <c r="J38" s="23"/>
      <c r="K38" s="31" t="s">
        <v>43</v>
      </c>
      <c r="L38" s="30"/>
    </row>
    <row r="39" spans="1:14" x14ac:dyDescent="0.15">
      <c r="A39" s="34" t="s">
        <v>60</v>
      </c>
      <c r="B39" s="28"/>
      <c r="C39" s="28"/>
      <c r="D39" s="28"/>
      <c r="E39" s="28"/>
      <c r="F39" s="28">
        <f>R_yy*x_+R_ym*w_+R_yo*z_</f>
        <v>0.50907710039939813</v>
      </c>
      <c r="G39" s="28"/>
      <c r="H39" s="28">
        <f>R0_est*x_</f>
        <v>0.84660189646248563</v>
      </c>
      <c r="I39" s="28"/>
      <c r="J39" s="23"/>
      <c r="K39" s="30">
        <f>(F39-H39)^2</f>
        <v>0.11392298795742881</v>
      </c>
      <c r="L39" s="30"/>
    </row>
    <row r="40" spans="1:14" x14ac:dyDescent="0.15">
      <c r="A40" s="34" t="s">
        <v>61</v>
      </c>
      <c r="B40" s="28"/>
      <c r="C40" s="28"/>
      <c r="D40" s="28"/>
      <c r="E40" s="28"/>
      <c r="F40" s="28">
        <f>R_my*x_+R_mm*w_+R_mo*z_</f>
        <v>0</v>
      </c>
      <c r="G40" s="28"/>
      <c r="H40" s="28">
        <f xml:space="preserve"> R0_est*w_</f>
        <v>0</v>
      </c>
      <c r="I40" s="28"/>
      <c r="J40" s="23"/>
      <c r="K40" s="30">
        <f>(F40-H40)^2</f>
        <v>0</v>
      </c>
      <c r="L40" s="30"/>
    </row>
    <row r="41" spans="1:14" x14ac:dyDescent="0.15">
      <c r="A41" s="34" t="s">
        <v>62</v>
      </c>
      <c r="B41" s="28"/>
      <c r="C41" s="28"/>
      <c r="D41" s="28"/>
      <c r="E41" s="28"/>
      <c r="F41" s="28">
        <f>R_oy*x_+R_om*w_+R_oo*z_</f>
        <v>0.42012119810339998</v>
      </c>
      <c r="G41" s="28"/>
      <c r="H41" s="28">
        <f xml:space="preserve"> R0_est*z_</f>
        <v>1.0533981035375142</v>
      </c>
      <c r="I41" s="28"/>
      <c r="J41" s="23"/>
      <c r="K41" s="30">
        <f>(F41-H41)^2</f>
        <v>0.40103963895620803</v>
      </c>
      <c r="L41" s="30"/>
    </row>
    <row r="42" spans="1:14" x14ac:dyDescent="0.15">
      <c r="A42" s="28"/>
      <c r="B42" s="28"/>
      <c r="C42" s="28"/>
      <c r="D42" s="28"/>
      <c r="E42" s="28"/>
      <c r="F42" s="28"/>
      <c r="G42" s="28"/>
      <c r="H42" s="28"/>
      <c r="I42" s="28"/>
      <c r="J42" s="32" t="s">
        <v>44</v>
      </c>
      <c r="K42" s="33">
        <f>SUM(K39:K41)</f>
        <v>0.51496262691363681</v>
      </c>
      <c r="L42" s="30"/>
    </row>
    <row r="43" spans="1:14" s="23" customFormat="1" x14ac:dyDescent="0.15"/>
    <row r="44" spans="1:14" x14ac:dyDescent="0.15">
      <c r="A44" s="21"/>
      <c r="B44" s="21"/>
      <c r="C44" s="21"/>
      <c r="D44" s="21"/>
      <c r="E44" s="21"/>
      <c r="F44" s="21"/>
      <c r="G44" s="21"/>
      <c r="H44" s="21"/>
      <c r="I44" s="21"/>
      <c r="J44" s="21"/>
      <c r="K44" s="21" t="s">
        <v>51</v>
      </c>
      <c r="L44" s="21"/>
      <c r="M44" s="21"/>
      <c r="N44" s="22"/>
    </row>
    <row r="45" spans="1:14" x14ac:dyDescent="0.15">
      <c r="A45" s="21" t="s">
        <v>19</v>
      </c>
      <c r="B45" s="21" t="s">
        <v>52</v>
      </c>
      <c r="C45" s="21"/>
      <c r="D45" s="21"/>
      <c r="E45" s="21"/>
      <c r="F45" s="21"/>
      <c r="G45" s="21" t="s">
        <v>53</v>
      </c>
      <c r="H45" s="21"/>
      <c r="I45" s="21"/>
      <c r="J45" s="21"/>
      <c r="K45" s="21" t="s">
        <v>54</v>
      </c>
      <c r="L45" s="21"/>
      <c r="M45" s="21"/>
      <c r="N45" s="22"/>
    </row>
    <row r="46" spans="1:14" x14ac:dyDescent="0.15">
      <c r="A46" s="21" t="s">
        <v>18</v>
      </c>
      <c r="B46" s="21" t="s">
        <v>8</v>
      </c>
      <c r="C46" s="21" t="s">
        <v>9</v>
      </c>
      <c r="D46" s="21" t="s">
        <v>10</v>
      </c>
      <c r="E46" s="21" t="s">
        <v>20</v>
      </c>
      <c r="F46" s="21"/>
      <c r="G46" s="21" t="s">
        <v>8</v>
      </c>
      <c r="H46" s="21" t="s">
        <v>9</v>
      </c>
      <c r="I46" s="21" t="s">
        <v>10</v>
      </c>
      <c r="J46" s="21"/>
      <c r="K46" s="21" t="s">
        <v>21</v>
      </c>
      <c r="L46" s="21"/>
      <c r="M46" s="21"/>
      <c r="N46" s="22"/>
    </row>
    <row r="47" spans="1:14" x14ac:dyDescent="0.15">
      <c r="A47" s="22">
        <v>0</v>
      </c>
      <c r="B47" s="22">
        <v>1</v>
      </c>
      <c r="C47" s="22">
        <v>0</v>
      </c>
      <c r="D47" s="22">
        <v>0</v>
      </c>
      <c r="E47" s="22">
        <f>SUM(B47:D47)</f>
        <v>1</v>
      </c>
      <c r="F47" s="22"/>
      <c r="G47" s="22">
        <f t="shared" ref="G47:I48" si="0">B47/$E47</f>
        <v>1</v>
      </c>
      <c r="H47" s="22">
        <f t="shared" si="0"/>
        <v>0</v>
      </c>
      <c r="I47" s="22">
        <f t="shared" si="0"/>
        <v>0</v>
      </c>
      <c r="J47" s="22"/>
      <c r="K47" s="22"/>
      <c r="L47" s="22"/>
      <c r="M47" s="22"/>
      <c r="N47" s="22"/>
    </row>
    <row r="48" spans="1:14" x14ac:dyDescent="0.15">
      <c r="A48" s="22">
        <f>A47+1</f>
        <v>1</v>
      </c>
      <c r="B48" s="22">
        <f t="shared" ref="B48:B57" si="1">R_yy*B47+R_ym*C47+R_yo*D47</f>
        <v>0.77118543835200004</v>
      </c>
      <c r="C48" s="22">
        <f t="shared" ref="C48:C57" si="2" xml:space="preserve"> R_my*B47+R_mm*C47+R_mo*D47</f>
        <v>0</v>
      </c>
      <c r="D48" s="22">
        <f t="shared" ref="D48:D57" si="3">R_oy*B47+R_om*C47+R_oo*D47</f>
        <v>0.42012119810339998</v>
      </c>
      <c r="E48" s="22">
        <f>SUM(B48:D48)</f>
        <v>1.1913066364553999</v>
      </c>
      <c r="F48" s="22"/>
      <c r="G48" s="22">
        <f t="shared" si="0"/>
        <v>0.64734419733157567</v>
      </c>
      <c r="H48" s="22">
        <f t="shared" si="0"/>
        <v>0</v>
      </c>
      <c r="I48" s="22">
        <f t="shared" si="0"/>
        <v>0.35265580266842445</v>
      </c>
      <c r="J48" s="22"/>
      <c r="K48" s="22">
        <f>E48/E47</f>
        <v>1.1913066364553999</v>
      </c>
      <c r="L48" s="22"/>
      <c r="M48" s="22"/>
      <c r="N48" s="22"/>
    </row>
    <row r="49" spans="1:14" x14ac:dyDescent="0.15">
      <c r="A49" s="22">
        <f t="shared" ref="A49:A57" si="4">A48+1</f>
        <v>2</v>
      </c>
      <c r="B49" s="22">
        <f t="shared" si="1"/>
        <v>0.72010129275065893</v>
      </c>
      <c r="C49" s="22">
        <f t="shared" si="2"/>
        <v>0</v>
      </c>
      <c r="D49" s="22">
        <f t="shared" si="3"/>
        <v>0.50049317141617422</v>
      </c>
      <c r="E49" s="22">
        <f t="shared" ref="E49:E57" si="5">SUM(B49:D49)</f>
        <v>1.2205944641668331</v>
      </c>
      <c r="F49" s="22"/>
      <c r="G49" s="22">
        <f t="shared" ref="G49:G57" si="6">B49/$E49</f>
        <v>0.58995949423889416</v>
      </c>
      <c r="H49" s="22">
        <f t="shared" ref="H49:H57" si="7">C49/$E49</f>
        <v>0</v>
      </c>
      <c r="I49" s="22">
        <f t="shared" ref="I49:I57" si="8">D49/$E49</f>
        <v>0.41004050576110584</v>
      </c>
      <c r="J49" s="22"/>
      <c r="K49" s="22">
        <f t="shared" ref="K49:K57" si="9">E49/E48</f>
        <v>1.0245846256666342</v>
      </c>
      <c r="L49" s="22"/>
      <c r="M49" s="22"/>
      <c r="N49" s="22"/>
    </row>
    <row r="50" spans="1:14" x14ac:dyDescent="0.15">
      <c r="A50" s="22">
        <f t="shared" si="4"/>
        <v>3</v>
      </c>
      <c r="B50" s="22">
        <f t="shared" si="1"/>
        <v>0.70469088154008952</v>
      </c>
      <c r="C50" s="22">
        <f t="shared" si="2"/>
        <v>0</v>
      </c>
      <c r="D50" s="22">
        <f t="shared" si="3"/>
        <v>0.51279760868414748</v>
      </c>
      <c r="E50" s="22">
        <f t="shared" si="5"/>
        <v>1.2174884902242371</v>
      </c>
      <c r="F50" s="22"/>
      <c r="G50" s="22">
        <f t="shared" si="6"/>
        <v>0.57880701723126726</v>
      </c>
      <c r="H50" s="22">
        <f t="shared" si="7"/>
        <v>0</v>
      </c>
      <c r="I50" s="22">
        <f t="shared" si="8"/>
        <v>0.42119298276873268</v>
      </c>
      <c r="J50" s="22"/>
      <c r="K50" s="22">
        <f t="shared" si="9"/>
        <v>0.99745535963517895</v>
      </c>
      <c r="L50" s="22"/>
      <c r="M50" s="22"/>
      <c r="N50" s="22"/>
    </row>
    <row r="51" spans="1:14" x14ac:dyDescent="0.15">
      <c r="A51" s="22">
        <f t="shared" si="4"/>
        <v>4</v>
      </c>
      <c r="B51" s="22">
        <f t="shared" si="1"/>
        <v>0.69647853807720983</v>
      </c>
      <c r="C51" s="22">
        <f t="shared" si="2"/>
        <v>0</v>
      </c>
      <c r="D51" s="22">
        <f t="shared" si="3"/>
        <v>0.51149272319010608</v>
      </c>
      <c r="E51" s="22">
        <f t="shared" si="5"/>
        <v>1.2079712612673159</v>
      </c>
      <c r="F51" s="22"/>
      <c r="G51" s="22">
        <f t="shared" si="6"/>
        <v>0.57656879795841753</v>
      </c>
      <c r="H51" s="22">
        <f t="shared" si="7"/>
        <v>0</v>
      </c>
      <c r="I51" s="22">
        <f t="shared" si="8"/>
        <v>0.42343120204158252</v>
      </c>
      <c r="J51" s="22"/>
      <c r="K51" s="22">
        <f t="shared" si="9"/>
        <v>0.99218290026284495</v>
      </c>
      <c r="L51" s="22"/>
      <c r="M51" s="22"/>
      <c r="N51" s="22"/>
    </row>
    <row r="52" spans="1:14" x14ac:dyDescent="0.15">
      <c r="A52" s="22">
        <f t="shared" si="4"/>
        <v>5</v>
      </c>
      <c r="B52" s="22">
        <f t="shared" si="1"/>
        <v>0.68975588903643037</v>
      </c>
      <c r="C52" s="22">
        <f t="shared" si="2"/>
        <v>0</v>
      </c>
      <c r="D52" s="22">
        <f t="shared" si="3"/>
        <v>0.50749433355809992</v>
      </c>
      <c r="E52" s="22">
        <f t="shared" si="5"/>
        <v>1.1972502225945303</v>
      </c>
      <c r="F52" s="22"/>
      <c r="G52" s="22">
        <f t="shared" si="6"/>
        <v>0.57611673484735548</v>
      </c>
      <c r="H52" s="22">
        <f t="shared" si="7"/>
        <v>0</v>
      </c>
      <c r="I52" s="22">
        <f t="shared" si="8"/>
        <v>0.42388326515264452</v>
      </c>
      <c r="J52" s="22"/>
      <c r="K52" s="22">
        <f t="shared" si="9"/>
        <v>0.99112475684103785</v>
      </c>
      <c r="L52" s="22"/>
      <c r="M52" s="22"/>
      <c r="N52" s="22"/>
    </row>
    <row r="53" spans="1:14" x14ac:dyDescent="0.15">
      <c r="A53" s="22">
        <f t="shared" si="4"/>
        <v>6</v>
      </c>
      <c r="B53" s="22">
        <f t="shared" si="1"/>
        <v>0.68337826395236978</v>
      </c>
      <c r="C53" s="22">
        <f t="shared" si="2"/>
        <v>0</v>
      </c>
      <c r="D53" s="22">
        <f t="shared" si="3"/>
        <v>0.50299019794597633</v>
      </c>
      <c r="E53" s="22">
        <f t="shared" si="5"/>
        <v>1.1863684618983461</v>
      </c>
      <c r="F53" s="22"/>
      <c r="G53" s="22">
        <f t="shared" si="6"/>
        <v>0.57602531245552024</v>
      </c>
      <c r="H53" s="22">
        <f t="shared" si="7"/>
        <v>0</v>
      </c>
      <c r="I53" s="22">
        <f t="shared" si="8"/>
        <v>0.42397468754447976</v>
      </c>
      <c r="J53" s="22"/>
      <c r="K53" s="22">
        <f t="shared" si="9"/>
        <v>0.99091103890329413</v>
      </c>
      <c r="L53" s="22"/>
      <c r="M53" s="22"/>
      <c r="N53" s="22"/>
    </row>
    <row r="54" spans="1:14" x14ac:dyDescent="0.15">
      <c r="A54" s="22">
        <f t="shared" si="4"/>
        <v>7</v>
      </c>
      <c r="B54" s="22">
        <f t="shared" si="1"/>
        <v>0.67711578950419682</v>
      </c>
      <c r="C54" s="22">
        <f t="shared" si="2"/>
        <v>0</v>
      </c>
      <c r="D54" s="22">
        <f t="shared" si="3"/>
        <v>0.49841853960482102</v>
      </c>
      <c r="E54" s="22">
        <f t="shared" si="5"/>
        <v>1.1755343291090179</v>
      </c>
      <c r="F54" s="22"/>
      <c r="G54" s="22">
        <f t="shared" si="6"/>
        <v>0.57600681897346939</v>
      </c>
      <c r="H54" s="22">
        <f t="shared" si="7"/>
        <v>0</v>
      </c>
      <c r="I54" s="22">
        <f t="shared" si="8"/>
        <v>0.42399318102653061</v>
      </c>
      <c r="J54" s="22"/>
      <c r="K54" s="22">
        <f t="shared" si="9"/>
        <v>0.99086781793575984</v>
      </c>
      <c r="L54" s="22"/>
      <c r="M54" s="22"/>
      <c r="N54" s="22"/>
    </row>
    <row r="55" spans="1:14" x14ac:dyDescent="0.15">
      <c r="A55" s="22">
        <f t="shared" si="4"/>
        <v>8</v>
      </c>
      <c r="B55" s="22">
        <f t="shared" si="1"/>
        <v>0.67092196713646246</v>
      </c>
      <c r="C55" s="22">
        <f t="shared" si="2"/>
        <v>0</v>
      </c>
      <c r="D55" s="22">
        <f t="shared" si="3"/>
        <v>0.49386689075695711</v>
      </c>
      <c r="E55" s="22">
        <f t="shared" si="5"/>
        <v>1.1647888578934196</v>
      </c>
      <c r="F55" s="22"/>
      <c r="G55" s="22">
        <f t="shared" si="6"/>
        <v>0.57600307780232318</v>
      </c>
      <c r="H55" s="22">
        <f t="shared" si="7"/>
        <v>0</v>
      </c>
      <c r="I55" s="22">
        <f t="shared" si="8"/>
        <v>0.42399692219767687</v>
      </c>
      <c r="J55" s="22"/>
      <c r="K55" s="22">
        <f t="shared" si="9"/>
        <v>0.99085907493340264</v>
      </c>
      <c r="L55" s="22"/>
      <c r="M55" s="22"/>
      <c r="N55" s="22"/>
    </row>
    <row r="56" spans="1:14" x14ac:dyDescent="0.15">
      <c r="A56" s="22">
        <f t="shared" si="4"/>
        <v>9</v>
      </c>
      <c r="B56" s="22">
        <f t="shared" si="1"/>
        <v>0.66478705956954909</v>
      </c>
      <c r="C56" s="22">
        <f t="shared" si="2"/>
        <v>0</v>
      </c>
      <c r="D56" s="22">
        <f t="shared" si="3"/>
        <v>0.48935249051567437</v>
      </c>
      <c r="E56" s="22">
        <f t="shared" si="5"/>
        <v>1.1541395500852234</v>
      </c>
      <c r="F56" s="22"/>
      <c r="G56" s="22">
        <f t="shared" si="6"/>
        <v>0.57600232096756432</v>
      </c>
      <c r="H56" s="22">
        <f t="shared" si="7"/>
        <v>0</v>
      </c>
      <c r="I56" s="22">
        <f t="shared" si="8"/>
        <v>0.42399767903243574</v>
      </c>
      <c r="J56" s="22"/>
      <c r="K56" s="22">
        <f t="shared" si="9"/>
        <v>0.99085730625252033</v>
      </c>
      <c r="L56" s="22"/>
      <c r="M56" s="22"/>
      <c r="N56" s="22"/>
    </row>
    <row r="57" spans="1:14" x14ac:dyDescent="0.15">
      <c r="A57" s="22">
        <f t="shared" si="4"/>
        <v>10</v>
      </c>
      <c r="B57" s="22">
        <f t="shared" si="1"/>
        <v>0.65870870212297727</v>
      </c>
      <c r="C57" s="22">
        <f t="shared" si="2"/>
        <v>0</v>
      </c>
      <c r="D57" s="22">
        <f t="shared" si="3"/>
        <v>0.48487849056032306</v>
      </c>
      <c r="E57" s="22">
        <f t="shared" si="5"/>
        <v>1.1435871926833003</v>
      </c>
      <c r="F57" s="22"/>
      <c r="G57" s="22">
        <f t="shared" si="6"/>
        <v>0.57600216786040637</v>
      </c>
      <c r="H57" s="22">
        <f t="shared" si="7"/>
        <v>0</v>
      </c>
      <c r="I57" s="22">
        <f t="shared" si="8"/>
        <v>0.42399783213959358</v>
      </c>
      <c r="J57" s="22"/>
      <c r="K57" s="22">
        <f t="shared" si="9"/>
        <v>0.99085694845034655</v>
      </c>
      <c r="L57" s="22"/>
      <c r="M57" s="22"/>
      <c r="N57" s="22"/>
    </row>
    <row r="58" spans="1:14" x14ac:dyDescent="0.15">
      <c r="A58" s="23"/>
      <c r="B58" s="23"/>
      <c r="C58" s="23"/>
      <c r="D58" s="23"/>
      <c r="E58" s="23"/>
      <c r="F58" s="23"/>
      <c r="G58" s="23"/>
      <c r="H58" s="23"/>
      <c r="I58" s="23"/>
      <c r="J58" s="23"/>
      <c r="K58" s="23"/>
      <c r="L58" s="23"/>
      <c r="M58" s="23"/>
      <c r="N58" s="23"/>
    </row>
    <row r="59" spans="1:14" x14ac:dyDescent="0.15">
      <c r="A59" s="23"/>
      <c r="B59" s="23"/>
      <c r="C59" s="23"/>
      <c r="D59" s="23"/>
      <c r="E59" s="23"/>
      <c r="F59" s="23"/>
      <c r="G59" s="23"/>
      <c r="H59" s="23"/>
      <c r="I59" s="23"/>
      <c r="J59" s="23"/>
      <c r="K59" s="23"/>
      <c r="L59" s="23"/>
      <c r="M59" s="23"/>
      <c r="N59" s="23"/>
    </row>
    <row r="60" spans="1:14" x14ac:dyDescent="0.15">
      <c r="A60" s="23"/>
      <c r="B60" s="23"/>
      <c r="C60" s="23"/>
      <c r="D60" s="23"/>
      <c r="E60" s="23"/>
      <c r="F60" s="23"/>
      <c r="G60" s="23"/>
      <c r="H60" s="23"/>
      <c r="I60" s="23"/>
      <c r="J60" s="23"/>
      <c r="K60" s="23"/>
      <c r="L60" s="23"/>
      <c r="M60" s="23"/>
      <c r="N60" s="23"/>
    </row>
    <row r="61" spans="1:14" x14ac:dyDescent="0.15">
      <c r="A61" s="23"/>
      <c r="B61" s="23"/>
      <c r="C61" s="23"/>
      <c r="D61" s="23"/>
      <c r="E61" s="23"/>
      <c r="F61" s="23"/>
      <c r="G61" s="23"/>
      <c r="H61" s="23"/>
      <c r="I61" s="23"/>
      <c r="J61" s="23"/>
      <c r="K61" s="23"/>
      <c r="L61" s="23"/>
      <c r="M61" s="23"/>
      <c r="N61" s="23"/>
    </row>
    <row r="62" spans="1:14" x14ac:dyDescent="0.15">
      <c r="A62" s="23"/>
      <c r="B62" s="23"/>
      <c r="C62" s="23"/>
      <c r="D62" s="23"/>
      <c r="E62" s="23"/>
      <c r="F62" s="23"/>
      <c r="G62" s="23"/>
      <c r="H62" s="23"/>
      <c r="I62" s="23"/>
      <c r="J62" s="23"/>
      <c r="K62" s="23"/>
      <c r="L62" s="23"/>
      <c r="M62" s="23"/>
      <c r="N62" s="23"/>
    </row>
    <row r="63" spans="1:14" x14ac:dyDescent="0.15">
      <c r="A63" s="23"/>
      <c r="B63" s="23"/>
      <c r="C63" s="23"/>
      <c r="D63" s="23"/>
      <c r="E63" s="23"/>
      <c r="F63" s="23"/>
      <c r="G63" s="23"/>
      <c r="H63" s="23"/>
      <c r="I63" s="23"/>
      <c r="J63" s="23"/>
      <c r="K63" s="23"/>
      <c r="L63" s="23"/>
      <c r="M63" s="23"/>
      <c r="N63" s="23"/>
    </row>
    <row r="64" spans="1:14" x14ac:dyDescent="0.15">
      <c r="A64" s="23"/>
      <c r="B64" s="23"/>
      <c r="C64" s="23"/>
      <c r="D64" s="23"/>
      <c r="E64" s="23"/>
      <c r="F64" s="23"/>
      <c r="G64" s="23"/>
      <c r="H64" s="23"/>
      <c r="I64" s="23"/>
      <c r="J64" s="23"/>
      <c r="K64" s="23"/>
      <c r="L64" s="23"/>
      <c r="M64" s="23"/>
      <c r="N64" s="23"/>
    </row>
    <row r="65" spans="1:14" x14ac:dyDescent="0.15">
      <c r="A65" s="23"/>
      <c r="B65" s="23"/>
      <c r="C65" s="23"/>
      <c r="D65" s="23"/>
      <c r="E65" s="23"/>
      <c r="F65" s="23"/>
      <c r="G65" s="23"/>
      <c r="H65" s="23"/>
      <c r="I65" s="23"/>
      <c r="J65" s="23"/>
      <c r="K65" s="23"/>
      <c r="L65" s="23"/>
      <c r="M65" s="23"/>
      <c r="N65" s="23"/>
    </row>
    <row r="66" spans="1:14" x14ac:dyDescent="0.15">
      <c r="A66" s="23"/>
      <c r="B66" s="23"/>
      <c r="C66" s="23"/>
      <c r="D66" s="23"/>
      <c r="E66" s="23"/>
      <c r="F66" s="23"/>
      <c r="G66" s="23"/>
      <c r="H66" s="23"/>
      <c r="I66" s="23"/>
      <c r="J66" s="23"/>
      <c r="K66" s="23"/>
      <c r="L66" s="23"/>
      <c r="M66" s="23"/>
      <c r="N66" s="23"/>
    </row>
    <row r="67" spans="1:14" x14ac:dyDescent="0.15">
      <c r="A67" s="23"/>
      <c r="B67" s="23"/>
      <c r="C67" s="23"/>
      <c r="D67" s="23"/>
      <c r="E67" s="23"/>
      <c r="F67" s="23"/>
      <c r="G67" s="23"/>
      <c r="H67" s="23"/>
      <c r="I67" s="23"/>
      <c r="J67" s="23"/>
      <c r="K67" s="23"/>
      <c r="L67" s="23"/>
      <c r="M67" s="23"/>
      <c r="N67" s="23"/>
    </row>
    <row r="68" spans="1:14" x14ac:dyDescent="0.15">
      <c r="A68" s="23"/>
      <c r="B68" s="23"/>
      <c r="C68" s="23"/>
      <c r="D68" s="23"/>
      <c r="E68" s="23"/>
      <c r="F68" s="23"/>
      <c r="G68" s="23"/>
      <c r="H68" s="23"/>
      <c r="I68" s="23"/>
      <c r="J68" s="23"/>
      <c r="K68" s="23"/>
      <c r="L68" s="23"/>
      <c r="M68" s="23"/>
      <c r="N68" s="23"/>
    </row>
    <row r="69" spans="1:14" x14ac:dyDescent="0.15">
      <c r="A69" s="23"/>
      <c r="B69" s="23"/>
      <c r="C69" s="23"/>
      <c r="D69" s="23"/>
      <c r="E69" s="23"/>
      <c r="F69" s="23"/>
      <c r="G69" s="23"/>
      <c r="H69" s="23"/>
      <c r="I69" s="23"/>
      <c r="J69" s="23"/>
      <c r="K69" s="23"/>
      <c r="L69" s="23"/>
      <c r="M69" s="23"/>
      <c r="N69" s="23"/>
    </row>
    <row r="70" spans="1:14" x14ac:dyDescent="0.15">
      <c r="A70" s="23"/>
      <c r="B70" s="23"/>
      <c r="C70" s="23"/>
      <c r="D70" s="23"/>
      <c r="E70" s="23"/>
      <c r="F70" s="23"/>
      <c r="G70" s="23"/>
      <c r="H70" s="23"/>
      <c r="I70" s="23"/>
      <c r="J70" s="23"/>
      <c r="K70" s="23"/>
      <c r="L70" s="23"/>
      <c r="M70" s="23"/>
      <c r="N70" s="23"/>
    </row>
    <row r="71" spans="1:14" x14ac:dyDescent="0.15">
      <c r="A71" s="23"/>
      <c r="B71" s="23"/>
      <c r="C71" s="23"/>
      <c r="D71" s="23"/>
      <c r="E71" s="23"/>
      <c r="F71" s="23"/>
      <c r="G71" s="23"/>
      <c r="H71" s="23"/>
      <c r="I71" s="23"/>
      <c r="J71" s="23"/>
      <c r="K71" s="23"/>
      <c r="L71" s="23"/>
      <c r="M71" s="23"/>
      <c r="N71" s="23"/>
    </row>
    <row r="72" spans="1:14" x14ac:dyDescent="0.15">
      <c r="A72" s="23"/>
      <c r="B72" s="23"/>
      <c r="C72" s="23"/>
      <c r="D72" s="23"/>
      <c r="E72" s="23"/>
      <c r="F72" s="23"/>
      <c r="G72" s="23"/>
      <c r="H72" s="23"/>
      <c r="I72" s="23"/>
      <c r="J72" s="23"/>
      <c r="K72" s="23"/>
      <c r="L72" s="23"/>
      <c r="M72" s="23"/>
      <c r="N72" s="23"/>
    </row>
    <row r="73" spans="1:14" x14ac:dyDescent="0.15">
      <c r="A73" s="23"/>
      <c r="B73" s="23"/>
      <c r="C73" s="23"/>
      <c r="D73" s="23"/>
      <c r="E73" s="23"/>
      <c r="F73" s="23"/>
      <c r="G73" s="23"/>
      <c r="H73" s="23"/>
      <c r="I73" s="23"/>
      <c r="J73" s="23"/>
      <c r="K73" s="23"/>
      <c r="L73" s="23"/>
      <c r="M73" s="23"/>
      <c r="N73" s="23"/>
    </row>
    <row r="74" spans="1:14" x14ac:dyDescent="0.15">
      <c r="A74" s="23"/>
      <c r="B74" s="23"/>
      <c r="C74" s="23"/>
      <c r="D74" s="23"/>
      <c r="E74" s="23"/>
      <c r="F74" s="23"/>
      <c r="G74" s="23"/>
      <c r="H74" s="23"/>
      <c r="I74" s="23"/>
      <c r="J74" s="23"/>
      <c r="K74" s="23"/>
      <c r="L74" s="23"/>
      <c r="M74" s="23"/>
      <c r="N74" s="23"/>
    </row>
    <row r="75" spans="1:14" x14ac:dyDescent="0.15">
      <c r="A75" s="23"/>
      <c r="B75" s="23"/>
      <c r="C75" s="23"/>
      <c r="D75" s="23"/>
      <c r="E75" s="23"/>
      <c r="F75" s="23"/>
      <c r="G75" s="23"/>
      <c r="H75" s="23"/>
      <c r="I75" s="23"/>
      <c r="J75" s="23"/>
      <c r="K75" s="23"/>
      <c r="L75" s="23"/>
      <c r="M75" s="23"/>
      <c r="N75" s="23"/>
    </row>
    <row r="76" spans="1:14" x14ac:dyDescent="0.15">
      <c r="A76" s="23"/>
      <c r="B76" s="23"/>
      <c r="C76" s="23"/>
      <c r="D76" s="23"/>
      <c r="E76" s="23"/>
      <c r="F76" s="23"/>
      <c r="G76" s="23"/>
      <c r="H76" s="23"/>
      <c r="I76" s="23"/>
      <c r="J76" s="23"/>
      <c r="K76" s="23"/>
      <c r="L76" s="23"/>
      <c r="M76" s="23"/>
      <c r="N76" s="23"/>
    </row>
    <row r="77" spans="1:14" x14ac:dyDescent="0.15">
      <c r="A77" s="23"/>
      <c r="B77" s="23"/>
      <c r="C77" s="23"/>
      <c r="D77" s="23"/>
      <c r="E77" s="23"/>
      <c r="F77" s="23"/>
      <c r="G77" s="23"/>
      <c r="H77" s="23"/>
      <c r="I77" s="23"/>
      <c r="J77" s="23"/>
      <c r="K77" s="23"/>
      <c r="L77" s="23"/>
      <c r="M77" s="23"/>
      <c r="N77" s="23"/>
    </row>
    <row r="78" spans="1:14" x14ac:dyDescent="0.15">
      <c r="A78" s="23"/>
      <c r="B78" s="23"/>
      <c r="C78" s="23"/>
      <c r="D78" s="23"/>
      <c r="E78" s="23"/>
      <c r="F78" s="23"/>
      <c r="G78" s="23"/>
      <c r="H78" s="23"/>
      <c r="I78" s="23"/>
      <c r="J78" s="23"/>
      <c r="K78" s="23"/>
      <c r="L78" s="23"/>
      <c r="M78" s="23"/>
      <c r="N78" s="23"/>
    </row>
    <row r="79" spans="1:14" x14ac:dyDescent="0.15">
      <c r="A79" s="23"/>
      <c r="B79" s="23"/>
      <c r="C79" s="23"/>
      <c r="D79" s="23"/>
      <c r="E79" s="23"/>
      <c r="F79" s="23"/>
      <c r="G79" s="23"/>
      <c r="H79" s="23"/>
      <c r="I79" s="23"/>
      <c r="J79" s="23"/>
      <c r="K79" s="23"/>
      <c r="L79" s="23"/>
      <c r="M79" s="23"/>
      <c r="N79" s="23"/>
    </row>
    <row r="80" spans="1:14" x14ac:dyDescent="0.15">
      <c r="A80" s="23"/>
      <c r="B80" s="23"/>
      <c r="C80" s="23"/>
      <c r="D80" s="23"/>
      <c r="E80" s="23"/>
      <c r="F80" s="23"/>
      <c r="G80" s="23"/>
      <c r="H80" s="23"/>
      <c r="I80" s="23"/>
      <c r="J80" s="23"/>
      <c r="K80" s="23"/>
      <c r="L80" s="23"/>
      <c r="M80" s="23"/>
      <c r="N80" s="23"/>
    </row>
    <row r="81" spans="1:14" x14ac:dyDescent="0.15">
      <c r="A81" s="23"/>
      <c r="B81" s="23"/>
      <c r="C81" s="23"/>
      <c r="D81" s="23"/>
      <c r="E81" s="23"/>
      <c r="F81" s="23"/>
      <c r="G81" s="23"/>
      <c r="H81" s="23"/>
      <c r="I81" s="23"/>
      <c r="J81" s="23"/>
      <c r="K81" s="23"/>
      <c r="L81" s="23"/>
      <c r="M81" s="23"/>
      <c r="N81" s="23"/>
    </row>
    <row r="82" spans="1:14" x14ac:dyDescent="0.15">
      <c r="A82" s="23"/>
      <c r="B82" s="23"/>
      <c r="C82" s="23"/>
      <c r="D82" s="23"/>
      <c r="E82" s="23"/>
      <c r="F82" s="23"/>
      <c r="G82" s="23"/>
      <c r="H82" s="23"/>
      <c r="I82" s="23"/>
      <c r="J82" s="23"/>
      <c r="K82" s="23"/>
      <c r="L82" s="23"/>
      <c r="M82" s="23"/>
      <c r="N82" s="23"/>
    </row>
    <row r="83" spans="1:14" x14ac:dyDescent="0.15">
      <c r="A83" s="23"/>
      <c r="B83" s="23"/>
      <c r="C83" s="23"/>
      <c r="D83" s="23"/>
      <c r="E83" s="23"/>
      <c r="F83" s="23"/>
      <c r="G83" s="23"/>
      <c r="H83" s="23"/>
      <c r="I83" s="23"/>
      <c r="J83" s="23"/>
      <c r="K83" s="23"/>
      <c r="L83" s="23"/>
      <c r="M83" s="23"/>
      <c r="N83" s="23"/>
    </row>
    <row r="84" spans="1:14" x14ac:dyDescent="0.15">
      <c r="A84" s="23"/>
      <c r="B84" s="23"/>
      <c r="C84" s="23"/>
      <c r="D84" s="23"/>
      <c r="E84" s="23"/>
      <c r="F84" s="23"/>
      <c r="G84" s="23"/>
      <c r="H84" s="23"/>
      <c r="I84" s="23"/>
      <c r="J84" s="23"/>
      <c r="K84" s="23"/>
      <c r="L84" s="23"/>
      <c r="M84" s="23"/>
      <c r="N84" s="23"/>
    </row>
    <row r="85" spans="1:14" x14ac:dyDescent="0.15">
      <c r="A85" s="23"/>
      <c r="B85" s="23"/>
      <c r="C85" s="23"/>
      <c r="D85" s="23"/>
      <c r="E85" s="23"/>
      <c r="F85" s="23"/>
      <c r="G85" s="23"/>
      <c r="H85" s="23"/>
      <c r="I85" s="23"/>
      <c r="J85" s="23"/>
      <c r="K85" s="23"/>
      <c r="L85" s="23"/>
      <c r="M85" s="23"/>
      <c r="N85" s="23"/>
    </row>
    <row r="86" spans="1:14" x14ac:dyDescent="0.15">
      <c r="A86" s="23"/>
      <c r="B86" s="23"/>
      <c r="C86" s="23"/>
      <c r="D86" s="23"/>
      <c r="E86" s="23"/>
      <c r="F86" s="23"/>
      <c r="G86" s="23"/>
      <c r="H86" s="23"/>
      <c r="I86" s="23"/>
      <c r="J86" s="23"/>
      <c r="K86" s="23"/>
      <c r="L86" s="23"/>
      <c r="M86" s="23"/>
      <c r="N86" s="23"/>
    </row>
    <row r="87" spans="1:14" x14ac:dyDescent="0.15">
      <c r="A87" s="23"/>
      <c r="B87" s="23"/>
      <c r="C87" s="23"/>
      <c r="D87" s="23"/>
      <c r="E87" s="23"/>
      <c r="F87" s="23"/>
      <c r="G87" s="23"/>
      <c r="H87" s="23"/>
      <c r="I87" s="23"/>
      <c r="J87" s="23"/>
      <c r="K87" s="23"/>
      <c r="L87" s="23"/>
      <c r="M87" s="23"/>
      <c r="N87" s="23"/>
    </row>
    <row r="91" spans="1:14" x14ac:dyDescent="0.15">
      <c r="D91" s="2"/>
    </row>
  </sheetData>
  <phoneticPr fontId="0" type="noConversion"/>
  <pageMargins left="0.75" right="0.75" top="1" bottom="1" header="0.5" footer="0.5"/>
  <pageSetup orientation="portrait" horizontalDpi="200" verticalDpi="200"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32</vt:i4>
      </vt:variant>
    </vt:vector>
  </HeadingPairs>
  <TitlesOfParts>
    <vt:vector size="34" baseType="lpstr">
      <vt:lpstr>determinant</vt:lpstr>
      <vt:lpstr>waifw B</vt:lpstr>
      <vt:lpstr>ave_infous</vt:lpstr>
      <vt:lpstr>b_mm</vt:lpstr>
      <vt:lpstr>b_mo</vt:lpstr>
      <vt:lpstr>b_my</vt:lpstr>
      <vt:lpstr>b_om</vt:lpstr>
      <vt:lpstr>b_oo</vt:lpstr>
      <vt:lpstr>b_oy</vt:lpstr>
      <vt:lpstr>b_ym</vt:lpstr>
      <vt:lpstr>b_yo</vt:lpstr>
      <vt:lpstr>b_yy</vt:lpstr>
      <vt:lpstr>N_m</vt:lpstr>
      <vt:lpstr>N_o</vt:lpstr>
      <vt:lpstr>N_y</vt:lpstr>
      <vt:lpstr>prop_imm</vt:lpstr>
      <vt:lpstr>R_mm</vt:lpstr>
      <vt:lpstr>R_mo</vt:lpstr>
      <vt:lpstr>R_my</vt:lpstr>
      <vt:lpstr>R_om</vt:lpstr>
      <vt:lpstr>R_oo</vt:lpstr>
      <vt:lpstr>R_oy</vt:lpstr>
      <vt:lpstr>R_ym</vt:lpstr>
      <vt:lpstr>R_yo</vt:lpstr>
      <vt:lpstr>R_yy</vt:lpstr>
      <vt:lpstr>R0</vt:lpstr>
      <vt:lpstr>R0_est</vt:lpstr>
      <vt:lpstr>R0_new</vt:lpstr>
      <vt:lpstr>S_m</vt:lpstr>
      <vt:lpstr>S_o</vt:lpstr>
      <vt:lpstr>S_y</vt:lpstr>
      <vt:lpstr>w_</vt:lpstr>
      <vt:lpstr>x_</vt:lpstr>
      <vt:lpstr>z_</vt:lpstr>
    </vt:vector>
  </TitlesOfParts>
  <Company>lshtm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R0waifwb</dc:title>
  <dc:subject>Modelling &amp; the Dynamics of Infectious Diseases - DL course</dc:subject>
  <dc:creator>Emilia Vynnycky, Richard White, Alicia Mehl, John Williams, Rein Houben</dc:creator>
  <dc:description>This spreadsheet is used to set up the Next Generation Matrix and calculate the basic and net reproduction number for a population comprising three subgroups.  In the study module, it is used to calculate R0 for matrix WAIFWB.</dc:description>
  <cp:lastModifiedBy>Shay Morris-Doty</cp:lastModifiedBy>
  <dcterms:created xsi:type="dcterms:W3CDTF">2004-05-01T15:16:16Z</dcterms:created>
  <dcterms:modified xsi:type="dcterms:W3CDTF">2021-03-29T12:38:59Z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mm" linkTarget="prop_imm">
    <vt:r8>0</vt:r8>
  </property>
</Properties>
</file>