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haymorris-doty/Library/Mobile Documents/com~apple~CloudDocs/Documents/LSHTM/YEAR 4/EPM302/EPM302 AA/Models/Catalytic model/"/>
    </mc:Choice>
  </mc:AlternateContent>
  <xr:revisionPtr revIDLastSave="0" documentId="13_ncr:1_{B91B2399-8798-1145-AA4D-775681244FA2}" xr6:coauthVersionLast="47" xr6:coauthVersionMax="47" xr10:uidLastSave="{00000000-0000-0000-0000-000000000000}"/>
  <bookViews>
    <workbookView xWindow="7100" yWindow="640" windowWidth="21700" windowHeight="15600" xr2:uid="{CAAB3AE2-2D36-084C-99F3-EEE9F2916410}"/>
  </bookViews>
  <sheets>
    <sheet name="Catalytic Model" sheetId="1" r:id="rId1"/>
    <sheet name="NGM" sheetId="2" r:id="rId2"/>
    <sheet name="COMPLEX NGM" sheetId="6" r:id="rId3"/>
    <sheet name="Contact " sheetId="5" r:id="rId4"/>
    <sheet name="Number of Cases" sheetId="3" r:id="rId5"/>
    <sheet name="New Infections per 100k" sheetId="4" r:id="rId6"/>
  </sheets>
  <externalReferences>
    <externalReference r:id="rId7"/>
  </externalReferences>
  <definedNames>
    <definedName name="ave_infous">'COMPLEX NGM'!$F$3</definedName>
    <definedName name="average_infous">'COMPLEX NGM'!$F$3</definedName>
    <definedName name="b_mm">'COMPLEX NGM'!$G$18</definedName>
    <definedName name="b_mo">'COMPLEX NGM'!$H$18</definedName>
    <definedName name="b_my">'COMPLEX NGM'!$F$18</definedName>
    <definedName name="b_om">'COMPLEX NGM'!$G$19</definedName>
    <definedName name="b_oo">'COMPLEX NGM'!$H$19</definedName>
    <definedName name="b_oy">'COMPLEX NGM'!$F$19</definedName>
    <definedName name="b_ym">'COMPLEX NGM'!$G$17</definedName>
    <definedName name="b_yo">'COMPLEX NGM'!$H$17</definedName>
    <definedName name="b_yy">'COMPLEX NGM'!$F$17</definedName>
    <definedName name="beta_mm">'COMPLEX NGM'!$G$18</definedName>
    <definedName name="beta_mo">'COMPLEX NGM'!$H$18</definedName>
    <definedName name="beta_my">'COMPLEX NGM'!$F$18</definedName>
    <definedName name="beta_om">'COMPLEX NGM'!$G$19</definedName>
    <definedName name="beta_oo">'COMPLEX NGM'!$H$19</definedName>
    <definedName name="beta_oy">'COMPLEX NGM'!$F$19</definedName>
    <definedName name="beta_ym">'COMPLEX NGM'!$G$17</definedName>
    <definedName name="beta_yo">'COMPLEX NGM'!$H$17</definedName>
    <definedName name="beta_yy">'COMPLEX NGM'!$F$17</definedName>
    <definedName name="foi_o">'Catalytic Model'!$F$5</definedName>
    <definedName name="foi_y">'Catalytic Model'!$F$4</definedName>
    <definedName name="N_m">'COMPLEX NGM'!$F$5</definedName>
    <definedName name="NN_m">'COMPLEX NGM'!$F$5</definedName>
    <definedName name="prop_imm">'COMPLEX NGM'!$F$8</definedName>
    <definedName name="prop_immune">'COMPLEX NGM'!$F$8</definedName>
    <definedName name="R_est">'COMPLEX NGM'!$F$36</definedName>
    <definedName name="R_mm">'COMPLEX NGM'!$G$26</definedName>
    <definedName name="R_mo">'COMPLEX NGM'!$H$26</definedName>
    <definedName name="R_my">'COMPLEX NGM'!$F$26</definedName>
    <definedName name="R_om">'COMPLEX NGM'!$G$27</definedName>
    <definedName name="R_oo" localSheetId="2">'COMPLEX NGM'!$C$5</definedName>
    <definedName name="R_oo">NGM!$C$5</definedName>
    <definedName name="R_oy" localSheetId="2">'COMPLEX NGM'!$B$5</definedName>
    <definedName name="R_oy">NGM!$B$5</definedName>
    <definedName name="R_ym">'COMPLEX NGM'!$G$25</definedName>
    <definedName name="R_yo" localSheetId="2">'COMPLEX NGM'!$C$4</definedName>
    <definedName name="R_yo">NGM!$C$4</definedName>
    <definedName name="R_yy" localSheetId="2">'COMPLEX NGM'!$B$4</definedName>
    <definedName name="R_yy">NGM!$B$4</definedName>
    <definedName name="R0_est">'COMPLEX NGM'!$F$36</definedName>
    <definedName name="Rn_yy">'COMPLEX NGM'!$F$25</definedName>
    <definedName name="RR_mm">'COMPLEX NGM'!$G$26</definedName>
    <definedName name="RR_mo">'COMPLEX NGM'!$H$26</definedName>
    <definedName name="RR_my">'COMPLEX NGM'!$F$26</definedName>
    <definedName name="RR_om">'COMPLEX NGM'!$G$27</definedName>
    <definedName name="RR_oo">'COMPLEX NGM'!$H$27</definedName>
    <definedName name="RR_oy">'COMPLEX NGM'!$F$27</definedName>
    <definedName name="RR_ym">'COMPLEX NGM'!$G$25</definedName>
    <definedName name="RR_yo">'COMPLEX NGM'!$H$25</definedName>
    <definedName name="S_m">'COMPLEX NGM'!$F$10</definedName>
    <definedName name="S_o">'COMPLEX NGM'!$F$11</definedName>
    <definedName name="S_y">'COMPLEX NGM'!$F$9</definedName>
    <definedName name="solver_adj" localSheetId="0" hidden="1">'Catalytic Model'!$F$4</definedName>
    <definedName name="solver_cvg" localSheetId="0" hidden="1">0.0001</definedName>
    <definedName name="solver_drv" localSheetId="0" hidden="1">1</definedName>
    <definedName name="solver_eng" localSheetId="0" hidden="1">1</definedName>
    <definedName name="solver_itr" localSheetId="0" hidden="1">2147483647</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opt" localSheetId="0" hidden="1">'Catalytic Model'!$F$6</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 name="Sus_m">'COMPLEX NGM'!$F$10</definedName>
    <definedName name="Sus_o">'COMPLEX NGM'!$F$11</definedName>
    <definedName name="Sus_y">'COMPLEX NGM'!$F$9</definedName>
    <definedName name="w_">'COMPLEX NGM'!$F$34</definedName>
    <definedName name="ww_">'COMPLEX NGM'!$F$34</definedName>
    <definedName name="x_">'COMPLEX NGM'!$F$33</definedName>
    <definedName name="xx_">'COMPLEX NGM'!$F$33</definedName>
    <definedName name="z_">'COMPLEX NGM'!$F$35</definedName>
    <definedName name="zz_">'COMPLEX NGM'!$F$35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8" i="6" l="1"/>
  <c r="A49" i="6" s="1"/>
  <c r="A50" i="6" s="1"/>
  <c r="A51" i="6" s="1"/>
  <c r="A52" i="6" s="1"/>
  <c r="A53" i="6" s="1"/>
  <c r="A54" i="6" s="1"/>
  <c r="A55" i="6" s="1"/>
  <c r="A56" i="6" s="1"/>
  <c r="A57" i="6" s="1"/>
  <c r="H47" i="6"/>
  <c r="E47" i="6"/>
  <c r="G47" i="6" s="1"/>
  <c r="H40" i="6"/>
  <c r="H39" i="6"/>
  <c r="F35" i="6"/>
  <c r="H41" i="6" s="1"/>
  <c r="H27" i="6"/>
  <c r="G27" i="6"/>
  <c r="F27" i="6"/>
  <c r="H26" i="6"/>
  <c r="H25" i="6"/>
  <c r="H29" i="6" s="1"/>
  <c r="G25" i="6"/>
  <c r="F39" i="6" s="1"/>
  <c r="K39" i="6" s="1"/>
  <c r="F25" i="6"/>
  <c r="F10" i="6"/>
  <c r="G26" i="6" s="1"/>
  <c r="G29" i="6" l="1"/>
  <c r="I47" i="6"/>
  <c r="D48" i="6"/>
  <c r="F26" i="6"/>
  <c r="F41" i="6"/>
  <c r="K41" i="6" s="1"/>
  <c r="B48" i="6"/>
  <c r="F40" i="6" l="1"/>
  <c r="K40" i="6" s="1"/>
  <c r="K42" i="6" s="1"/>
  <c r="C48" i="6"/>
  <c r="F29" i="6"/>
  <c r="E48" i="6"/>
  <c r="K48" i="6" s="1"/>
  <c r="D49" i="6"/>
  <c r="H48" i="6" l="1"/>
  <c r="I48" i="6"/>
  <c r="C49" i="6"/>
  <c r="B49" i="6"/>
  <c r="G48" i="6"/>
  <c r="E49" i="6" l="1"/>
  <c r="G49" i="6" s="1"/>
  <c r="B50" i="6"/>
  <c r="D50" i="6"/>
  <c r="C50" i="6"/>
  <c r="E50" i="6" l="1"/>
  <c r="K50" i="6" s="1"/>
  <c r="G50" i="6"/>
  <c r="D51" i="6"/>
  <c r="B51" i="6"/>
  <c r="C51" i="6"/>
  <c r="H49" i="6"/>
  <c r="H50" i="6"/>
  <c r="K49" i="6"/>
  <c r="I49" i="6"/>
  <c r="S102" i="1"/>
  <c r="S101" i="1"/>
  <c r="S118" i="1"/>
  <c r="S119" i="1"/>
  <c r="S117" i="1"/>
  <c r="S98" i="1"/>
  <c r="S60" i="1"/>
  <c r="S74" i="1"/>
  <c r="S112" i="1"/>
  <c r="S93" i="1"/>
  <c r="S64" i="1"/>
  <c r="S63" i="1"/>
  <c r="G15" i="1"/>
  <c r="T77" i="1"/>
  <c r="S127" i="1"/>
  <c r="R121" i="1"/>
  <c r="R120" i="1"/>
  <c r="R119" i="1"/>
  <c r="O119" i="1" s="1"/>
  <c r="R118" i="1"/>
  <c r="O118" i="1" s="1"/>
  <c r="R117" i="1"/>
  <c r="O117" i="1" s="1"/>
  <c r="R116" i="1"/>
  <c r="R115" i="1"/>
  <c r="R114" i="1"/>
  <c r="R113" i="1"/>
  <c r="R112" i="1"/>
  <c r="R111" i="1"/>
  <c r="R110" i="1"/>
  <c r="R109" i="1"/>
  <c r="R108" i="1"/>
  <c r="R107" i="1"/>
  <c r="R106" i="1"/>
  <c r="R105" i="1"/>
  <c r="R102" i="1"/>
  <c r="R101" i="1"/>
  <c r="R100" i="1"/>
  <c r="O100" i="1" s="1"/>
  <c r="R99" i="1"/>
  <c r="O99" i="1" s="1"/>
  <c r="R98" i="1"/>
  <c r="O98" i="1" s="1"/>
  <c r="R97" i="1"/>
  <c r="R96" i="1"/>
  <c r="R95" i="1"/>
  <c r="R94" i="1"/>
  <c r="R93" i="1"/>
  <c r="R92" i="1"/>
  <c r="R91" i="1"/>
  <c r="R90" i="1"/>
  <c r="R89" i="1"/>
  <c r="R88" i="1"/>
  <c r="R87" i="1"/>
  <c r="R86" i="1"/>
  <c r="R83" i="1"/>
  <c r="R82" i="1"/>
  <c r="R81" i="1"/>
  <c r="R80" i="1"/>
  <c r="R79" i="1"/>
  <c r="R78" i="1"/>
  <c r="R77" i="1"/>
  <c r="R76" i="1"/>
  <c r="R75" i="1"/>
  <c r="R74" i="1"/>
  <c r="R73" i="1"/>
  <c r="R72" i="1"/>
  <c r="R71" i="1"/>
  <c r="R70" i="1"/>
  <c r="R69" i="1"/>
  <c r="R68" i="1"/>
  <c r="R67" i="1"/>
  <c r="R64" i="1"/>
  <c r="R63" i="1"/>
  <c r="O64" i="1"/>
  <c r="O63" i="1"/>
  <c r="R62" i="1"/>
  <c r="R61" i="1"/>
  <c r="R60" i="1"/>
  <c r="O62" i="1"/>
  <c r="M62" i="1" s="1"/>
  <c r="O61" i="1"/>
  <c r="O60" i="1"/>
  <c r="R59" i="1"/>
  <c r="R58" i="1"/>
  <c r="R57" i="1"/>
  <c r="R56" i="1"/>
  <c r="R55" i="1"/>
  <c r="R54" i="1"/>
  <c r="O59" i="1"/>
  <c r="O58" i="1"/>
  <c r="O57" i="1"/>
  <c r="O56" i="1"/>
  <c r="O55" i="1"/>
  <c r="O54" i="1"/>
  <c r="O50" i="1"/>
  <c r="R53" i="1"/>
  <c r="O53" i="1"/>
  <c r="R52" i="1"/>
  <c r="R51" i="1"/>
  <c r="O52" i="1"/>
  <c r="O51" i="1"/>
  <c r="R50" i="1"/>
  <c r="R49" i="1"/>
  <c r="R48" i="1"/>
  <c r="O49" i="1"/>
  <c r="O48" i="1"/>
  <c r="F7" i="2"/>
  <c r="F11" i="2"/>
  <c r="F12" i="2" s="1"/>
  <c r="P3" i="2"/>
  <c r="Q3" i="2" s="1"/>
  <c r="R3" i="2" s="1"/>
  <c r="S3" i="2" s="1"/>
  <c r="T3" i="2" s="1"/>
  <c r="U3" i="2" s="1"/>
  <c r="V3" i="2" s="1"/>
  <c r="W3" i="2" s="1"/>
  <c r="X3" i="2" s="1"/>
  <c r="Y3" i="2" s="1"/>
  <c r="Z3" i="2" s="1"/>
  <c r="I51" i="6" l="1"/>
  <c r="E51" i="6"/>
  <c r="K51" i="6" s="1"/>
  <c r="D52" i="6"/>
  <c r="B52" i="6"/>
  <c r="C52" i="6"/>
  <c r="I50" i="6"/>
  <c r="R10" i="1"/>
  <c r="R3" i="1"/>
  <c r="K17" i="1"/>
  <c r="K9" i="1"/>
  <c r="K8" i="1"/>
  <c r="H52" i="6" l="1"/>
  <c r="G51" i="6"/>
  <c r="G52" i="6"/>
  <c r="E52" i="6"/>
  <c r="K52" i="6" s="1"/>
  <c r="B53" i="6"/>
  <c r="D53" i="6"/>
  <c r="C53" i="6"/>
  <c r="H51" i="6"/>
  <c r="R9" i="1"/>
  <c r="R4" i="1"/>
  <c r="O5" i="1" s="1"/>
  <c r="R13" i="1"/>
  <c r="O11" i="1" s="1"/>
  <c r="U24" i="1"/>
  <c r="U26" i="1" s="1"/>
  <c r="U27" i="1" s="1"/>
  <c r="U23" i="1"/>
  <c r="U30" i="1" s="1"/>
  <c r="U31" i="1" s="1"/>
  <c r="U32" i="1" s="1"/>
  <c r="R11" i="1"/>
  <c r="R12" i="1" s="1"/>
  <c r="R5" i="1"/>
  <c r="E53" i="6" l="1"/>
  <c r="K53" i="6" s="1"/>
  <c r="G53" i="6"/>
  <c r="D54" i="6"/>
  <c r="B54" i="6"/>
  <c r="C54" i="6"/>
  <c r="I52" i="6"/>
  <c r="O6" i="1"/>
  <c r="O4" i="1" s="1"/>
  <c r="K18" i="1" s="1"/>
  <c r="O10" i="1"/>
  <c r="O9" i="1" s="1"/>
  <c r="K19" i="1" s="1"/>
  <c r="O19" i="1" s="1"/>
  <c r="H54" i="6" l="1"/>
  <c r="D55" i="6"/>
  <c r="E54" i="6"/>
  <c r="K54" i="6" s="1"/>
  <c r="B55" i="6"/>
  <c r="C55" i="6"/>
  <c r="I53" i="6"/>
  <c r="I54" i="6"/>
  <c r="H53" i="6"/>
  <c r="O17" i="1"/>
  <c r="K22" i="1" s="1"/>
  <c r="K23" i="1"/>
  <c r="F17" i="1"/>
  <c r="F19" i="1"/>
  <c r="F20" i="1"/>
  <c r="F21" i="1"/>
  <c r="F18" i="1"/>
  <c r="E55" i="6" l="1"/>
  <c r="K55" i="6" s="1"/>
  <c r="B56" i="6"/>
  <c r="D56" i="6"/>
  <c r="C56" i="6"/>
  <c r="G54" i="6"/>
  <c r="Z24" i="1"/>
  <c r="Z26" i="1" s="1"/>
  <c r="W23" i="1"/>
  <c r="W30" i="1" s="1"/>
  <c r="W31" i="1" s="1"/>
  <c r="W32" i="1" s="1"/>
  <c r="W33" i="1" s="1"/>
  <c r="W24" i="1"/>
  <c r="W26" i="1" s="1"/>
  <c r="W27" i="1" s="1"/>
  <c r="U28" i="1" s="1"/>
  <c r="AA31" i="1" s="1"/>
  <c r="Z23" i="1"/>
  <c r="Z30" i="1" s="1"/>
  <c r="Z31" i="1" s="1"/>
  <c r="I21" i="1"/>
  <c r="I20" i="1"/>
  <c r="I19" i="1"/>
  <c r="I18" i="1"/>
  <c r="I17" i="1"/>
  <c r="I16" i="1"/>
  <c r="I15" i="1"/>
  <c r="H19" i="1"/>
  <c r="H20" i="1"/>
  <c r="H21" i="1"/>
  <c r="F16" i="1"/>
  <c r="H16" i="1" s="1"/>
  <c r="H17" i="1"/>
  <c r="H18" i="1"/>
  <c r="F15" i="1"/>
  <c r="H15" i="1" s="1"/>
  <c r="E21" i="1"/>
  <c r="G21" i="1" s="1"/>
  <c r="E20" i="1"/>
  <c r="G20" i="1" s="1"/>
  <c r="E19" i="1"/>
  <c r="G19" i="1" s="1"/>
  <c r="E18" i="1"/>
  <c r="G18" i="1" s="1"/>
  <c r="E17" i="1"/>
  <c r="G17" i="1" s="1"/>
  <c r="E16" i="1"/>
  <c r="G16" i="1" s="1"/>
  <c r="E15" i="1"/>
  <c r="H55" i="6" l="1"/>
  <c r="I55" i="6"/>
  <c r="E56" i="6"/>
  <c r="K56" i="6" s="1"/>
  <c r="B57" i="6"/>
  <c r="D57" i="6"/>
  <c r="C57" i="6"/>
  <c r="H56" i="6"/>
  <c r="G55" i="6"/>
  <c r="Z32" i="1"/>
  <c r="U33" i="1" s="1"/>
  <c r="U34" i="1" s="1"/>
  <c r="O25" i="1" s="1"/>
  <c r="O27" i="1" s="1"/>
  <c r="K20" i="1" s="1"/>
  <c r="O41" i="1" s="1"/>
  <c r="O26" i="1"/>
  <c r="O28" i="1" s="1"/>
  <c r="K21" i="1" s="1"/>
  <c r="O42" i="1" s="1"/>
  <c r="F6" i="1"/>
  <c r="K10" i="1" s="1"/>
  <c r="G56" i="6" l="1"/>
  <c r="E57" i="6"/>
  <c r="K57" i="6" s="1"/>
  <c r="G57" i="6"/>
  <c r="I56" i="6"/>
  <c r="C4" i="2"/>
  <c r="B4" i="2"/>
  <c r="G4" i="2"/>
  <c r="O43" i="1"/>
  <c r="O44" i="1"/>
  <c r="I57" i="6" l="1"/>
  <c r="H57" i="6"/>
  <c r="C5" i="2"/>
  <c r="B5" i="2"/>
  <c r="G5" i="2"/>
  <c r="H5" i="2" s="1"/>
  <c r="G7" i="2" l="1"/>
  <c r="G9" i="2" s="1"/>
  <c r="H4" i="2"/>
  <c r="H7" i="2" s="1"/>
  <c r="H9" i="2" l="1"/>
  <c r="I4" i="2"/>
  <c r="I5" i="2"/>
  <c r="G11" i="2"/>
  <c r="G12" i="2" s="1"/>
  <c r="H11" i="2"/>
  <c r="H12" i="2" s="1"/>
  <c r="J5" i="2" l="1"/>
  <c r="J4" i="2"/>
  <c r="I7" i="2"/>
  <c r="I9" i="2" s="1"/>
  <c r="J7" i="2" l="1"/>
  <c r="J9" i="2" s="1"/>
  <c r="K5" i="2"/>
  <c r="I11" i="2"/>
  <c r="I12" i="2" s="1"/>
  <c r="K4" i="2"/>
  <c r="J11" i="2" l="1"/>
  <c r="J12" i="2" s="1"/>
  <c r="L4" i="2"/>
  <c r="K7" i="2"/>
  <c r="K9" i="2" s="1"/>
  <c r="L5" i="2"/>
  <c r="L7" i="2" l="1"/>
  <c r="L9" i="2" s="1"/>
  <c r="K11" i="2"/>
  <c r="K12" i="2" s="1"/>
  <c r="M5" i="2"/>
  <c r="M4" i="2"/>
  <c r="L11" i="2" l="1"/>
  <c r="L12" i="2" s="1"/>
  <c r="N5" i="2"/>
  <c r="M7" i="2"/>
  <c r="M9" i="2" s="1"/>
  <c r="N4" i="2"/>
  <c r="M11" i="2" l="1"/>
  <c r="M12" i="2" s="1"/>
  <c r="N7" i="2"/>
  <c r="N9" i="2" s="1"/>
  <c r="O4" i="2"/>
  <c r="O5" i="2"/>
  <c r="O7" i="2" l="1"/>
  <c r="O9" i="2" s="1"/>
  <c r="P5" i="2"/>
  <c r="P4" i="2"/>
  <c r="N11" i="2"/>
  <c r="N12" i="2" s="1"/>
  <c r="O11" i="2" l="1"/>
  <c r="O12" i="2" s="1"/>
  <c r="P7" i="2"/>
  <c r="Q5" i="2"/>
  <c r="Q4" i="2"/>
  <c r="P9" i="2" l="1"/>
  <c r="P11" i="2"/>
  <c r="P12" i="2" s="1"/>
  <c r="R4" i="2"/>
  <c r="Q7" i="2"/>
  <c r="Q9" i="2" s="1"/>
  <c r="R5" i="2"/>
  <c r="S4" i="2" l="1"/>
  <c r="S5" i="2"/>
  <c r="R7" i="2"/>
  <c r="R9" i="2" s="1"/>
  <c r="Q11" i="2"/>
  <c r="Q12" i="2" s="1"/>
  <c r="R11" i="2" l="1"/>
  <c r="R12" i="2" s="1"/>
  <c r="T4" i="2"/>
  <c r="T5" i="2"/>
  <c r="S7" i="2"/>
  <c r="S9" i="2" l="1"/>
  <c r="S11" i="2"/>
  <c r="S12" i="2" s="1"/>
  <c r="T7" i="2"/>
  <c r="T9" i="2" s="1"/>
  <c r="U4" i="2"/>
  <c r="U5" i="2"/>
  <c r="V5" i="2" l="1"/>
  <c r="U7" i="2"/>
  <c r="V4" i="2"/>
  <c r="T11" i="2"/>
  <c r="T12" i="2" s="1"/>
  <c r="W4" i="2" l="1"/>
  <c r="W5" i="2"/>
  <c r="V7" i="2"/>
  <c r="U9" i="2"/>
  <c r="U11" i="2"/>
  <c r="U12" i="2" s="1"/>
  <c r="W7" i="2" l="1"/>
  <c r="X5" i="2"/>
  <c r="X4" i="2"/>
  <c r="V9" i="2"/>
  <c r="V11" i="2"/>
  <c r="V12" i="2" s="1"/>
  <c r="Y4" i="2" l="1"/>
  <c r="Y5" i="2"/>
  <c r="X7" i="2"/>
  <c r="W9" i="2"/>
  <c r="W11" i="2"/>
  <c r="W12" i="2" s="1"/>
  <c r="Y7" i="2" l="1"/>
  <c r="Y9" i="2" s="1"/>
  <c r="Z4" i="2"/>
  <c r="Z5" i="2"/>
  <c r="X9" i="2"/>
  <c r="X11" i="2"/>
  <c r="X12" i="2" s="1"/>
  <c r="Z7" i="2" l="1"/>
  <c r="Z9" i="2" s="1"/>
  <c r="K24" i="1" s="1"/>
  <c r="K25" i="1" s="1"/>
  <c r="Y11" i="2"/>
  <c r="Y12" i="2" s="1"/>
  <c r="Z11" i="2" l="1"/>
  <c r="Z1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Emilia Vynnycky</author>
  </authors>
  <commentList>
    <comment ref="G9" authorId="0" shapeId="0" xr:uid="{EDF8E6EF-A8D0-7F4D-99EE-301305A03830}">
      <text>
        <r>
          <rPr>
            <sz val="9"/>
            <color indexed="31"/>
            <rFont val="Tahoma"/>
            <family val="2"/>
          </rPr>
          <t>This is calculated as the number of infectious persons in generation 1 divided by number of infectious persons in generation 0</t>
        </r>
      </text>
    </comment>
    <comment ref="G11" authorId="0" shapeId="0" xr:uid="{0A715422-7FCD-1743-8070-F1E8418025AB}">
      <text>
        <r>
          <rPr>
            <sz val="9"/>
            <color rgb="FFFFFFFF"/>
            <rFont val="Tahoma"/>
            <family val="2"/>
          </rPr>
          <t>This is calculated as the number of infectious children in generation 1 divided by the total number of infectious individuals in this generation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evynnycky</author>
  </authors>
  <commentList>
    <comment ref="H25" authorId="0" shapeId="0" xr:uid="{77C3B111-5AAF-084D-8D39-D0715B34D264}">
      <text>
        <r>
          <rPr>
            <sz val="10"/>
            <color rgb="FF000000"/>
            <rFont val="Tahoma"/>
            <family val="2"/>
          </rPr>
          <t xml:space="preserve">Comment:
</t>
        </r>
        <r>
          <rPr>
            <sz val="10"/>
            <color rgb="FF000000"/>
            <rFont val="Tahoma"/>
            <family val="2"/>
          </rPr>
          <t xml:space="preserve">NB: The equations in these cells could have been set up in terms of N_y, N_m and N_o, rather than in terms of S_y, S_m and S_o.    
</t>
        </r>
        <r>
          <rPr>
            <sz val="10"/>
            <color rgb="FF000000"/>
            <rFont val="Tahoma"/>
            <family val="2"/>
          </rPr>
          <t xml:space="preserve">
</t>
        </r>
        <r>
          <rPr>
            <sz val="10"/>
            <color rgb="FF000000"/>
            <rFont val="Tahoma"/>
            <family val="2"/>
          </rPr>
          <t>However, in a later stage of this practical, we will vary the proportion immune in the population and use these cells to calculate the net reproduction number.  For this reason, the reproduction numbers in these cells have been expressed in terms of S_y, S_m and S_o.</t>
        </r>
      </text>
    </comment>
  </commentList>
</comments>
</file>

<file path=xl/sharedStrings.xml><?xml version="1.0" encoding="utf-8"?>
<sst xmlns="http://schemas.openxmlformats.org/spreadsheetml/2006/main" count="514" uniqueCount="248">
  <si>
    <t xml:space="preserve">Name in </t>
  </si>
  <si>
    <t>Definition</t>
  </si>
  <si>
    <t>Value</t>
  </si>
  <si>
    <t>spreadsheet</t>
  </si>
  <si>
    <t>force of infection</t>
  </si>
  <si>
    <t>young</t>
  </si>
  <si>
    <t>old</t>
  </si>
  <si>
    <t>foi_y</t>
  </si>
  <si>
    <t>foi_o</t>
  </si>
  <si>
    <t>Goodness of fit</t>
  </si>
  <si>
    <t>GoF</t>
  </si>
  <si>
    <t>(deviance of model from the data)</t>
  </si>
  <si>
    <t>Data on Bacteria seropositivity in</t>
  </si>
  <si>
    <t>the population from Study P</t>
  </si>
  <si>
    <t>Age</t>
  </si>
  <si>
    <t>Number</t>
  </si>
  <si>
    <t>Proportion</t>
  </si>
  <si>
    <t>(mid point)</t>
  </si>
  <si>
    <t>positive</t>
  </si>
  <si>
    <t>negative</t>
  </si>
  <si>
    <t xml:space="preserve">total </t>
  </si>
  <si>
    <t>Expected</t>
  </si>
  <si>
    <t xml:space="preserve">proportion </t>
  </si>
  <si>
    <t>ever infected</t>
  </si>
  <si>
    <t xml:space="preserve">Contribution to loglikelihood </t>
  </si>
  <si>
    <t>from data point to:</t>
  </si>
  <si>
    <t xml:space="preserve">saturated </t>
  </si>
  <si>
    <t xml:space="preserve">catalytic </t>
  </si>
  <si>
    <t>model</t>
  </si>
  <si>
    <t>-LN(Sa/Na)</t>
  </si>
  <si>
    <t>b1</t>
  </si>
  <si>
    <t>b2</t>
  </si>
  <si>
    <t>=</t>
  </si>
  <si>
    <t>Data fit from Study P</t>
  </si>
  <si>
    <t>N</t>
  </si>
  <si>
    <t>% young</t>
  </si>
  <si>
    <t>S_y</t>
  </si>
  <si>
    <t>S_o</t>
  </si>
  <si>
    <t>N (total)</t>
  </si>
  <si>
    <t>foi_o*L</t>
  </si>
  <si>
    <t>+</t>
  </si>
  <si>
    <t>R_yy</t>
  </si>
  <si>
    <t>R_yo</t>
  </si>
  <si>
    <t>R_oy</t>
  </si>
  <si>
    <t>R_oo</t>
  </si>
  <si>
    <t>Stats</t>
  </si>
  <si>
    <t>Susceptible number</t>
  </si>
  <si>
    <t>R_yy=b1*N_y*D</t>
  </si>
  <si>
    <t>R_yo=b2*N_y*D</t>
  </si>
  <si>
    <t>R_oy=b2*N_o*D</t>
  </si>
  <si>
    <t>R_oo=b2*N_o*D</t>
  </si>
  <si>
    <t>Values</t>
  </si>
  <si>
    <t>Force of infection (young)</t>
  </si>
  <si>
    <t>Force of infection (old)</t>
  </si>
  <si>
    <t>Duration</t>
  </si>
  <si>
    <t>D/365</t>
  </si>
  <si>
    <t>% old</t>
  </si>
  <si>
    <t>Average # infections young (I_y)</t>
  </si>
  <si>
    <t>Average # infections old (I_o)</t>
  </si>
  <si>
    <t>Susceptible young (S_y)</t>
  </si>
  <si>
    <t>Susceptible old (S_o)</t>
  </si>
  <si>
    <t>Numerator</t>
  </si>
  <si>
    <t>Denominator</t>
  </si>
  <si>
    <t>foi_y*L</t>
  </si>
  <si>
    <t>N*EXP(-foi_y*age)</t>
  </si>
  <si>
    <t>1-EXP(-foi_y*age)</t>
  </si>
  <si>
    <t>(L-age)</t>
  </si>
  <si>
    <t>-foi_o(L-age)</t>
  </si>
  <si>
    <t>1-EXP(-foi_o(L-age)</t>
  </si>
  <si>
    <t>Life expectancy (L)</t>
  </si>
  <si>
    <t>Young (I_y)</t>
  </si>
  <si>
    <t>Old (I_o)</t>
  </si>
  <si>
    <t>=foi_y*S_y*(D/365)</t>
  </si>
  <si>
    <t>=foi_o*S_o*(D/365)</t>
  </si>
  <si>
    <t>Who Aquires Infection From Whom (WAIFW)</t>
  </si>
  <si>
    <t>foi_o=(b_oo*I_o)+(b_oy*I_y)</t>
  </si>
  <si>
    <t>foi_y=(b_yy*I_y)+(b_yo*I_o)</t>
  </si>
  <si>
    <t>foi_y=(b1*I_y)+(b2*I_o)</t>
  </si>
  <si>
    <t>foi_o=(b2*I_o)+(b2*I_y)</t>
  </si>
  <si>
    <t>b2a</t>
  </si>
  <si>
    <t>b2b</t>
  </si>
  <si>
    <t>b2c</t>
  </si>
  <si>
    <t>add</t>
  </si>
  <si>
    <t>divide</t>
  </si>
  <si>
    <t>b1a</t>
  </si>
  <si>
    <t>b1b</t>
  </si>
  <si>
    <t>b1c</t>
  </si>
  <si>
    <t>b1d</t>
  </si>
  <si>
    <t>CHECK ABOVE MATCHES BELOW</t>
  </si>
  <si>
    <t>substitute</t>
  </si>
  <si>
    <t>multiply</t>
  </si>
  <si>
    <t>subtract</t>
  </si>
  <si>
    <t>b1e</t>
  </si>
  <si>
    <t>b1 (daily)</t>
  </si>
  <si>
    <t>b2 (daily)</t>
  </si>
  <si>
    <t>b1 (yearly)</t>
  </si>
  <si>
    <t>b2 (yearly</t>
  </si>
  <si>
    <t>Formula</t>
  </si>
  <si>
    <t>Next Generation Matrix</t>
  </si>
  <si>
    <t>R=beta*N*D</t>
  </si>
  <si>
    <t>N young (N_y)</t>
  </si>
  <si>
    <t>N old (N_o)</t>
  </si>
  <si>
    <t>Next Generation matrix</t>
  </si>
  <si>
    <t xml:space="preserve">Number of new infectious </t>
  </si>
  <si>
    <t>Young</t>
  </si>
  <si>
    <t>persons who are:</t>
  </si>
  <si>
    <t>Old</t>
  </si>
  <si>
    <t>Total number of secondary infectious persons in each generation:</t>
  </si>
  <si>
    <r>
      <t xml:space="preserve"> Ratio between the number of infectious persons in the </t>
    </r>
    <r>
      <rPr>
        <u/>
        <sz val="11"/>
        <color indexed="10"/>
        <rFont val="Calibri"/>
        <family val="2"/>
      </rPr>
      <t>current</t>
    </r>
    <r>
      <rPr>
        <sz val="11"/>
        <color indexed="10"/>
        <rFont val="Calibri"/>
        <family val="2"/>
      </rPr>
      <t xml:space="preserve"> and </t>
    </r>
    <r>
      <rPr>
        <u/>
        <sz val="11"/>
        <color indexed="10"/>
        <rFont val="Calibri"/>
        <family val="2"/>
      </rPr>
      <t>previous</t>
    </r>
    <r>
      <rPr>
        <sz val="11"/>
        <color indexed="10"/>
        <rFont val="Calibri"/>
        <family val="2"/>
      </rPr>
      <t xml:space="preserve"> generation </t>
    </r>
  </si>
  <si>
    <t>= R0</t>
  </si>
  <si>
    <t>Proportion of infectious persons</t>
  </si>
  <si>
    <t>= x</t>
  </si>
  <si>
    <t xml:space="preserve"> in this generation who are:</t>
  </si>
  <si>
    <t>= 1 - x</t>
  </si>
  <si>
    <t>R0</t>
  </si>
  <si>
    <t>Herd Immunity Threshold</t>
  </si>
  <si>
    <t>From BM</t>
  </si>
  <si>
    <t>BASED ON STUDY P IN COUNTRY Y</t>
  </si>
  <si>
    <t>ASSUMPTIONS MADE</t>
  </si>
  <si>
    <t>All infected become severely sick</t>
  </si>
  <si>
    <t>No maternal immunity</t>
  </si>
  <si>
    <t>1200 vaccines a year (1200/pop????)</t>
  </si>
  <si>
    <t>Before vaccination at 300 years (equilibrium/endemic)</t>
  </si>
  <si>
    <t>Uses Euler's method</t>
  </si>
  <si>
    <t>Sus_y at 300</t>
  </si>
  <si>
    <t>Infous_y at 300</t>
  </si>
  <si>
    <t>Imm_y at 300</t>
  </si>
  <si>
    <t>Sus_o at 300</t>
  </si>
  <si>
    <t>Infous_o at 300</t>
  </si>
  <si>
    <t>Imm_o at 300</t>
  </si>
  <si>
    <t>Sus_y at 310</t>
  </si>
  <si>
    <t>Infous_y at 310</t>
  </si>
  <si>
    <t>Imm_y at 310</t>
  </si>
  <si>
    <t>Sus_o at 310</t>
  </si>
  <si>
    <t>Infous_o at 310</t>
  </si>
  <si>
    <t>Imm_o at 310</t>
  </si>
  <si>
    <t>Prop_sus at 300</t>
  </si>
  <si>
    <t>prop_sus_y at 300</t>
  </si>
  <si>
    <t>prop_sus_o at 300</t>
  </si>
  <si>
    <t>prop_imm_o at 300</t>
  </si>
  <si>
    <t>prop_imm_y at 300</t>
  </si>
  <si>
    <t>prop_sus_y at 310</t>
  </si>
  <si>
    <t>prop_imm_y at 310</t>
  </si>
  <si>
    <t>prop_sus_o at 310</t>
  </si>
  <si>
    <t>prop_imm_o at 310</t>
  </si>
  <si>
    <t>Prop_sus at 310</t>
  </si>
  <si>
    <t>new_infn_y_p100000 at 300</t>
  </si>
  <si>
    <t>new_infn_o_p100000 at 300</t>
  </si>
  <si>
    <t>new_ifn at 300</t>
  </si>
  <si>
    <t>new_infn_y_p100000 at 310</t>
  </si>
  <si>
    <t>new_infn_o_p100000 at 310</t>
  </si>
  <si>
    <t>new_ifn at 310</t>
  </si>
  <si>
    <t>force_of_infn_y at 300</t>
  </si>
  <si>
    <t>force_of_infn_o at 300</t>
  </si>
  <si>
    <t>force_of_infn_y at 310</t>
  </si>
  <si>
    <t>force_of_infn_o at 310</t>
  </si>
  <si>
    <t>Before vaccination at 310 years (equilibrium/endemic)</t>
  </si>
  <si>
    <t>prop_imm at 300</t>
  </si>
  <si>
    <t>prop_imm at 310</t>
  </si>
  <si>
    <t>Young only</t>
  </si>
  <si>
    <t>Old only</t>
  </si>
  <si>
    <t>Mixed</t>
  </si>
  <si>
    <t>Mixed strategy</t>
  </si>
  <si>
    <t>TIME</t>
  </si>
  <si>
    <t>year:1</t>
  </si>
  <si>
    <t>Sus_y:1</t>
  </si>
  <si>
    <t>Infous_y:1</t>
  </si>
  <si>
    <t>Imm_y:1</t>
  </si>
  <si>
    <t>No vaccine</t>
  </si>
  <si>
    <t>Sus_o:1</t>
  </si>
  <si>
    <t>Infous_o:1</t>
  </si>
  <si>
    <t>Imm_o:1</t>
  </si>
  <si>
    <t>prop_sus_y:1</t>
  </si>
  <si>
    <t>prop_imm_y:1</t>
  </si>
  <si>
    <t>prop_sus_o:1</t>
  </si>
  <si>
    <t>prop_imm_o:1</t>
  </si>
  <si>
    <t>prop_sus:1</t>
  </si>
  <si>
    <t>prop_imm:1</t>
  </si>
  <si>
    <t>new_infn_y_p100000:1</t>
  </si>
  <si>
    <t>new_infn_o_p100000:1</t>
  </si>
  <si>
    <t>new_ifn:1</t>
  </si>
  <si>
    <t>force_of_infn_y:1</t>
  </si>
  <si>
    <t>force_of_infn_o:1</t>
  </si>
  <si>
    <t>tot_young:1</t>
  </si>
  <si>
    <t>tot_old:1</t>
  </si>
  <si>
    <t>cum_cases:1</t>
  </si>
  <si>
    <t>No vaccination</t>
  </si>
  <si>
    <t>Infectious Cases</t>
  </si>
  <si>
    <t>None</t>
  </si>
  <si>
    <t>β</t>
  </si>
  <si>
    <t>Average Number of infections daily</t>
  </si>
  <si>
    <t>Young (&lt;20)</t>
  </si>
  <si>
    <t>Old (≥20)</t>
  </si>
  <si>
    <t>Key input parameters</t>
  </si>
  <si>
    <t>Name in spreadsheet</t>
  </si>
  <si>
    <t>Average duration of infectiousness (days)</t>
  </si>
  <si>
    <t>ave_infous</t>
  </si>
  <si>
    <t>Total number of young individuals</t>
  </si>
  <si>
    <t>N_y</t>
  </si>
  <si>
    <t>Total number of middle-aged individuals</t>
  </si>
  <si>
    <t>N_m</t>
  </si>
  <si>
    <t>Total number of old individuals</t>
  </si>
  <si>
    <t>N_o</t>
  </si>
  <si>
    <t>Proportion immune</t>
  </si>
  <si>
    <t>prop_imm</t>
  </si>
  <si>
    <t>Total number of susceptible young individuals</t>
  </si>
  <si>
    <t>Total number of susceptible middle-aged individuals</t>
  </si>
  <si>
    <t>S_m</t>
  </si>
  <si>
    <t>Total number of susceptible old individuals</t>
  </si>
  <si>
    <t>WAIFW matrix</t>
  </si>
  <si>
    <t>Daily rate at which a specific infectious person and a specific susceptible person  come into effective contact</t>
  </si>
  <si>
    <t>Age category of infectious person</t>
  </si>
  <si>
    <t>middle-aged</t>
  </si>
  <si>
    <t xml:space="preserve">Age category of susceptible </t>
  </si>
  <si>
    <t>person:</t>
  </si>
  <si>
    <t>Number of secondary infectious individuals resulting from individuals in different age categories (NGM):</t>
  </si>
  <si>
    <t xml:space="preserve">young </t>
  </si>
  <si>
    <t>Age category of susceptibles</t>
  </si>
  <si>
    <t xml:space="preserve">among whom secondary infectious </t>
  </si>
  <si>
    <t>individuals occur</t>
  </si>
  <si>
    <t>Total</t>
  </si>
  <si>
    <t>Age distribution of the infectious individual introduced into the population</t>
  </si>
  <si>
    <t>Name in</t>
  </si>
  <si>
    <t>Proportion of the infectious person which is in the:</t>
  </si>
  <si>
    <t>value</t>
  </si>
  <si>
    <t>young age category</t>
  </si>
  <si>
    <t>x_</t>
  </si>
  <si>
    <t>middle-age category</t>
  </si>
  <si>
    <t>w_</t>
  </si>
  <si>
    <t>old age category</t>
  </si>
  <si>
    <t>z_</t>
  </si>
  <si>
    <t>Possible value for the R0</t>
  </si>
  <si>
    <t>R0_est</t>
  </si>
  <si>
    <t>Square of the difference between LHS</t>
  </si>
  <si>
    <t>LHS of matrix equn</t>
  </si>
  <si>
    <t>RHS of matrix equn</t>
  </si>
  <si>
    <t>and RHS of the matrix equation</t>
  </si>
  <si>
    <t>Total number of young infectious individuals resulting from the introduction of an infectious person (equn B)</t>
  </si>
  <si>
    <t>Total number of middle-aged infectious individuals resulting from the introduction of an infectious person (equn C)</t>
  </si>
  <si>
    <t>Total number of old infectious individuals resulting  from the introduction of an infectious person (equn D)</t>
  </si>
  <si>
    <t xml:space="preserve">SUM: </t>
  </si>
  <si>
    <t>Average number of secondary infectious individuals</t>
  </si>
  <si>
    <t>Generation</t>
  </si>
  <si>
    <t>Number of infectious individuals:</t>
  </si>
  <si>
    <t>Proportion of infectious individuals who are:</t>
  </si>
  <si>
    <t>resulting from each infectious person in the</t>
  </si>
  <si>
    <t>number</t>
  </si>
  <si>
    <t>preceding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</si>
</sst>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2" x14ac:knownFonts="1">
    <font>
      <sz val="12"/>
      <color theme="1"/>
      <name val="Calibri"/>
      <family val="2"/>
      <scheme val="minor"/>
    </font>
    <font>
      <sz val="12"/>
      <color rgb="FFFF0000"/>
      <name val="Calibri"/>
      <family val="2"/>
      <scheme val="minor"/>
    </font>
    <font>
      <b/>
      <sz val="12"/>
      <color theme="1"/>
      <name val="Calibri"/>
      <family val="2"/>
      <scheme val="minor"/>
    </font>
    <font>
      <sz val="10"/>
      <name val="Arial"/>
      <family val="2"/>
    </font>
    <font>
      <b/>
      <sz val="10"/>
      <name val="Arial"/>
      <family val="2"/>
    </font>
    <font>
      <sz val="12"/>
      <color theme="4" tint="-0.249977111117893"/>
      <name val="Calibri"/>
      <family val="2"/>
      <scheme val="minor"/>
    </font>
    <font>
      <b/>
      <sz val="12"/>
      <color rgb="FFFF0000"/>
      <name val="Calibri"/>
      <family val="2"/>
      <scheme val="minor"/>
    </font>
    <font>
      <sz val="12"/>
      <color theme="4"/>
      <name val="Calibri"/>
      <family val="2"/>
      <scheme val="minor"/>
    </font>
    <font>
      <sz val="12"/>
      <color theme="9"/>
      <name val="Calibri"/>
      <family val="2"/>
      <scheme val="minor"/>
    </font>
    <font>
      <sz val="12"/>
      <color theme="7"/>
      <name val="Calibri"/>
      <family val="2"/>
      <scheme val="minor"/>
    </font>
    <font>
      <sz val="12"/>
      <color theme="5"/>
      <name val="Calibri"/>
      <family val="2"/>
      <scheme val="minor"/>
    </font>
    <font>
      <b/>
      <sz val="11"/>
      <color theme="1"/>
      <name val="Calibri"/>
      <family val="2"/>
      <scheme val="minor"/>
    </font>
    <font>
      <b/>
      <sz val="20"/>
      <color theme="1"/>
      <name val="Calibri"/>
      <family val="2"/>
      <scheme val="minor"/>
    </font>
    <font>
      <b/>
      <sz val="15"/>
      <color theme="1"/>
      <name val="Calibri"/>
      <family val="2"/>
      <scheme val="minor"/>
    </font>
    <font>
      <u/>
      <sz val="11"/>
      <color theme="10"/>
      <name val="Calibri"/>
      <family val="2"/>
    </font>
    <font>
      <sz val="11"/>
      <color rgb="FFFF0000"/>
      <name val="Calibri"/>
      <family val="2"/>
      <scheme val="minor"/>
    </font>
    <font>
      <u/>
      <sz val="11"/>
      <color indexed="10"/>
      <name val="Calibri"/>
      <family val="2"/>
    </font>
    <font>
      <sz val="11"/>
      <color indexed="10"/>
      <name val="Calibri"/>
      <family val="2"/>
    </font>
    <font>
      <i/>
      <sz val="11"/>
      <color rgb="FFFF0000"/>
      <name val="Calibri"/>
      <family val="2"/>
      <scheme val="minor"/>
    </font>
    <font>
      <b/>
      <sz val="20"/>
      <color rgb="FFFF0000"/>
      <name val="Calibri"/>
      <family val="2"/>
      <scheme val="minor"/>
    </font>
    <font>
      <sz val="11"/>
      <color rgb="FF0070C0"/>
      <name val="Calibri"/>
      <family val="2"/>
      <scheme val="minor"/>
    </font>
    <font>
      <b/>
      <sz val="16"/>
      <color rgb="FF0070C0"/>
      <name val="Calibri"/>
      <family val="2"/>
      <scheme val="minor"/>
    </font>
    <font>
      <sz val="9"/>
      <color indexed="31"/>
      <name val="Tahoma"/>
      <family val="2"/>
    </font>
    <font>
      <sz val="12"/>
      <color theme="8"/>
      <name val="Calibri"/>
      <family val="2"/>
      <scheme val="minor"/>
    </font>
    <font>
      <sz val="12"/>
      <color rgb="FF7030A0"/>
      <name val="Calibri"/>
      <family val="2"/>
      <scheme val="minor"/>
    </font>
    <font>
      <sz val="12"/>
      <color rgb="FF00B0F0"/>
      <name val="Calibri"/>
      <family val="2"/>
      <scheme val="minor"/>
    </font>
    <font>
      <sz val="9"/>
      <color rgb="FFFFFFFF"/>
      <name val="Tahoma"/>
      <family val="2"/>
    </font>
    <font>
      <b/>
      <u/>
      <sz val="10"/>
      <name val="Arial"/>
      <family val="2"/>
    </font>
    <font>
      <b/>
      <sz val="10"/>
      <color indexed="10"/>
      <name val="Arial"/>
      <family val="2"/>
    </font>
    <font>
      <sz val="10"/>
      <color indexed="9"/>
      <name val="Arial"/>
      <family val="2"/>
    </font>
    <font>
      <b/>
      <sz val="10"/>
      <color indexed="9"/>
      <name val="Arial"/>
      <family val="2"/>
    </font>
    <font>
      <sz val="10"/>
      <color rgb="FF000000"/>
      <name val="Tahoma"/>
      <family val="2"/>
    </font>
  </fonts>
  <fills count="17">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bgColor indexed="64"/>
      </patternFill>
    </fill>
    <fill>
      <patternFill patternType="solid">
        <fgColor theme="0"/>
        <bgColor indexed="64"/>
      </patternFill>
    </fill>
    <fill>
      <patternFill patternType="solid">
        <fgColor rgb="FFFF99FF"/>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indexed="15"/>
        <bgColor indexed="64"/>
      </patternFill>
    </fill>
    <fill>
      <patternFill patternType="solid">
        <fgColor indexed="52"/>
        <bgColor indexed="64"/>
      </patternFill>
    </fill>
    <fill>
      <patternFill patternType="solid">
        <fgColor indexed="13"/>
        <bgColor indexed="64"/>
      </patternFill>
    </fill>
    <fill>
      <patternFill patternType="solid">
        <fgColor indexed="46"/>
        <bgColor indexed="64"/>
      </patternFill>
    </fill>
    <fill>
      <patternFill patternType="solid">
        <fgColor indexed="14"/>
        <bgColor indexed="64"/>
      </patternFill>
    </fill>
  </fills>
  <borders count="14">
    <border>
      <left/>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thin">
        <color indexed="9"/>
      </top>
      <bottom style="thin">
        <color indexed="9"/>
      </bottom>
      <diagonal/>
    </border>
  </borders>
  <cellStyleXfs count="2">
    <xf numFmtId="0" fontId="0" fillId="0" borderId="0"/>
    <xf numFmtId="0" fontId="14" fillId="0" borderId="0" applyNumberFormat="0" applyFill="0" applyBorder="0" applyAlignment="0" applyProtection="0">
      <alignment vertical="top"/>
      <protection locked="0"/>
    </xf>
  </cellStyleXfs>
  <cellXfs count="158">
    <xf numFmtId="0" fontId="0" fillId="0" borderId="0" xfId="0"/>
    <xf numFmtId="0" fontId="0" fillId="2" borderId="0" xfId="0" applyFill="1"/>
    <xf numFmtId="0" fontId="0" fillId="3" borderId="0" xfId="0" applyFill="1"/>
    <xf numFmtId="0" fontId="1" fillId="3" borderId="0" xfId="0" applyFont="1" applyFill="1"/>
    <xf numFmtId="0" fontId="0" fillId="4" borderId="1" xfId="0" applyFill="1" applyBorder="1"/>
    <xf numFmtId="0" fontId="2" fillId="4" borderId="1" xfId="0" applyFont="1" applyFill="1" applyBorder="1"/>
    <xf numFmtId="0" fontId="2" fillId="0" borderId="0" xfId="0" applyFont="1"/>
    <xf numFmtId="0" fontId="0" fillId="0" borderId="0" xfId="0" applyFont="1"/>
    <xf numFmtId="0" fontId="0" fillId="0" borderId="2" xfId="0" applyBorder="1"/>
    <xf numFmtId="0" fontId="0" fillId="0" borderId="3" xfId="0" quotePrefix="1" applyBorder="1"/>
    <xf numFmtId="0" fontId="0" fillId="0" borderId="3" xfId="0" applyBorder="1"/>
    <xf numFmtId="0" fontId="0" fillId="0" borderId="4" xfId="0" applyBorder="1"/>
    <xf numFmtId="0" fontId="0" fillId="0" borderId="6" xfId="0" quotePrefix="1" applyBorder="1"/>
    <xf numFmtId="0" fontId="0" fillId="0" borderId="6" xfId="0" applyBorder="1"/>
    <xf numFmtId="0" fontId="0" fillId="0" borderId="7" xfId="0" applyBorder="1"/>
    <xf numFmtId="0" fontId="2" fillId="0" borderId="2" xfId="0" applyFont="1" applyBorder="1"/>
    <xf numFmtId="0" fontId="2" fillId="0" borderId="8" xfId="0" applyFont="1" applyBorder="1"/>
    <xf numFmtId="0" fontId="0" fillId="0" borderId="0" xfId="0" applyBorder="1"/>
    <xf numFmtId="0" fontId="0" fillId="0" borderId="9" xfId="0" applyBorder="1"/>
    <xf numFmtId="0" fontId="0" fillId="0" borderId="8" xfId="0" applyBorder="1"/>
    <xf numFmtId="0" fontId="2" fillId="0" borderId="0" xfId="0" applyFont="1" applyBorder="1"/>
    <xf numFmtId="0" fontId="0" fillId="0" borderId="0" xfId="0" quotePrefix="1" applyBorder="1"/>
    <xf numFmtId="0" fontId="0" fillId="0" borderId="5" xfId="0" applyBorder="1"/>
    <xf numFmtId="0" fontId="0" fillId="0" borderId="8" xfId="0" quotePrefix="1" applyBorder="1"/>
    <xf numFmtId="0" fontId="0" fillId="4" borderId="2" xfId="0" applyFill="1" applyBorder="1"/>
    <xf numFmtId="0" fontId="0" fillId="4" borderId="3" xfId="0" applyFill="1" applyBorder="1"/>
    <xf numFmtId="0" fontId="0" fillId="5" borderId="3" xfId="0" applyFill="1" applyBorder="1"/>
    <xf numFmtId="0" fontId="0" fillId="6" borderId="4" xfId="0" applyFill="1" applyBorder="1"/>
    <xf numFmtId="0" fontId="0" fillId="4" borderId="8" xfId="0" applyFill="1" applyBorder="1"/>
    <xf numFmtId="0" fontId="0" fillId="4" borderId="0" xfId="0" applyFill="1" applyBorder="1"/>
    <xf numFmtId="0" fontId="0" fillId="5" borderId="0" xfId="0" applyFill="1" applyBorder="1" applyAlignment="1">
      <alignment horizontal="center" vertical="top"/>
    </xf>
    <xf numFmtId="0" fontId="0" fillId="6" borderId="9" xfId="0" applyFill="1" applyBorder="1"/>
    <xf numFmtId="0" fontId="2" fillId="4" borderId="8" xfId="0" applyFont="1" applyFill="1" applyBorder="1"/>
    <xf numFmtId="0" fontId="2" fillId="4" borderId="0" xfId="0" applyFont="1" applyFill="1" applyBorder="1"/>
    <xf numFmtId="0" fontId="0" fillId="5" borderId="0" xfId="0" applyFill="1" applyBorder="1" applyAlignment="1">
      <alignment horizontal="center"/>
    </xf>
    <xf numFmtId="0" fontId="4" fillId="3" borderId="0" xfId="0" applyFont="1" applyFill="1" applyBorder="1" applyAlignment="1">
      <alignment horizontal="center"/>
    </xf>
    <xf numFmtId="0" fontId="0" fillId="6" borderId="9" xfId="0" quotePrefix="1" applyFill="1" applyBorder="1"/>
    <xf numFmtId="0" fontId="0" fillId="5" borderId="0" xfId="0" applyFill="1" applyBorder="1"/>
    <xf numFmtId="0" fontId="0" fillId="3" borderId="0" xfId="0" applyFill="1" applyBorder="1"/>
    <xf numFmtId="0" fontId="0" fillId="4" borderId="5" xfId="0" applyFill="1" applyBorder="1"/>
    <xf numFmtId="0" fontId="0" fillId="4" borderId="6" xfId="0" applyFill="1" applyBorder="1"/>
    <xf numFmtId="0" fontId="0" fillId="5" borderId="6" xfId="0" applyFill="1" applyBorder="1"/>
    <xf numFmtId="0" fontId="0" fillId="3" borderId="6" xfId="0" applyFill="1" applyBorder="1"/>
    <xf numFmtId="0" fontId="0" fillId="6" borderId="7" xfId="0" applyFill="1" applyBorder="1"/>
    <xf numFmtId="0" fontId="0" fillId="2" borderId="8" xfId="0" applyFill="1" applyBorder="1"/>
    <xf numFmtId="0" fontId="0" fillId="3" borderId="8" xfId="0" applyFill="1" applyBorder="1"/>
    <xf numFmtId="0" fontId="0" fillId="3" borderId="5" xfId="0" applyFill="1" applyBorder="1"/>
    <xf numFmtId="0" fontId="1" fillId="3" borderId="9" xfId="0" applyFont="1" applyFill="1" applyBorder="1"/>
    <xf numFmtId="0" fontId="1" fillId="3" borderId="7" xfId="0" applyFont="1" applyFill="1" applyBorder="1"/>
    <xf numFmtId="0" fontId="0" fillId="2" borderId="9" xfId="0" applyFill="1" applyBorder="1"/>
    <xf numFmtId="0" fontId="0" fillId="2" borderId="7"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6" xfId="0" applyFill="1" applyBorder="1"/>
    <xf numFmtId="0" fontId="0" fillId="0" borderId="0" xfId="0" applyFont="1" applyFill="1" applyBorder="1"/>
    <xf numFmtId="0" fontId="0" fillId="0" borderId="2" xfId="0" quotePrefix="1" applyBorder="1"/>
    <xf numFmtId="0" fontId="7" fillId="0" borderId="0" xfId="0" applyFont="1"/>
    <xf numFmtId="0" fontId="7" fillId="0" borderId="0" xfId="0" applyFont="1" applyBorder="1"/>
    <xf numFmtId="0" fontId="2" fillId="0" borderId="6" xfId="0" applyFont="1" applyBorder="1"/>
    <xf numFmtId="0" fontId="0" fillId="0" borderId="0" xfId="0" applyAlignment="1">
      <alignment horizontal="right"/>
    </xf>
    <xf numFmtId="0" fontId="11" fillId="0" borderId="0" xfId="0" applyFont="1"/>
    <xf numFmtId="0" fontId="12" fillId="0" borderId="0" xfId="0" applyFont="1" applyAlignment="1">
      <alignment horizontal="left"/>
    </xf>
    <xf numFmtId="0" fontId="13" fillId="7" borderId="0" xfId="0" applyFont="1" applyFill="1" applyAlignment="1">
      <alignment horizontal="center"/>
    </xf>
    <xf numFmtId="0" fontId="0" fillId="8" borderId="0" xfId="0" applyFill="1"/>
    <xf numFmtId="0" fontId="0" fillId="0" borderId="0" xfId="0" applyAlignment="1">
      <alignment horizontal="right" vertical="center"/>
    </xf>
    <xf numFmtId="0" fontId="0" fillId="8" borderId="0" xfId="0" applyFill="1" applyAlignment="1">
      <alignment horizontal="center"/>
    </xf>
    <xf numFmtId="0" fontId="14" fillId="0" borderId="0" xfId="1" applyBorder="1" applyAlignment="1" applyProtection="1"/>
    <xf numFmtId="0" fontId="0" fillId="9" borderId="0" xfId="0" applyFill="1"/>
    <xf numFmtId="0" fontId="0" fillId="9" borderId="0" xfId="0" applyFill="1" applyAlignment="1">
      <alignment horizontal="center"/>
    </xf>
    <xf numFmtId="0" fontId="0" fillId="0" borderId="0" xfId="0" applyAlignment="1">
      <alignment horizontal="center"/>
    </xf>
    <xf numFmtId="0" fontId="0" fillId="0" borderId="0" xfId="0" applyAlignment="1">
      <alignment wrapText="1"/>
    </xf>
    <xf numFmtId="0" fontId="0" fillId="10" borderId="0" xfId="0" applyFill="1" applyAlignment="1">
      <alignment horizontal="center" vertical="top" wrapText="1"/>
    </xf>
    <xf numFmtId="1" fontId="0" fillId="11" borderId="0" xfId="0" applyNumberFormat="1" applyFill="1" applyAlignment="1">
      <alignment horizontal="center" wrapText="1"/>
    </xf>
    <xf numFmtId="2" fontId="18" fillId="11" borderId="0" xfId="0" applyNumberFormat="1" applyFont="1" applyFill="1" applyAlignment="1">
      <alignment horizontal="center" vertical="top" wrapText="1"/>
    </xf>
    <xf numFmtId="49" fontId="19" fillId="0" borderId="0" xfId="0" applyNumberFormat="1" applyFont="1" applyAlignment="1">
      <alignment horizontal="left" vertical="top" wrapText="1"/>
    </xf>
    <xf numFmtId="0" fontId="0" fillId="0" borderId="0" xfId="0" applyAlignment="1">
      <alignment horizontal="left"/>
    </xf>
    <xf numFmtId="0" fontId="20" fillId="0" borderId="0" xfId="0" applyFont="1" applyAlignment="1">
      <alignment horizontal="right" vertical="center"/>
    </xf>
    <xf numFmtId="164" fontId="0" fillId="8" borderId="0" xfId="0" applyNumberFormat="1" applyFill="1"/>
    <xf numFmtId="49" fontId="21" fillId="0" borderId="0" xfId="0" applyNumberFormat="1" applyFont="1" applyAlignment="1">
      <alignment horizontal="left" vertical="top" wrapText="1"/>
    </xf>
    <xf numFmtId="0" fontId="20" fillId="0" borderId="0" xfId="0" applyFont="1" applyAlignment="1">
      <alignment horizontal="right" vertical="center" wrapText="1"/>
    </xf>
    <xf numFmtId="49" fontId="0" fillId="0" borderId="0" xfId="0" applyNumberFormat="1"/>
    <xf numFmtId="2" fontId="0" fillId="0" borderId="0" xfId="0" applyNumberFormat="1"/>
    <xf numFmtId="0" fontId="2" fillId="2" borderId="3" xfId="0" applyFont="1" applyFill="1" applyBorder="1"/>
    <xf numFmtId="0" fontId="8" fillId="0" borderId="8" xfId="0" applyFont="1" applyBorder="1" applyAlignment="1">
      <alignment horizontal="right"/>
    </xf>
    <xf numFmtId="0" fontId="5" fillId="0" borderId="8" xfId="0" applyFont="1" applyBorder="1" applyAlignment="1">
      <alignment horizontal="right"/>
    </xf>
    <xf numFmtId="0" fontId="0" fillId="0" borderId="8" xfId="0" applyBorder="1" applyAlignment="1">
      <alignment horizontal="right"/>
    </xf>
    <xf numFmtId="0" fontId="9" fillId="0" borderId="8" xfId="0" applyFont="1" applyBorder="1" applyAlignment="1">
      <alignment horizontal="right"/>
    </xf>
    <xf numFmtId="0" fontId="10" fillId="0" borderId="5" xfId="0" applyFont="1" applyBorder="1" applyAlignment="1">
      <alignment horizontal="right"/>
    </xf>
    <xf numFmtId="0" fontId="8" fillId="0" borderId="8" xfId="0" applyFont="1" applyBorder="1" applyAlignment="1">
      <alignment horizontal="center"/>
    </xf>
    <xf numFmtId="0" fontId="23" fillId="0" borderId="8" xfId="0" applyFont="1" applyBorder="1" applyAlignment="1">
      <alignment horizontal="center"/>
    </xf>
    <xf numFmtId="0" fontId="24" fillId="0" borderId="8" xfId="0" applyFont="1" applyBorder="1" applyAlignment="1">
      <alignment horizontal="center"/>
    </xf>
    <xf numFmtId="0" fontId="10" fillId="0" borderId="8" xfId="0" applyFont="1" applyBorder="1" applyAlignment="1">
      <alignment horizontal="center"/>
    </xf>
    <xf numFmtId="0" fontId="25" fillId="0" borderId="8" xfId="0" applyFont="1" applyBorder="1" applyAlignment="1">
      <alignment horizontal="center"/>
    </xf>
    <xf numFmtId="0" fontId="9" fillId="0" borderId="8" xfId="0" applyFont="1" applyBorder="1" applyAlignment="1">
      <alignment horizontal="center"/>
    </xf>
    <xf numFmtId="0" fontId="8" fillId="0" borderId="0" xfId="0" applyFont="1" applyBorder="1" applyAlignment="1">
      <alignment horizontal="center"/>
    </xf>
    <xf numFmtId="0" fontId="23" fillId="0" borderId="0" xfId="0" applyFont="1" applyBorder="1" applyAlignment="1">
      <alignment horizontal="center"/>
    </xf>
    <xf numFmtId="0" fontId="24" fillId="0" borderId="0" xfId="0" applyFont="1" applyBorder="1" applyAlignment="1">
      <alignment horizontal="center"/>
    </xf>
    <xf numFmtId="0" fontId="10" fillId="0" borderId="0" xfId="0" applyFont="1" applyBorder="1" applyAlignment="1">
      <alignment horizontal="center"/>
    </xf>
    <xf numFmtId="0" fontId="25" fillId="0" borderId="0" xfId="0" applyFont="1" applyBorder="1" applyAlignment="1">
      <alignment horizontal="center"/>
    </xf>
    <xf numFmtId="0" fontId="9" fillId="0" borderId="0" xfId="0" applyFont="1" applyBorder="1" applyAlignment="1">
      <alignment horizontal="center"/>
    </xf>
    <xf numFmtId="0" fontId="2" fillId="0" borderId="3" xfId="0" applyFont="1" applyBorder="1"/>
    <xf numFmtId="0" fontId="2" fillId="0" borderId="8" xfId="0" applyFont="1" applyBorder="1" applyAlignment="1">
      <alignment horizontal="center"/>
    </xf>
    <xf numFmtId="0" fontId="2" fillId="0" borderId="0" xfId="0" applyFont="1" applyAlignment="1">
      <alignment horizontal="center"/>
    </xf>
    <xf numFmtId="0" fontId="2" fillId="0" borderId="0" xfId="0" applyFont="1" applyBorder="1" applyAlignment="1">
      <alignment horizontal="center"/>
    </xf>
    <xf numFmtId="0" fontId="0" fillId="0" borderId="0" xfId="0" applyAlignment="1"/>
    <xf numFmtId="0" fontId="0" fillId="0" borderId="3" xfId="0" applyBorder="1" applyAlignment="1"/>
    <xf numFmtId="0" fontId="6" fillId="0" borderId="0" xfId="0" applyFont="1" applyBorder="1" applyAlignment="1"/>
    <xf numFmtId="0" fontId="0" fillId="0" borderId="0" xfId="0" applyBorder="1" applyAlignment="1"/>
    <xf numFmtId="0" fontId="0" fillId="0" borderId="6" xfId="0" applyBorder="1" applyAlignment="1"/>
    <xf numFmtId="0" fontId="0" fillId="0" borderId="4" xfId="0" applyBorder="1" applyAlignment="1"/>
    <xf numFmtId="0" fontId="1" fillId="0" borderId="9" xfId="0" applyFont="1" applyBorder="1" applyAlignment="1"/>
    <xf numFmtId="0" fontId="0" fillId="0" borderId="9" xfId="0" applyBorder="1" applyAlignment="1"/>
    <xf numFmtId="0" fontId="0" fillId="0" borderId="7" xfId="0" applyBorder="1" applyAlignment="1"/>
    <xf numFmtId="0" fontId="1" fillId="0" borderId="0" xfId="0" applyFont="1" applyBorder="1" applyAlignment="1"/>
    <xf numFmtId="0" fontId="9" fillId="0" borderId="0" xfId="0" applyFont="1" applyBorder="1" applyAlignment="1"/>
    <xf numFmtId="0" fontId="10" fillId="0" borderId="0" xfId="0" applyFont="1" applyBorder="1" applyAlignment="1"/>
    <xf numFmtId="0" fontId="1" fillId="0" borderId="6" xfId="0" applyFont="1" applyBorder="1" applyAlignment="1"/>
    <xf numFmtId="0" fontId="0" fillId="0" borderId="8" xfId="0" applyBorder="1" applyAlignment="1">
      <alignment horizontal="center"/>
    </xf>
    <xf numFmtId="11" fontId="0" fillId="0" borderId="0" xfId="0" applyNumberFormat="1" applyBorder="1" applyAlignment="1"/>
    <xf numFmtId="11" fontId="0" fillId="0" borderId="0" xfId="0" applyNumberFormat="1"/>
    <xf numFmtId="0" fontId="27" fillId="12" borderId="0" xfId="0" applyFont="1" applyFill="1"/>
    <xf numFmtId="0" fontId="0" fillId="12" borderId="0" xfId="0" applyFill="1"/>
    <xf numFmtId="0" fontId="4" fillId="12" borderId="0" xfId="0" applyFont="1" applyFill="1" applyAlignment="1">
      <alignment horizontal="center"/>
    </xf>
    <xf numFmtId="0" fontId="4" fillId="12" borderId="0" xfId="0" applyFont="1" applyFill="1"/>
    <xf numFmtId="0" fontId="3" fillId="12" borderId="0" xfId="0" applyFont="1" applyFill="1"/>
    <xf numFmtId="0" fontId="28" fillId="12" borderId="0" xfId="0" applyFont="1" applyFill="1" applyAlignment="1">
      <alignment horizontal="center"/>
    </xf>
    <xf numFmtId="0" fontId="0" fillId="12" borderId="10" xfId="0" applyFill="1" applyBorder="1"/>
    <xf numFmtId="0" fontId="0" fillId="12" borderId="1" xfId="0" applyFill="1" applyBorder="1"/>
    <xf numFmtId="0" fontId="0" fillId="12" borderId="11" xfId="0" applyFill="1" applyBorder="1"/>
    <xf numFmtId="0" fontId="0" fillId="12" borderId="1" xfId="0" applyFill="1" applyBorder="1" applyAlignment="1">
      <alignment horizontal="center"/>
    </xf>
    <xf numFmtId="0" fontId="0" fillId="12" borderId="12" xfId="0" applyFill="1" applyBorder="1"/>
    <xf numFmtId="11" fontId="28" fillId="12" borderId="0" xfId="0" applyNumberFormat="1" applyFont="1" applyFill="1"/>
    <xf numFmtId="0" fontId="4" fillId="13" borderId="0" xfId="0" applyFont="1" applyFill="1"/>
    <xf numFmtId="0" fontId="0" fillId="13" borderId="0" xfId="0" applyFill="1"/>
    <xf numFmtId="0" fontId="0" fillId="13" borderId="10" xfId="0" applyFill="1" applyBorder="1"/>
    <xf numFmtId="0" fontId="0" fillId="13" borderId="1" xfId="0" applyFill="1" applyBorder="1"/>
    <xf numFmtId="0" fontId="0" fillId="13" borderId="11" xfId="0" applyFill="1" applyBorder="1"/>
    <xf numFmtId="0" fontId="0" fillId="13" borderId="12" xfId="0" applyFill="1" applyBorder="1"/>
    <xf numFmtId="0" fontId="27" fillId="14" borderId="0" xfId="0" applyFont="1" applyFill="1"/>
    <xf numFmtId="0" fontId="0" fillId="14" borderId="0" xfId="0" applyFill="1"/>
    <xf numFmtId="0" fontId="4" fillId="14" borderId="0" xfId="0" applyFont="1" applyFill="1"/>
    <xf numFmtId="0" fontId="4" fillId="14" borderId="0" xfId="0" applyFont="1" applyFill="1" applyAlignment="1">
      <alignment horizontal="center"/>
    </xf>
    <xf numFmtId="0" fontId="3" fillId="14" borderId="0" xfId="0" applyFont="1" applyFill="1"/>
    <xf numFmtId="0" fontId="0" fillId="15" borderId="0" xfId="0" applyFill="1"/>
    <xf numFmtId="0" fontId="29" fillId="0" borderId="0" xfId="0" applyFont="1"/>
    <xf numFmtId="0" fontId="30" fillId="0" borderId="0" xfId="0" applyFont="1"/>
    <xf numFmtId="0" fontId="4" fillId="15" borderId="0" xfId="0" applyFont="1" applyFill="1"/>
    <xf numFmtId="0" fontId="3" fillId="15" borderId="0" xfId="0" applyFont="1" applyFill="1"/>
    <xf numFmtId="0" fontId="30" fillId="0" borderId="13" xfId="0" applyFont="1" applyBorder="1"/>
    <xf numFmtId="0" fontId="4" fillId="16" borderId="0" xfId="0" applyFont="1" applyFill="1"/>
    <xf numFmtId="0" fontId="0" fillId="16" borderId="0" xfId="0" applyFill="1"/>
    <xf numFmtId="0" fontId="3" fillId="3" borderId="3" xfId="0" applyFont="1" applyFill="1" applyBorder="1" applyAlignment="1">
      <alignment horizontal="center"/>
    </xf>
    <xf numFmtId="0" fontId="3" fillId="3" borderId="0" xfId="0" applyFont="1" applyFill="1" applyBorder="1" applyAlignment="1">
      <alignment horizontal="center"/>
    </xf>
    <xf numFmtId="0" fontId="12" fillId="0" borderId="0" xfId="0" applyFont="1" applyAlignment="1">
      <alignment horizontal="left"/>
    </xf>
    <xf numFmtId="0" fontId="0" fillId="0" borderId="0" xfId="0" applyAlignment="1">
      <alignment horizontal="right" vertical="center" wrapText="1"/>
    </xf>
    <xf numFmtId="0" fontId="15" fillId="0" borderId="0" xfId="0" applyFont="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colors>
    <mruColors>
      <color rgb="FFBA56FF"/>
      <color rgb="FFA24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Comparison Between</a:t>
            </a:r>
            <a:r>
              <a:rPr lang="en-US" baseline="0"/>
              <a:t> the Observed and Expected Proportion Seropositive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lotArea>
      <c:layout/>
      <c:scatterChart>
        <c:scatterStyle val="lineMarker"/>
        <c:varyColors val="0"/>
        <c:ser>
          <c:idx val="0"/>
          <c:order val="0"/>
          <c:tx>
            <c:v>Observed</c:v>
          </c:tx>
          <c:spPr>
            <a:ln w="19050" cap="rnd">
              <a:noFill/>
              <a:round/>
            </a:ln>
            <a:effectLst/>
          </c:spPr>
          <c:marker>
            <c:symbol val="diamond"/>
            <c:size val="6"/>
            <c:spPr>
              <a:solidFill>
                <a:schemeClr val="accent1"/>
              </a:solidFill>
              <a:ln w="9525">
                <a:solidFill>
                  <a:schemeClr val="accent1"/>
                </a:solidFill>
              </a:ln>
              <a:effectLst/>
            </c:spPr>
          </c:marker>
          <c:xVal>
            <c:numRef>
              <c:f>'Catalytic Model'!$A$14:$A$21</c:f>
              <c:numCache>
                <c:formatCode>General</c:formatCode>
                <c:ptCount val="8"/>
                <c:pt idx="0">
                  <c:v>0</c:v>
                </c:pt>
                <c:pt idx="1">
                  <c:v>2.5</c:v>
                </c:pt>
                <c:pt idx="2">
                  <c:v>7</c:v>
                </c:pt>
                <c:pt idx="3">
                  <c:v>14.5</c:v>
                </c:pt>
                <c:pt idx="4">
                  <c:v>24.5</c:v>
                </c:pt>
                <c:pt idx="5">
                  <c:v>34.5</c:v>
                </c:pt>
                <c:pt idx="6">
                  <c:v>44.5</c:v>
                </c:pt>
                <c:pt idx="7">
                  <c:v>54.5</c:v>
                </c:pt>
              </c:numCache>
            </c:numRef>
          </c:xVal>
          <c:yVal>
            <c:numRef>
              <c:f>'Catalytic Model'!$E$14:$E$21</c:f>
              <c:numCache>
                <c:formatCode>General</c:formatCode>
                <c:ptCount val="8"/>
                <c:pt idx="1">
                  <c:v>9.7345132743362831E-2</c:v>
                </c:pt>
                <c:pt idx="2">
                  <c:v>0.26213592233009708</c:v>
                </c:pt>
                <c:pt idx="3">
                  <c:v>0.44680851063829785</c:v>
                </c:pt>
                <c:pt idx="4">
                  <c:v>0.61290322580645162</c:v>
                </c:pt>
                <c:pt idx="5">
                  <c:v>0.68852459016393441</c:v>
                </c:pt>
                <c:pt idx="6">
                  <c:v>0.72727272727272729</c:v>
                </c:pt>
                <c:pt idx="7">
                  <c:v>0.8</c:v>
                </c:pt>
              </c:numCache>
            </c:numRef>
          </c:yVal>
          <c:smooth val="0"/>
          <c:extLst>
            <c:ext xmlns:c16="http://schemas.microsoft.com/office/drawing/2014/chart" uri="{C3380CC4-5D6E-409C-BE32-E72D297353CC}">
              <c16:uniqueId val="{00000000-FC4B-BE41-9CE6-96E8EBFF522E}"/>
            </c:ext>
          </c:extLst>
        </c:ser>
        <c:ser>
          <c:idx val="1"/>
          <c:order val="1"/>
          <c:tx>
            <c:v>Expected</c:v>
          </c:tx>
          <c:spPr>
            <a:ln w="19050" cap="rnd">
              <a:solidFill>
                <a:schemeClr val="accent2"/>
              </a:solidFill>
              <a:round/>
            </a:ln>
            <a:effectLst/>
          </c:spPr>
          <c:marker>
            <c:symbol val="square"/>
            <c:size val="9"/>
            <c:spPr>
              <a:solidFill>
                <a:schemeClr val="accent2"/>
              </a:solidFill>
              <a:ln w="9525">
                <a:solidFill>
                  <a:schemeClr val="accent2"/>
                </a:solidFill>
              </a:ln>
              <a:effectLst/>
            </c:spPr>
          </c:marker>
          <c:xVal>
            <c:numRef>
              <c:f>'Catalytic Model'!$A$14:$A$21</c:f>
              <c:numCache>
                <c:formatCode>General</c:formatCode>
                <c:ptCount val="8"/>
                <c:pt idx="0">
                  <c:v>0</c:v>
                </c:pt>
                <c:pt idx="1">
                  <c:v>2.5</c:v>
                </c:pt>
                <c:pt idx="2">
                  <c:v>7</c:v>
                </c:pt>
                <c:pt idx="3">
                  <c:v>14.5</c:v>
                </c:pt>
                <c:pt idx="4">
                  <c:v>24.5</c:v>
                </c:pt>
                <c:pt idx="5">
                  <c:v>34.5</c:v>
                </c:pt>
                <c:pt idx="6">
                  <c:v>44.5</c:v>
                </c:pt>
                <c:pt idx="7">
                  <c:v>54.5</c:v>
                </c:pt>
              </c:numCache>
            </c:numRef>
          </c:xVal>
          <c:yVal>
            <c:numRef>
              <c:f>'Catalytic Model'!$F$14:$F$21</c:f>
              <c:numCache>
                <c:formatCode>General</c:formatCode>
                <c:ptCount val="8"/>
                <c:pt idx="0">
                  <c:v>0</c:v>
                </c:pt>
                <c:pt idx="1">
                  <c:v>0.10050474838432089</c:v>
                </c:pt>
                <c:pt idx="2">
                  <c:v>0.25664400168798918</c:v>
                </c:pt>
                <c:pt idx="3">
                  <c:v>0.45900472079135535</c:v>
                </c:pt>
                <c:pt idx="4">
                  <c:v>0.60900809874035833</c:v>
                </c:pt>
                <c:pt idx="5">
                  <c:v>0.68108740188810024</c:v>
                </c:pt>
                <c:pt idx="6">
                  <c:v>0.73987889542769891</c:v>
                </c:pt>
                <c:pt idx="7">
                  <c:v>0.78783218523034804</c:v>
                </c:pt>
              </c:numCache>
            </c:numRef>
          </c:yVal>
          <c:smooth val="0"/>
          <c:extLst>
            <c:ext xmlns:c16="http://schemas.microsoft.com/office/drawing/2014/chart" uri="{C3380CC4-5D6E-409C-BE32-E72D297353CC}">
              <c16:uniqueId val="{00000001-FC4B-BE41-9CE6-96E8EBFF522E}"/>
            </c:ext>
          </c:extLst>
        </c:ser>
        <c:dLbls>
          <c:showLegendKey val="0"/>
          <c:showVal val="0"/>
          <c:showCatName val="0"/>
          <c:showSerName val="0"/>
          <c:showPercent val="0"/>
          <c:showBubbleSize val="0"/>
        </c:dLbls>
        <c:axId val="1248277199"/>
        <c:axId val="1248278847"/>
      </c:scatterChart>
      <c:valAx>
        <c:axId val="1248277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Age (years)</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48278847"/>
        <c:crosses val="autoZero"/>
        <c:crossBetween val="midCat"/>
      </c:valAx>
      <c:valAx>
        <c:axId val="1248278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Proportion</a:t>
                </a:r>
                <a:r>
                  <a:rPr lang="en-US" baseline="0"/>
                  <a:t> Seropositive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482771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2: Graphical Check for</a:t>
            </a:r>
            <a:r>
              <a:rPr lang="en-US" baseline="0"/>
              <a:t> a constant Force of Infection (Study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'Catalytic Model'!$A$14:$A$21</c:f>
              <c:numCache>
                <c:formatCode>General</c:formatCode>
                <c:ptCount val="8"/>
                <c:pt idx="0">
                  <c:v>0</c:v>
                </c:pt>
                <c:pt idx="1">
                  <c:v>2.5</c:v>
                </c:pt>
                <c:pt idx="2">
                  <c:v>7</c:v>
                </c:pt>
                <c:pt idx="3">
                  <c:v>14.5</c:v>
                </c:pt>
                <c:pt idx="4">
                  <c:v>24.5</c:v>
                </c:pt>
                <c:pt idx="5">
                  <c:v>34.5</c:v>
                </c:pt>
                <c:pt idx="6">
                  <c:v>44.5</c:v>
                </c:pt>
                <c:pt idx="7">
                  <c:v>54.5</c:v>
                </c:pt>
              </c:numCache>
            </c:numRef>
          </c:xVal>
          <c:yVal>
            <c:numRef>
              <c:f>'Catalytic Model'!$I$14:$I$21</c:f>
              <c:numCache>
                <c:formatCode>General</c:formatCode>
                <c:ptCount val="8"/>
                <c:pt idx="1">
                  <c:v>0.10241500542806953</c:v>
                </c:pt>
                <c:pt idx="2">
                  <c:v>0.30399564794330469</c:v>
                </c:pt>
                <c:pt idx="3">
                  <c:v>0.59205106368857652</c:v>
                </c:pt>
                <c:pt idx="4">
                  <c:v>0.94908055469714592</c:v>
                </c:pt>
                <c:pt idx="5">
                  <c:v>1.1664348850068706</c:v>
                </c:pt>
                <c:pt idx="6">
                  <c:v>1.2992829841302609</c:v>
                </c:pt>
                <c:pt idx="7">
                  <c:v>1.6094379124341003</c:v>
                </c:pt>
              </c:numCache>
            </c:numRef>
          </c:yVal>
          <c:smooth val="0"/>
          <c:extLst>
            <c:ext xmlns:c16="http://schemas.microsoft.com/office/drawing/2014/chart" uri="{C3380CC4-5D6E-409C-BE32-E72D297353CC}">
              <c16:uniqueId val="{00000000-B81D-974C-B8DA-BE457CA50825}"/>
            </c:ext>
          </c:extLst>
        </c:ser>
        <c:dLbls>
          <c:showLegendKey val="0"/>
          <c:showVal val="0"/>
          <c:showCatName val="0"/>
          <c:showSerName val="0"/>
          <c:showPercent val="0"/>
          <c:showBubbleSize val="0"/>
        </c:dLbls>
        <c:axId val="1254745295"/>
        <c:axId val="1254378367"/>
      </c:scatterChart>
      <c:valAx>
        <c:axId val="1254745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378367"/>
        <c:crosses val="autoZero"/>
        <c:crossBetween val="midCat"/>
      </c:valAx>
      <c:valAx>
        <c:axId val="1254378367"/>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-LN(Sa/NA)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452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100" b="1" i="0" u="none" strike="noStrike" baseline="0">
                <a:solidFill>
                  <a:srgbClr val="000000"/>
                </a:solidFill>
                <a:latin typeface="Arial"/>
                <a:ea typeface="Arial"/>
                <a:cs typeface="Arial"/>
              </a:defRPr>
            </a:pPr>
            <a:r>
              <a:rPr lang="en-GB" sz="1100"/>
              <a:t>Proportion of infectious individuals who are in the young, middle-aged and old categories</a:t>
            </a:r>
          </a:p>
        </c:rich>
      </c:tx>
      <c:overlay val="0"/>
      <c:spPr>
        <a:noFill/>
        <a:ln w="25400">
          <a:noFill/>
        </a:ln>
      </c:spPr>
    </c:title>
    <c:autoTitleDeleted val="0"/>
    <c:plotArea>
      <c:layout>
        <c:manualLayout>
          <c:layoutTarget val="inner"/>
          <c:xMode val="edge"/>
          <c:yMode val="edge"/>
          <c:x val="7.7439147161399352E-2"/>
          <c:y val="3.0651340996168612E-2"/>
          <c:w val="0.89092852263330224"/>
          <c:h val="0.81730533683289663"/>
        </c:manualLayout>
      </c:layout>
      <c:scatterChart>
        <c:scatterStyle val="lineMarker"/>
        <c:varyColors val="0"/>
        <c:ser>
          <c:idx val="0"/>
          <c:order val="0"/>
          <c:tx>
            <c:v>young</c:v>
          </c:tx>
          <c:spPr>
            <a:ln w="12700">
              <a:solidFill>
                <a:srgbClr val="000080"/>
              </a:solidFill>
              <a:prstDash val="solid"/>
            </a:ln>
          </c:spPr>
          <c:marker>
            <c:symbol val="square"/>
            <c:size val="5"/>
            <c:spPr>
              <a:solidFill>
                <a:srgbClr val="000080"/>
              </a:solidFill>
              <a:ln>
                <a:solidFill>
                  <a:srgbClr val="000080"/>
                </a:solidFill>
                <a:prstDash val="solid"/>
              </a:ln>
            </c:spPr>
          </c:marker>
          <c:xVal>
            <c:numRef>
              <c:f>'[1]waifw B'!$A$47:$A$87</c:f>
              <c:numCache>
                <c:formatCode>General</c:formatCode>
                <c:ptCount val="41"/>
                <c:pt idx="0">
                  <c:v>0</c:v>
                </c:pt>
                <c:pt idx="1">
                  <c:v>1</c:v>
                </c:pt>
                <c:pt idx="2">
                  <c:v>2</c:v>
                </c:pt>
                <c:pt idx="3">
                  <c:v>3</c:v>
                </c:pt>
                <c:pt idx="4">
                  <c:v>4</c:v>
                </c:pt>
                <c:pt idx="5">
                  <c:v>5</c:v>
                </c:pt>
                <c:pt idx="6">
                  <c:v>6</c:v>
                </c:pt>
                <c:pt idx="7">
                  <c:v>7</c:v>
                </c:pt>
                <c:pt idx="8">
                  <c:v>8</c:v>
                </c:pt>
                <c:pt idx="9">
                  <c:v>9</c:v>
                </c:pt>
                <c:pt idx="10">
                  <c:v>10</c:v>
                </c:pt>
              </c:numCache>
            </c:numRef>
          </c:xVal>
          <c:yVal>
            <c:numRef>
              <c:f>'[1]waifw B'!$G$47:$G$87</c:f>
              <c:numCache>
                <c:formatCode>General</c:formatCode>
                <c:ptCount val="41"/>
                <c:pt idx="0">
                  <c:v>1</c:v>
                </c:pt>
                <c:pt idx="1">
                  <c:v>0.64734419733157567</c:v>
                </c:pt>
                <c:pt idx="2">
                  <c:v>0.58995949423889416</c:v>
                </c:pt>
                <c:pt idx="3">
                  <c:v>0.57880701723126726</c:v>
                </c:pt>
                <c:pt idx="4">
                  <c:v>0.57656879795841753</c:v>
                </c:pt>
                <c:pt idx="5">
                  <c:v>0.57611673484735548</c:v>
                </c:pt>
                <c:pt idx="6">
                  <c:v>0.57602531245552024</c:v>
                </c:pt>
                <c:pt idx="7">
                  <c:v>0.57600681897346939</c:v>
                </c:pt>
                <c:pt idx="8">
                  <c:v>0.57600307780232318</c:v>
                </c:pt>
                <c:pt idx="9">
                  <c:v>0.57600232096756432</c:v>
                </c:pt>
                <c:pt idx="10">
                  <c:v>0.57600216786040637</c:v>
                </c:pt>
              </c:numCache>
            </c:numRef>
          </c:yVal>
          <c:smooth val="0"/>
          <c:extLst>
            <c:ext xmlns:c16="http://schemas.microsoft.com/office/drawing/2014/chart" uri="{C3380CC4-5D6E-409C-BE32-E72D297353CC}">
              <c16:uniqueId val="{00000000-FC56-8849-9969-A30B54970A9F}"/>
            </c:ext>
          </c:extLst>
        </c:ser>
        <c:ser>
          <c:idx val="1"/>
          <c:order val="1"/>
          <c:tx>
            <c:v>middle-aged</c:v>
          </c:tx>
          <c:spPr>
            <a:ln w="12700">
              <a:solidFill>
                <a:srgbClr val="00FFFF"/>
              </a:solidFill>
              <a:prstDash val="solid"/>
            </a:ln>
          </c:spPr>
          <c:marker>
            <c:symbol val="square"/>
            <c:size val="5"/>
            <c:spPr>
              <a:solidFill>
                <a:srgbClr val="00FFFF"/>
              </a:solidFill>
              <a:ln>
                <a:solidFill>
                  <a:srgbClr val="00FFFF"/>
                </a:solidFill>
                <a:prstDash val="solid"/>
              </a:ln>
            </c:spPr>
          </c:marker>
          <c:xVal>
            <c:numRef>
              <c:f>'[1]waifw B'!$A$47:$A$87</c:f>
              <c:numCache>
                <c:formatCode>General</c:formatCode>
                <c:ptCount val="41"/>
                <c:pt idx="0">
                  <c:v>0</c:v>
                </c:pt>
                <c:pt idx="1">
                  <c:v>1</c:v>
                </c:pt>
                <c:pt idx="2">
                  <c:v>2</c:v>
                </c:pt>
                <c:pt idx="3">
                  <c:v>3</c:v>
                </c:pt>
                <c:pt idx="4">
                  <c:v>4</c:v>
                </c:pt>
                <c:pt idx="5">
                  <c:v>5</c:v>
                </c:pt>
                <c:pt idx="6">
                  <c:v>6</c:v>
                </c:pt>
                <c:pt idx="7">
                  <c:v>7</c:v>
                </c:pt>
                <c:pt idx="8">
                  <c:v>8</c:v>
                </c:pt>
                <c:pt idx="9">
                  <c:v>9</c:v>
                </c:pt>
                <c:pt idx="10">
                  <c:v>10</c:v>
                </c:pt>
              </c:numCache>
            </c:numRef>
          </c:xVal>
          <c:yVal>
            <c:numRef>
              <c:f>'[1]waifw B'!$H$47:$H$87</c:f>
              <c:numCache>
                <c:formatCode>General</c:formatCode>
                <c:ptCount val="4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1-FC56-8849-9969-A30B54970A9F}"/>
            </c:ext>
          </c:extLst>
        </c:ser>
        <c:ser>
          <c:idx val="2"/>
          <c:order val="2"/>
          <c:tx>
            <c:v>old</c:v>
          </c:tx>
          <c:spPr>
            <a:ln w="12700">
              <a:solidFill>
                <a:srgbClr val="FF0000"/>
              </a:solidFill>
              <a:prstDash val="solid"/>
            </a:ln>
          </c:spPr>
          <c:marker>
            <c:symbol val="square"/>
            <c:size val="5"/>
            <c:spPr>
              <a:solidFill>
                <a:srgbClr val="FF0000"/>
              </a:solidFill>
              <a:ln>
                <a:solidFill>
                  <a:srgbClr val="FF0000"/>
                </a:solidFill>
                <a:prstDash val="solid"/>
              </a:ln>
            </c:spPr>
          </c:marker>
          <c:xVal>
            <c:numRef>
              <c:f>'[1]waifw B'!$A$47:$A$87</c:f>
              <c:numCache>
                <c:formatCode>General</c:formatCode>
                <c:ptCount val="41"/>
                <c:pt idx="0">
                  <c:v>0</c:v>
                </c:pt>
                <c:pt idx="1">
                  <c:v>1</c:v>
                </c:pt>
                <c:pt idx="2">
                  <c:v>2</c:v>
                </c:pt>
                <c:pt idx="3">
                  <c:v>3</c:v>
                </c:pt>
                <c:pt idx="4">
                  <c:v>4</c:v>
                </c:pt>
                <c:pt idx="5">
                  <c:v>5</c:v>
                </c:pt>
                <c:pt idx="6">
                  <c:v>6</c:v>
                </c:pt>
                <c:pt idx="7">
                  <c:v>7</c:v>
                </c:pt>
                <c:pt idx="8">
                  <c:v>8</c:v>
                </c:pt>
                <c:pt idx="9">
                  <c:v>9</c:v>
                </c:pt>
                <c:pt idx="10">
                  <c:v>10</c:v>
                </c:pt>
              </c:numCache>
            </c:numRef>
          </c:xVal>
          <c:yVal>
            <c:numRef>
              <c:f>'[1]waifw B'!$I$47:$I$87</c:f>
              <c:numCache>
                <c:formatCode>General</c:formatCode>
                <c:ptCount val="41"/>
                <c:pt idx="0">
                  <c:v>0</c:v>
                </c:pt>
                <c:pt idx="1">
                  <c:v>0.35265580266842445</c:v>
                </c:pt>
                <c:pt idx="2">
                  <c:v>0.41004050576110584</c:v>
                </c:pt>
                <c:pt idx="3">
                  <c:v>0.42119298276873268</c:v>
                </c:pt>
                <c:pt idx="4">
                  <c:v>0.42343120204158252</c:v>
                </c:pt>
                <c:pt idx="5">
                  <c:v>0.42388326515264452</c:v>
                </c:pt>
                <c:pt idx="6">
                  <c:v>0.42397468754447976</c:v>
                </c:pt>
                <c:pt idx="7">
                  <c:v>0.42399318102653061</c:v>
                </c:pt>
                <c:pt idx="8">
                  <c:v>0.42399692219767687</c:v>
                </c:pt>
                <c:pt idx="9">
                  <c:v>0.42399767903243574</c:v>
                </c:pt>
                <c:pt idx="10">
                  <c:v>0.42399783213959358</c:v>
                </c:pt>
              </c:numCache>
            </c:numRef>
          </c:yVal>
          <c:smooth val="0"/>
          <c:extLst>
            <c:ext xmlns:c16="http://schemas.microsoft.com/office/drawing/2014/chart" uri="{C3380CC4-5D6E-409C-BE32-E72D297353CC}">
              <c16:uniqueId val="{00000002-FC56-8849-9969-A30B54970A9F}"/>
            </c:ext>
          </c:extLst>
        </c:ser>
        <c:dLbls>
          <c:showLegendKey val="0"/>
          <c:showVal val="0"/>
          <c:showCatName val="0"/>
          <c:showSerName val="0"/>
          <c:showPercent val="0"/>
          <c:showBubbleSize val="0"/>
        </c:dLbls>
        <c:axId val="84372480"/>
        <c:axId val="95206400"/>
      </c:scatterChart>
      <c:valAx>
        <c:axId val="84372480"/>
        <c:scaling>
          <c:orientation val="minMax"/>
          <c:max val="10"/>
        </c:scaling>
        <c:delete val="0"/>
        <c:axPos val="b"/>
        <c:title>
          <c:tx>
            <c:rich>
              <a:bodyPr/>
              <a:lstStyle/>
              <a:p>
                <a:pPr>
                  <a:defRPr sz="1100" b="1" i="0" u="none" strike="noStrike" baseline="0">
                    <a:solidFill>
                      <a:srgbClr val="000000"/>
                    </a:solidFill>
                    <a:latin typeface="Arial"/>
                    <a:ea typeface="Arial"/>
                    <a:cs typeface="Arial"/>
                  </a:defRPr>
                </a:pPr>
                <a:r>
                  <a:rPr lang="en-GB" sz="1100"/>
                  <a:t>Generation number</a:t>
                </a:r>
              </a:p>
            </c:rich>
          </c:tx>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5206400"/>
        <c:crosses val="autoZero"/>
        <c:crossBetween val="midCat"/>
        <c:majorUnit val="2"/>
      </c:valAx>
      <c:valAx>
        <c:axId val="95206400"/>
        <c:scaling>
          <c:orientation val="minMax"/>
          <c:max val="1"/>
          <c:min val="0"/>
        </c:scaling>
        <c:delete val="0"/>
        <c:axPos val="l"/>
        <c:numFmt formatCode="General"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4372480"/>
        <c:crosses val="autoZero"/>
        <c:crossBetween val="midCat"/>
        <c:majorUnit val="0.2"/>
        <c:minorUnit val="0.05"/>
      </c:valAx>
      <c:spPr>
        <a:noFill/>
        <a:ln w="25400">
          <a:noFill/>
        </a:ln>
      </c:spPr>
    </c:plotArea>
    <c:legend>
      <c:legendPos val="r"/>
      <c:layout>
        <c:manualLayout>
          <c:xMode val="edge"/>
          <c:yMode val="edge"/>
          <c:x val="0.53876712328767118"/>
          <c:y val="0.16905240293239249"/>
          <c:w val="0.30369863013698628"/>
          <c:h val="0.26892599631942643"/>
        </c:manualLayout>
      </c:layout>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100" b="1" i="0" u="none" strike="noStrike" baseline="0">
                <a:solidFill>
                  <a:srgbClr val="000000"/>
                </a:solidFill>
                <a:latin typeface="Arial"/>
                <a:ea typeface="Arial"/>
                <a:cs typeface="Arial"/>
              </a:defRPr>
            </a:pPr>
            <a:r>
              <a:rPr lang="en-GB" sz="1100"/>
              <a:t>Average number of secondary infectious individuals resulting from each infectious person in the preceding generation</a:t>
            </a:r>
          </a:p>
        </c:rich>
      </c:tx>
      <c:overlay val="0"/>
      <c:spPr>
        <a:noFill/>
        <a:ln w="25400">
          <a:noFill/>
        </a:ln>
      </c:spPr>
    </c:title>
    <c:autoTitleDeleted val="0"/>
    <c:plotArea>
      <c:layout>
        <c:manualLayout>
          <c:layoutTarget val="inner"/>
          <c:xMode val="edge"/>
          <c:yMode val="edge"/>
          <c:x val="7.4668859885664976E-2"/>
          <c:y val="0.12883126678130771"/>
          <c:w val="0.88625013482903658"/>
          <c:h val="0.66134129785501095"/>
        </c:manualLayout>
      </c:layout>
      <c:scatterChart>
        <c:scatterStyle val="lineMarker"/>
        <c:varyColors val="0"/>
        <c:ser>
          <c:idx val="0"/>
          <c:order val="0"/>
          <c:spPr>
            <a:ln w="12700">
              <a:solidFill>
                <a:srgbClr val="FF6600"/>
              </a:solidFill>
              <a:prstDash val="solid"/>
            </a:ln>
          </c:spPr>
          <c:marker>
            <c:symbol val="square"/>
            <c:size val="5"/>
            <c:spPr>
              <a:solidFill>
                <a:srgbClr val="FF6600"/>
              </a:solidFill>
              <a:ln>
                <a:solidFill>
                  <a:srgbClr val="FF6600"/>
                </a:solidFill>
                <a:prstDash val="solid"/>
              </a:ln>
            </c:spPr>
          </c:marker>
          <c:xVal>
            <c:numRef>
              <c:f>'[1]waifw B'!$A$47:$A$87</c:f>
              <c:numCache>
                <c:formatCode>General</c:formatCode>
                <c:ptCount val="41"/>
                <c:pt idx="0">
                  <c:v>0</c:v>
                </c:pt>
                <c:pt idx="1">
                  <c:v>1</c:v>
                </c:pt>
                <c:pt idx="2">
                  <c:v>2</c:v>
                </c:pt>
                <c:pt idx="3">
                  <c:v>3</c:v>
                </c:pt>
                <c:pt idx="4">
                  <c:v>4</c:v>
                </c:pt>
                <c:pt idx="5">
                  <c:v>5</c:v>
                </c:pt>
                <c:pt idx="6">
                  <c:v>6</c:v>
                </c:pt>
                <c:pt idx="7">
                  <c:v>7</c:v>
                </c:pt>
                <c:pt idx="8">
                  <c:v>8</c:v>
                </c:pt>
                <c:pt idx="9">
                  <c:v>9</c:v>
                </c:pt>
                <c:pt idx="10">
                  <c:v>10</c:v>
                </c:pt>
              </c:numCache>
            </c:numRef>
          </c:xVal>
          <c:yVal>
            <c:numRef>
              <c:f>'[1]waifw B'!$K$47:$K$87</c:f>
              <c:numCache>
                <c:formatCode>General</c:formatCode>
                <c:ptCount val="41"/>
                <c:pt idx="1">
                  <c:v>1.1913066364553999</c:v>
                </c:pt>
                <c:pt idx="2">
                  <c:v>1.0245846256666342</c:v>
                </c:pt>
                <c:pt idx="3">
                  <c:v>0.99745535963517895</c:v>
                </c:pt>
                <c:pt idx="4">
                  <c:v>0.99218290026284495</c:v>
                </c:pt>
                <c:pt idx="5">
                  <c:v>0.99112475684103785</c:v>
                </c:pt>
                <c:pt idx="6">
                  <c:v>0.99091103890329413</c:v>
                </c:pt>
                <c:pt idx="7">
                  <c:v>0.99086781793575984</c:v>
                </c:pt>
                <c:pt idx="8">
                  <c:v>0.99085907493340264</c:v>
                </c:pt>
                <c:pt idx="9">
                  <c:v>0.99085730625252033</c:v>
                </c:pt>
                <c:pt idx="10">
                  <c:v>0.99085694845034655</c:v>
                </c:pt>
              </c:numCache>
            </c:numRef>
          </c:yVal>
          <c:smooth val="0"/>
          <c:extLst>
            <c:ext xmlns:c16="http://schemas.microsoft.com/office/drawing/2014/chart" uri="{C3380CC4-5D6E-409C-BE32-E72D297353CC}">
              <c16:uniqueId val="{00000000-62E6-554C-A30E-6C3FC570D0D9}"/>
            </c:ext>
          </c:extLst>
        </c:ser>
        <c:dLbls>
          <c:showLegendKey val="0"/>
          <c:showVal val="0"/>
          <c:showCatName val="0"/>
          <c:showSerName val="0"/>
          <c:showPercent val="0"/>
          <c:showBubbleSize val="0"/>
        </c:dLbls>
        <c:axId val="95636864"/>
        <c:axId val="95306496"/>
      </c:scatterChart>
      <c:valAx>
        <c:axId val="95636864"/>
        <c:scaling>
          <c:orientation val="minMax"/>
          <c:max val="10"/>
        </c:scaling>
        <c:delete val="0"/>
        <c:axPos val="b"/>
        <c:title>
          <c:tx>
            <c:rich>
              <a:bodyPr/>
              <a:lstStyle/>
              <a:p>
                <a:pPr>
                  <a:defRPr sz="1100" b="1" i="0" u="none" strike="noStrike" baseline="0">
                    <a:solidFill>
                      <a:srgbClr val="000000"/>
                    </a:solidFill>
                    <a:latin typeface="Arial"/>
                    <a:ea typeface="Arial"/>
                    <a:cs typeface="Arial"/>
                  </a:defRPr>
                </a:pPr>
                <a:r>
                  <a:rPr lang="en-GB" sz="1100"/>
                  <a:t>Generation number</a:t>
                </a:r>
              </a:p>
            </c:rich>
          </c:tx>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5306496"/>
        <c:crosses val="autoZero"/>
        <c:crossBetween val="midCat"/>
        <c:majorUnit val="2"/>
      </c:valAx>
      <c:valAx>
        <c:axId val="95306496"/>
        <c:scaling>
          <c:orientation val="minMax"/>
          <c:max val="15"/>
          <c:min val="0"/>
        </c:scaling>
        <c:delete val="0"/>
        <c:axPos val="l"/>
        <c:numFmt formatCode="General"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5636864"/>
        <c:crosses val="autoZero"/>
        <c:crossBetween val="midCat"/>
        <c:majorUnit val="5"/>
        <c:minorUnit val="1"/>
      </c:valAx>
      <c:spPr>
        <a:noFill/>
        <a:ln w="25400">
          <a:noFill/>
        </a:ln>
      </c:spPr>
    </c:plotArea>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horizontalDpi="200" verticalDpi="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'Contact '!$A$10</c:f>
              <c:strCache>
                <c:ptCount val="1"/>
                <c:pt idx="0">
                  <c:v>Young (&lt;20)</c:v>
                </c:pt>
              </c:strCache>
            </c:strRef>
          </c:tx>
          <c:spPr>
            <a:solidFill>
              <a:schemeClr val="accent1"/>
            </a:solidFill>
            <a:ln>
              <a:noFill/>
            </a:ln>
            <a:effectLst/>
            <a:sp3d/>
          </c:spPr>
          <c:invertIfNegative val="0"/>
          <c:cat>
            <c:strRef>
              <c:f>'Contact '!$B$9:$C$9</c:f>
              <c:strCache>
                <c:ptCount val="2"/>
                <c:pt idx="0">
                  <c:v>Young (&lt;20)</c:v>
                </c:pt>
                <c:pt idx="1">
                  <c:v>Old (≥20)</c:v>
                </c:pt>
              </c:strCache>
            </c:strRef>
          </c:cat>
          <c:val>
            <c:numRef>
              <c:f>'Contact '!$B$10:$C$10</c:f>
              <c:numCache>
                <c:formatCode>General</c:formatCode>
                <c:ptCount val="2"/>
                <c:pt idx="0">
                  <c:v>7.5249612262346998E-6</c:v>
                </c:pt>
                <c:pt idx="1">
                  <c:v>2.9069979693418943E-6</c:v>
                </c:pt>
              </c:numCache>
            </c:numRef>
          </c:val>
          <c:extLst>
            <c:ext xmlns:c16="http://schemas.microsoft.com/office/drawing/2014/chart" uri="{C3380CC4-5D6E-409C-BE32-E72D297353CC}">
              <c16:uniqueId val="{00000000-0D7C-A241-A5DE-CA512CFDB415}"/>
            </c:ext>
          </c:extLst>
        </c:ser>
        <c:ser>
          <c:idx val="1"/>
          <c:order val="1"/>
          <c:tx>
            <c:strRef>
              <c:f>'Contact '!$A$11</c:f>
              <c:strCache>
                <c:ptCount val="1"/>
                <c:pt idx="0">
                  <c:v>Old (≥20)</c:v>
                </c:pt>
              </c:strCache>
            </c:strRef>
          </c:tx>
          <c:spPr>
            <a:solidFill>
              <a:schemeClr val="accent2"/>
            </a:solidFill>
            <a:ln>
              <a:noFill/>
            </a:ln>
            <a:effectLst/>
            <a:sp3d/>
          </c:spPr>
          <c:invertIfNegative val="0"/>
          <c:cat>
            <c:strRef>
              <c:f>'Contact '!$B$9:$C$9</c:f>
              <c:strCache>
                <c:ptCount val="2"/>
                <c:pt idx="0">
                  <c:v>Young (&lt;20)</c:v>
                </c:pt>
                <c:pt idx="1">
                  <c:v>Old (≥20)</c:v>
                </c:pt>
              </c:strCache>
            </c:strRef>
          </c:cat>
          <c:val>
            <c:numRef>
              <c:f>'Contact '!$B$11:$C$11</c:f>
              <c:numCache>
                <c:formatCode>General</c:formatCode>
                <c:ptCount val="2"/>
                <c:pt idx="0">
                  <c:v>2.9069979693418943E-6</c:v>
                </c:pt>
                <c:pt idx="1">
                  <c:v>2.9069979693418943E-6</c:v>
                </c:pt>
              </c:numCache>
            </c:numRef>
          </c:val>
          <c:extLst>
            <c:ext xmlns:c16="http://schemas.microsoft.com/office/drawing/2014/chart" uri="{C3380CC4-5D6E-409C-BE32-E72D297353CC}">
              <c16:uniqueId val="{00000001-0D7C-A241-A5DE-CA512CFDB415}"/>
            </c:ext>
          </c:extLst>
        </c:ser>
        <c:dLbls>
          <c:showLegendKey val="0"/>
          <c:showVal val="0"/>
          <c:showCatName val="0"/>
          <c:showSerName val="0"/>
          <c:showPercent val="0"/>
          <c:showBubbleSize val="0"/>
        </c:dLbls>
        <c:gapWidth val="150"/>
        <c:shape val="box"/>
        <c:axId val="1067091568"/>
        <c:axId val="1039174016"/>
        <c:axId val="971639328"/>
      </c:bar3DChart>
      <c:catAx>
        <c:axId val="1067091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74016"/>
        <c:crosses val="autoZero"/>
        <c:auto val="1"/>
        <c:lblAlgn val="ctr"/>
        <c:lblOffset val="100"/>
        <c:noMultiLvlLbl val="0"/>
      </c:catAx>
      <c:valAx>
        <c:axId val="103917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Daily rate of an effective contact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091568"/>
        <c:crosses val="autoZero"/>
        <c:crossBetween val="between"/>
      </c:valAx>
      <c:serAx>
        <c:axId val="9716393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740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Cases</a:t>
            </a:r>
            <a:r>
              <a:rPr lang="en-US" baseline="0"/>
              <a:t> Predicted for Each Vaccination Strategy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vaccine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'Number of Cases'!$A$3:$A$13</c:f>
              <c:numCache>
                <c:formatCode>General</c:formatCode>
                <c:ptCount val="11"/>
                <c:pt idx="0">
                  <c:v>300</c:v>
                </c:pt>
                <c:pt idx="1">
                  <c:v>301</c:v>
                </c:pt>
                <c:pt idx="2">
                  <c:v>302</c:v>
                </c:pt>
                <c:pt idx="3">
                  <c:v>303</c:v>
                </c:pt>
                <c:pt idx="4">
                  <c:v>304</c:v>
                </c:pt>
                <c:pt idx="5">
                  <c:v>305</c:v>
                </c:pt>
                <c:pt idx="6">
                  <c:v>306</c:v>
                </c:pt>
                <c:pt idx="7">
                  <c:v>307</c:v>
                </c:pt>
                <c:pt idx="8">
                  <c:v>308</c:v>
                </c:pt>
                <c:pt idx="9">
                  <c:v>309</c:v>
                </c:pt>
                <c:pt idx="10">
                  <c:v>310</c:v>
                </c:pt>
              </c:numCache>
            </c:numRef>
          </c:cat>
          <c:val>
            <c:numRef>
              <c:f>'Number of Cases'!$B$3:$B$13</c:f>
              <c:numCache>
                <c:formatCode>General</c:formatCode>
                <c:ptCount val="11"/>
                <c:pt idx="0">
                  <c:v>14.07830395</c:v>
                </c:pt>
                <c:pt idx="1">
                  <c:v>5120.21875576</c:v>
                </c:pt>
                <c:pt idx="2">
                  <c:v>10196.54462287</c:v>
                </c:pt>
                <c:pt idx="3">
                  <c:v>15262.118800689999</c:v>
                </c:pt>
                <c:pt idx="4">
                  <c:v>20361.74956185</c:v>
                </c:pt>
                <c:pt idx="5">
                  <c:v>25493.978604929998</c:v>
                </c:pt>
                <c:pt idx="6">
                  <c:v>30615.218181389999</c:v>
                </c:pt>
                <c:pt idx="7">
                  <c:v>35698.80377757</c:v>
                </c:pt>
                <c:pt idx="8">
                  <c:v>40768.180656559998</c:v>
                </c:pt>
                <c:pt idx="9">
                  <c:v>45863.488876290001</c:v>
                </c:pt>
                <c:pt idx="10">
                  <c:v>50989.27956037</c:v>
                </c:pt>
              </c:numCache>
            </c:numRef>
          </c:val>
          <c:smooth val="0"/>
          <c:extLst>
            <c:ext xmlns:c16="http://schemas.microsoft.com/office/drawing/2014/chart" uri="{C3380CC4-5D6E-409C-BE32-E72D297353CC}">
              <c16:uniqueId val="{00000000-75CA-DA4F-8859-6246D898056F}"/>
            </c:ext>
          </c:extLst>
        </c:ser>
        <c:ser>
          <c:idx val="1"/>
          <c:order val="1"/>
          <c:tx>
            <c:v>Newborns only</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'Number of Cases'!$A$3:$A$13</c:f>
              <c:numCache>
                <c:formatCode>General</c:formatCode>
                <c:ptCount val="11"/>
                <c:pt idx="0">
                  <c:v>300</c:v>
                </c:pt>
                <c:pt idx="1">
                  <c:v>301</c:v>
                </c:pt>
                <c:pt idx="2">
                  <c:v>302</c:v>
                </c:pt>
                <c:pt idx="3">
                  <c:v>303</c:v>
                </c:pt>
                <c:pt idx="4">
                  <c:v>304</c:v>
                </c:pt>
                <c:pt idx="5">
                  <c:v>305</c:v>
                </c:pt>
                <c:pt idx="6">
                  <c:v>306</c:v>
                </c:pt>
                <c:pt idx="7">
                  <c:v>307</c:v>
                </c:pt>
                <c:pt idx="8">
                  <c:v>308</c:v>
                </c:pt>
                <c:pt idx="9">
                  <c:v>309</c:v>
                </c:pt>
                <c:pt idx="10">
                  <c:v>310</c:v>
                </c:pt>
              </c:numCache>
            </c:numRef>
          </c:cat>
          <c:val>
            <c:numRef>
              <c:f>'Number of Cases'!$C$3:$C$13</c:f>
              <c:numCache>
                <c:formatCode>General</c:formatCode>
                <c:ptCount val="11"/>
                <c:pt idx="0">
                  <c:v>14.07830395</c:v>
                </c:pt>
                <c:pt idx="1">
                  <c:v>3715.9724503299999</c:v>
                </c:pt>
                <c:pt idx="2">
                  <c:v>4408.1564074199996</c:v>
                </c:pt>
                <c:pt idx="3">
                  <c:v>4450.9974831299996</c:v>
                </c:pt>
                <c:pt idx="4">
                  <c:v>4452.1919259799997</c:v>
                </c:pt>
                <c:pt idx="5">
                  <c:v>4452.2079165499999</c:v>
                </c:pt>
                <c:pt idx="6">
                  <c:v>4452.2080226600001</c:v>
                </c:pt>
                <c:pt idx="7">
                  <c:v>4452.2080230199999</c:v>
                </c:pt>
                <c:pt idx="8">
                  <c:v>4452.2080230199999</c:v>
                </c:pt>
                <c:pt idx="9">
                  <c:v>4452.2080230199999</c:v>
                </c:pt>
                <c:pt idx="10">
                  <c:v>4452.2080230199999</c:v>
                </c:pt>
              </c:numCache>
            </c:numRef>
          </c:val>
          <c:smooth val="0"/>
          <c:extLst>
            <c:ext xmlns:c16="http://schemas.microsoft.com/office/drawing/2014/chart" uri="{C3380CC4-5D6E-409C-BE32-E72D297353CC}">
              <c16:uniqueId val="{00000001-75CA-DA4F-8859-6246D898056F}"/>
            </c:ext>
          </c:extLst>
        </c:ser>
        <c:ser>
          <c:idx val="2"/>
          <c:order val="2"/>
          <c:tx>
            <c:v>20 year olds only</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'Number of Cases'!$A$3:$A$13</c:f>
              <c:numCache>
                <c:formatCode>General</c:formatCode>
                <c:ptCount val="11"/>
                <c:pt idx="0">
                  <c:v>300</c:v>
                </c:pt>
                <c:pt idx="1">
                  <c:v>301</c:v>
                </c:pt>
                <c:pt idx="2">
                  <c:v>302</c:v>
                </c:pt>
                <c:pt idx="3">
                  <c:v>303</c:v>
                </c:pt>
                <c:pt idx="4">
                  <c:v>304</c:v>
                </c:pt>
                <c:pt idx="5">
                  <c:v>305</c:v>
                </c:pt>
                <c:pt idx="6">
                  <c:v>306</c:v>
                </c:pt>
                <c:pt idx="7">
                  <c:v>307</c:v>
                </c:pt>
                <c:pt idx="8">
                  <c:v>308</c:v>
                </c:pt>
                <c:pt idx="9">
                  <c:v>309</c:v>
                </c:pt>
                <c:pt idx="10">
                  <c:v>310</c:v>
                </c:pt>
              </c:numCache>
            </c:numRef>
          </c:cat>
          <c:val>
            <c:numRef>
              <c:f>'Number of Cases'!$D$3:$D$13</c:f>
              <c:numCache>
                <c:formatCode>General</c:formatCode>
                <c:ptCount val="11"/>
                <c:pt idx="0">
                  <c:v>14.07830395</c:v>
                </c:pt>
                <c:pt idx="1">
                  <c:v>4811.4628111800002</c:v>
                </c:pt>
                <c:pt idx="2">
                  <c:v>8419.8804979500001</c:v>
                </c:pt>
                <c:pt idx="3">
                  <c:v>11178.233057490001</c:v>
                </c:pt>
                <c:pt idx="4">
                  <c:v>13896.362297920001</c:v>
                </c:pt>
                <c:pt idx="5">
                  <c:v>17308.11798943</c:v>
                </c:pt>
                <c:pt idx="6">
                  <c:v>21644.38794783</c:v>
                </c:pt>
                <c:pt idx="7">
                  <c:v>25988.06367399</c:v>
                </c:pt>
                <c:pt idx="8">
                  <c:v>29427.600458730001</c:v>
                </c:pt>
                <c:pt idx="9">
                  <c:v>32166.702188309999</c:v>
                </c:pt>
                <c:pt idx="10">
                  <c:v>34847.160280830001</c:v>
                </c:pt>
              </c:numCache>
            </c:numRef>
          </c:val>
          <c:smooth val="0"/>
          <c:extLst>
            <c:ext xmlns:c16="http://schemas.microsoft.com/office/drawing/2014/chart" uri="{C3380CC4-5D6E-409C-BE32-E72D297353CC}">
              <c16:uniqueId val="{00000002-75CA-DA4F-8859-6246D898056F}"/>
            </c:ext>
          </c:extLst>
        </c:ser>
        <c:ser>
          <c:idx val="3"/>
          <c:order val="3"/>
          <c:tx>
            <c:v>Mixed Strategy</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'Number of Cases'!$A$3:$A$13</c:f>
              <c:numCache>
                <c:formatCode>General</c:formatCode>
                <c:ptCount val="11"/>
                <c:pt idx="0">
                  <c:v>300</c:v>
                </c:pt>
                <c:pt idx="1">
                  <c:v>301</c:v>
                </c:pt>
                <c:pt idx="2">
                  <c:v>302</c:v>
                </c:pt>
                <c:pt idx="3">
                  <c:v>303</c:v>
                </c:pt>
                <c:pt idx="4">
                  <c:v>304</c:v>
                </c:pt>
                <c:pt idx="5">
                  <c:v>305</c:v>
                </c:pt>
                <c:pt idx="6">
                  <c:v>306</c:v>
                </c:pt>
                <c:pt idx="7">
                  <c:v>307</c:v>
                </c:pt>
                <c:pt idx="8">
                  <c:v>308</c:v>
                </c:pt>
                <c:pt idx="9">
                  <c:v>309</c:v>
                </c:pt>
                <c:pt idx="10">
                  <c:v>310</c:v>
                </c:pt>
              </c:numCache>
            </c:numRef>
          </c:cat>
          <c:val>
            <c:numRef>
              <c:f>'Number of Cases'!$E$3:$E$13</c:f>
              <c:numCache>
                <c:formatCode>General</c:formatCode>
                <c:ptCount val="11"/>
                <c:pt idx="0">
                  <c:v>14.07830395</c:v>
                </c:pt>
                <c:pt idx="1">
                  <c:v>4197.7453545199996</c:v>
                </c:pt>
                <c:pt idx="2">
                  <c:v>5755.0543478199997</c:v>
                </c:pt>
                <c:pt idx="3">
                  <c:v>6140.5950632900003</c:v>
                </c:pt>
                <c:pt idx="4">
                  <c:v>6234.8314221299997</c:v>
                </c:pt>
                <c:pt idx="5">
                  <c:v>6260.3134417499996</c:v>
                </c:pt>
                <c:pt idx="6">
                  <c:v>6268.1161409300003</c:v>
                </c:pt>
                <c:pt idx="7">
                  <c:v>6270.8273525100003</c:v>
                </c:pt>
                <c:pt idx="8">
                  <c:v>6271.8933662299996</c:v>
                </c:pt>
                <c:pt idx="9">
                  <c:v>6272.3657732299998</c:v>
                </c:pt>
                <c:pt idx="10">
                  <c:v>6272.6007411399996</c:v>
                </c:pt>
              </c:numCache>
            </c:numRef>
          </c:val>
          <c:smooth val="0"/>
          <c:extLst>
            <c:ext xmlns:c16="http://schemas.microsoft.com/office/drawing/2014/chart" uri="{C3380CC4-5D6E-409C-BE32-E72D297353CC}">
              <c16:uniqueId val="{00000003-75CA-DA4F-8859-6246D898056F}"/>
            </c:ext>
          </c:extLst>
        </c:ser>
        <c:dLbls>
          <c:showLegendKey val="0"/>
          <c:showVal val="0"/>
          <c:showCatName val="0"/>
          <c:showSerName val="0"/>
          <c:showPercent val="0"/>
          <c:showBubbleSize val="0"/>
        </c:dLbls>
        <c:marker val="1"/>
        <c:smooth val="0"/>
        <c:axId val="1029718144"/>
        <c:axId val="1029719792"/>
      </c:lineChart>
      <c:catAx>
        <c:axId val="102971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19792"/>
        <c:crosses val="autoZero"/>
        <c:auto val="1"/>
        <c:lblAlgn val="ctr"/>
        <c:lblOffset val="100"/>
        <c:noMultiLvlLbl val="0"/>
      </c:catAx>
      <c:valAx>
        <c:axId val="102971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1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Infections per 100,000 by Vaccine Strategy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Vaccine</c:v>
          </c:tx>
          <c:spPr>
            <a:ln w="28575" cap="rnd">
              <a:solidFill>
                <a:schemeClr val="accent1"/>
              </a:solidFill>
              <a:round/>
            </a:ln>
            <a:effectLst/>
          </c:spPr>
          <c:marker>
            <c:symbol val="none"/>
          </c:marker>
          <c:cat>
            <c:numRef>
              <c:f>'New Infections per 100k'!$A$2:$A$12</c:f>
              <c:numCache>
                <c:formatCode>General</c:formatCode>
                <c:ptCount val="11"/>
                <c:pt idx="0">
                  <c:v>300</c:v>
                </c:pt>
                <c:pt idx="1">
                  <c:v>301</c:v>
                </c:pt>
                <c:pt idx="2">
                  <c:v>302</c:v>
                </c:pt>
                <c:pt idx="3">
                  <c:v>303</c:v>
                </c:pt>
                <c:pt idx="4">
                  <c:v>304</c:v>
                </c:pt>
                <c:pt idx="5">
                  <c:v>305</c:v>
                </c:pt>
                <c:pt idx="6">
                  <c:v>306</c:v>
                </c:pt>
                <c:pt idx="7">
                  <c:v>307</c:v>
                </c:pt>
                <c:pt idx="8">
                  <c:v>308</c:v>
                </c:pt>
                <c:pt idx="9">
                  <c:v>309</c:v>
                </c:pt>
                <c:pt idx="10">
                  <c:v>310</c:v>
                </c:pt>
              </c:numCache>
            </c:numRef>
          </c:cat>
          <c:val>
            <c:numRef>
              <c:f>'New Infections per 100k'!$B$2:$B$12</c:f>
              <c:numCache>
                <c:formatCode>General</c:formatCode>
                <c:ptCount val="11"/>
                <c:pt idx="0">
                  <c:v>6.7260137699999998</c:v>
                </c:pt>
                <c:pt idx="1">
                  <c:v>6.67097696</c:v>
                </c:pt>
                <c:pt idx="2">
                  <c:v>6.6260898700000004</c:v>
                </c:pt>
                <c:pt idx="3">
                  <c:v>6.6479546699999998</c:v>
                </c:pt>
                <c:pt idx="4">
                  <c:v>6.7047467300000001</c:v>
                </c:pt>
                <c:pt idx="5">
                  <c:v>6.7212269400000002</c:v>
                </c:pt>
                <c:pt idx="6">
                  <c:v>6.67836345</c:v>
                </c:pt>
                <c:pt idx="7">
                  <c:v>6.6353398400000003</c:v>
                </c:pt>
                <c:pt idx="8">
                  <c:v>6.6471648500000002</c:v>
                </c:pt>
                <c:pt idx="9">
                  <c:v>6.6954689199999997</c:v>
                </c:pt>
                <c:pt idx="10">
                  <c:v>6.7159555600000003</c:v>
                </c:pt>
              </c:numCache>
            </c:numRef>
          </c:val>
          <c:smooth val="0"/>
          <c:extLst>
            <c:ext xmlns:c16="http://schemas.microsoft.com/office/drawing/2014/chart" uri="{C3380CC4-5D6E-409C-BE32-E72D297353CC}">
              <c16:uniqueId val="{00000000-B013-214A-948E-023E8406C258}"/>
            </c:ext>
          </c:extLst>
        </c:ser>
        <c:ser>
          <c:idx val="1"/>
          <c:order val="1"/>
          <c:tx>
            <c:v>Young Only</c:v>
          </c:tx>
          <c:spPr>
            <a:ln w="28575" cap="rnd">
              <a:solidFill>
                <a:schemeClr val="accent2"/>
              </a:solidFill>
              <a:round/>
            </a:ln>
            <a:effectLst/>
          </c:spPr>
          <c:marker>
            <c:symbol val="none"/>
          </c:marker>
          <c:cat>
            <c:numRef>
              <c:f>'New Infections per 100k'!$A$2:$A$12</c:f>
              <c:numCache>
                <c:formatCode>General</c:formatCode>
                <c:ptCount val="11"/>
                <c:pt idx="0">
                  <c:v>300</c:v>
                </c:pt>
                <c:pt idx="1">
                  <c:v>301</c:v>
                </c:pt>
                <c:pt idx="2">
                  <c:v>302</c:v>
                </c:pt>
                <c:pt idx="3">
                  <c:v>303</c:v>
                </c:pt>
                <c:pt idx="4">
                  <c:v>304</c:v>
                </c:pt>
                <c:pt idx="5">
                  <c:v>305</c:v>
                </c:pt>
                <c:pt idx="6">
                  <c:v>306</c:v>
                </c:pt>
                <c:pt idx="7">
                  <c:v>307</c:v>
                </c:pt>
                <c:pt idx="8">
                  <c:v>308</c:v>
                </c:pt>
                <c:pt idx="9">
                  <c:v>309</c:v>
                </c:pt>
                <c:pt idx="10">
                  <c:v>310</c:v>
                </c:pt>
              </c:numCache>
            </c:numRef>
          </c:cat>
          <c:val>
            <c:numRef>
              <c:f>'New Infections per 100k'!$C$2:$C$12</c:f>
              <c:numCache>
                <c:formatCode>General</c:formatCode>
                <c:ptCount val="11"/>
                <c:pt idx="0">
                  <c:v>6.7260137699999998</c:v>
                </c:pt>
                <c:pt idx="1">
                  <c:v>2.18586868</c:v>
                </c:pt>
                <c:pt idx="2">
                  <c:v>0.17236044</c:v>
                </c:pt>
                <c:pt idx="3">
                  <c:v>5.6933000000000001E-3</c:v>
                </c:pt>
                <c:pt idx="4">
                  <c:v>8.7349999999999995E-5</c:v>
                </c:pt>
                <c:pt idx="5">
                  <c:v>6.5000000000000002E-7</c:v>
                </c:pt>
                <c:pt idx="6">
                  <c:v>0</c:v>
                </c:pt>
                <c:pt idx="7">
                  <c:v>0</c:v>
                </c:pt>
                <c:pt idx="8">
                  <c:v>0</c:v>
                </c:pt>
                <c:pt idx="9">
                  <c:v>0</c:v>
                </c:pt>
                <c:pt idx="10">
                  <c:v>0</c:v>
                </c:pt>
              </c:numCache>
            </c:numRef>
          </c:val>
          <c:smooth val="0"/>
          <c:extLst>
            <c:ext xmlns:c16="http://schemas.microsoft.com/office/drawing/2014/chart" uri="{C3380CC4-5D6E-409C-BE32-E72D297353CC}">
              <c16:uniqueId val="{00000001-B013-214A-948E-023E8406C258}"/>
            </c:ext>
          </c:extLst>
        </c:ser>
        <c:ser>
          <c:idx val="2"/>
          <c:order val="2"/>
          <c:tx>
            <c:v>Old Only</c:v>
          </c:tx>
          <c:spPr>
            <a:ln w="28575" cap="rnd">
              <a:solidFill>
                <a:schemeClr val="accent3"/>
              </a:solidFill>
              <a:round/>
            </a:ln>
            <a:effectLst/>
          </c:spPr>
          <c:marker>
            <c:symbol val="none"/>
          </c:marker>
          <c:cat>
            <c:numRef>
              <c:f>'New Infections per 100k'!$A$2:$A$12</c:f>
              <c:numCache>
                <c:formatCode>General</c:formatCode>
                <c:ptCount val="11"/>
                <c:pt idx="0">
                  <c:v>300</c:v>
                </c:pt>
                <c:pt idx="1">
                  <c:v>301</c:v>
                </c:pt>
                <c:pt idx="2">
                  <c:v>302</c:v>
                </c:pt>
                <c:pt idx="3">
                  <c:v>303</c:v>
                </c:pt>
                <c:pt idx="4">
                  <c:v>304</c:v>
                </c:pt>
                <c:pt idx="5">
                  <c:v>305</c:v>
                </c:pt>
                <c:pt idx="6">
                  <c:v>306</c:v>
                </c:pt>
                <c:pt idx="7">
                  <c:v>307</c:v>
                </c:pt>
                <c:pt idx="8">
                  <c:v>308</c:v>
                </c:pt>
                <c:pt idx="9">
                  <c:v>309</c:v>
                </c:pt>
                <c:pt idx="10">
                  <c:v>310</c:v>
                </c:pt>
              </c:numCache>
            </c:numRef>
          </c:cat>
          <c:val>
            <c:numRef>
              <c:f>'New Infections per 100k'!$D$2:$D$12</c:f>
              <c:numCache>
                <c:formatCode>General</c:formatCode>
                <c:ptCount val="11"/>
                <c:pt idx="0">
                  <c:v>6.7260137699999998</c:v>
                </c:pt>
                <c:pt idx="1">
                  <c:v>5.5695622800000004</c:v>
                </c:pt>
                <c:pt idx="2">
                  <c:v>4.0190355200000001</c:v>
                </c:pt>
                <c:pt idx="3">
                  <c:v>3.4695109999999998</c:v>
                </c:pt>
                <c:pt idx="4">
                  <c:v>3.9793618999999998</c:v>
                </c:pt>
                <c:pt idx="5">
                  <c:v>5.3090766800000004</c:v>
                </c:pt>
                <c:pt idx="6">
                  <c:v>6.1751548200000004</c:v>
                </c:pt>
                <c:pt idx="7">
                  <c:v>5.3263031099999996</c:v>
                </c:pt>
                <c:pt idx="8">
                  <c:v>4.0601468499999998</c:v>
                </c:pt>
                <c:pt idx="9">
                  <c:v>3.5588645699999999</c:v>
                </c:pt>
                <c:pt idx="10">
                  <c:v>3.95399112</c:v>
                </c:pt>
              </c:numCache>
            </c:numRef>
          </c:val>
          <c:smooth val="0"/>
          <c:extLst>
            <c:ext xmlns:c16="http://schemas.microsoft.com/office/drawing/2014/chart" uri="{C3380CC4-5D6E-409C-BE32-E72D297353CC}">
              <c16:uniqueId val="{00000002-B013-214A-948E-023E8406C258}"/>
            </c:ext>
          </c:extLst>
        </c:ser>
        <c:ser>
          <c:idx val="3"/>
          <c:order val="3"/>
          <c:tx>
            <c:v>Mixed Strategy</c:v>
          </c:tx>
          <c:spPr>
            <a:ln w="28575" cap="rnd">
              <a:solidFill>
                <a:schemeClr val="accent4"/>
              </a:solidFill>
              <a:round/>
            </a:ln>
            <a:effectLst/>
          </c:spPr>
          <c:marker>
            <c:symbol val="none"/>
          </c:marker>
          <c:cat>
            <c:numRef>
              <c:f>'New Infections per 100k'!$A$2:$A$12</c:f>
              <c:numCache>
                <c:formatCode>General</c:formatCode>
                <c:ptCount val="11"/>
                <c:pt idx="0">
                  <c:v>300</c:v>
                </c:pt>
                <c:pt idx="1">
                  <c:v>301</c:v>
                </c:pt>
                <c:pt idx="2">
                  <c:v>302</c:v>
                </c:pt>
                <c:pt idx="3">
                  <c:v>303</c:v>
                </c:pt>
                <c:pt idx="4">
                  <c:v>304</c:v>
                </c:pt>
                <c:pt idx="5">
                  <c:v>305</c:v>
                </c:pt>
                <c:pt idx="6">
                  <c:v>306</c:v>
                </c:pt>
                <c:pt idx="7">
                  <c:v>307</c:v>
                </c:pt>
                <c:pt idx="8">
                  <c:v>308</c:v>
                </c:pt>
                <c:pt idx="9">
                  <c:v>309</c:v>
                </c:pt>
                <c:pt idx="10">
                  <c:v>310</c:v>
                </c:pt>
              </c:numCache>
            </c:numRef>
          </c:cat>
          <c:val>
            <c:numRef>
              <c:f>'New Infections per 100k'!$E$2:$E$12</c:f>
              <c:numCache>
                <c:formatCode>General</c:formatCode>
                <c:ptCount val="11"/>
                <c:pt idx="0">
                  <c:v>6.7260137699999998</c:v>
                </c:pt>
                <c:pt idx="1">
                  <c:v>3.5071758100000001</c:v>
                </c:pt>
                <c:pt idx="2">
                  <c:v>0.92440606000000003</c:v>
                </c:pt>
                <c:pt idx="3">
                  <c:v>0.22063091000000001</c:v>
                </c:pt>
                <c:pt idx="4">
                  <c:v>5.7093440000000002E-2</c:v>
                </c:pt>
                <c:pt idx="5">
                  <c:v>1.6654749999999999E-2</c:v>
                </c:pt>
                <c:pt idx="6">
                  <c:v>5.5086800000000002E-3</c:v>
                </c:pt>
                <c:pt idx="7">
                  <c:v>2.06215E-3</c:v>
                </c:pt>
                <c:pt idx="8">
                  <c:v>8.7049000000000002E-4</c:v>
                </c:pt>
                <c:pt idx="9">
                  <c:v>4.1269000000000001E-4</c:v>
                </c:pt>
                <c:pt idx="10">
                  <c:v>2.1884000000000001E-4</c:v>
                </c:pt>
              </c:numCache>
            </c:numRef>
          </c:val>
          <c:smooth val="0"/>
          <c:extLst>
            <c:ext xmlns:c16="http://schemas.microsoft.com/office/drawing/2014/chart" uri="{C3380CC4-5D6E-409C-BE32-E72D297353CC}">
              <c16:uniqueId val="{00000003-B013-214A-948E-023E8406C258}"/>
            </c:ext>
          </c:extLst>
        </c:ser>
        <c:dLbls>
          <c:showLegendKey val="0"/>
          <c:showVal val="0"/>
          <c:showCatName val="0"/>
          <c:showSerName val="0"/>
          <c:showPercent val="0"/>
          <c:showBubbleSize val="0"/>
        </c:dLbls>
        <c:smooth val="0"/>
        <c:axId val="1030258704"/>
        <c:axId val="1030459264"/>
      </c:lineChart>
      <c:catAx>
        <c:axId val="103025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459264"/>
        <c:crosses val="autoZero"/>
        <c:auto val="1"/>
        <c:lblAlgn val="ctr"/>
        <c:lblOffset val="100"/>
        <c:noMultiLvlLbl val="0"/>
      </c:catAx>
      <c:valAx>
        <c:axId val="103045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 Infections (Per 100,000)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5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59335</xdr:colOff>
      <xdr:row>21</xdr:row>
      <xdr:rowOff>67596</xdr:rowOff>
    </xdr:from>
    <xdr:to>
      <xdr:col>8</xdr:col>
      <xdr:colOff>816487</xdr:colOff>
      <xdr:row>41</xdr:row>
      <xdr:rowOff>196248</xdr:rowOff>
    </xdr:to>
    <xdr:graphicFrame macro="">
      <xdr:nvGraphicFramePr>
        <xdr:cNvPr id="2" name="Chart 1">
          <a:extLst>
            <a:ext uri="{FF2B5EF4-FFF2-40B4-BE49-F238E27FC236}">
              <a16:creationId xmlns:a16="http://schemas.microsoft.com/office/drawing/2014/main" id="{3CC97159-90A0-4C4F-B11E-208C50A99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85360</xdr:colOff>
      <xdr:row>42</xdr:row>
      <xdr:rowOff>162575</xdr:rowOff>
    </xdr:from>
    <xdr:to>
      <xdr:col>7</xdr:col>
      <xdr:colOff>726663</xdr:colOff>
      <xdr:row>62</xdr:row>
      <xdr:rowOff>42810</xdr:rowOff>
    </xdr:to>
    <xdr:graphicFrame macro="">
      <xdr:nvGraphicFramePr>
        <xdr:cNvPr id="4" name="Chart 3">
          <a:extLst>
            <a:ext uri="{FF2B5EF4-FFF2-40B4-BE49-F238E27FC236}">
              <a16:creationId xmlns:a16="http://schemas.microsoft.com/office/drawing/2014/main" id="{B10C9D86-1268-AE4A-8590-FDA026805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19050</xdr:colOff>
      <xdr:row>0</xdr:row>
      <xdr:rowOff>123825</xdr:rowOff>
    </xdr:from>
    <xdr:ext cx="3291115" cy="301625"/>
    <xdr:sp macro="" textlink="">
      <xdr:nvSpPr>
        <xdr:cNvPr id="2" name="TextBox 1">
          <a:extLst>
            <a:ext uri="{FF2B5EF4-FFF2-40B4-BE49-F238E27FC236}">
              <a16:creationId xmlns:a16="http://schemas.microsoft.com/office/drawing/2014/main" id="{1EE77354-1FDC-2140-98E7-EE9D8BBB9347}"/>
            </a:ext>
          </a:extLst>
        </xdr:cNvPr>
        <xdr:cNvSpPr txBox="1"/>
      </xdr:nvSpPr>
      <xdr:spPr>
        <a:xfrm>
          <a:off x="4591050" y="123825"/>
          <a:ext cx="3900715"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2000" b="1"/>
            <a:t>Generation number</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19050</xdr:colOff>
      <xdr:row>0</xdr:row>
      <xdr:rowOff>123825</xdr:rowOff>
    </xdr:from>
    <xdr:ext cx="3291115" cy="301625"/>
    <xdr:sp macro="" textlink="">
      <xdr:nvSpPr>
        <xdr:cNvPr id="2" name="TextBox 1">
          <a:extLst>
            <a:ext uri="{FF2B5EF4-FFF2-40B4-BE49-F238E27FC236}">
              <a16:creationId xmlns:a16="http://schemas.microsoft.com/office/drawing/2014/main" id="{F3B3E0AC-2682-C94A-A7D1-70EC09B60DE5}"/>
            </a:ext>
          </a:extLst>
        </xdr:cNvPr>
        <xdr:cNvSpPr txBox="1"/>
      </xdr:nvSpPr>
      <xdr:spPr>
        <a:xfrm>
          <a:off x="4514850" y="123825"/>
          <a:ext cx="3291115"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endParaRPr lang="en-GB" sz="2000" b="1"/>
        </a:p>
      </xdr:txBody>
    </xdr:sp>
    <xdr:clientData/>
  </xdr:oneCellAnchor>
  <xdr:twoCellAnchor>
    <xdr:from>
      <xdr:col>14</xdr:col>
      <xdr:colOff>76200</xdr:colOff>
      <xdr:row>42</xdr:row>
      <xdr:rowOff>123825</xdr:rowOff>
    </xdr:from>
    <xdr:to>
      <xdr:col>23</xdr:col>
      <xdr:colOff>152400</xdr:colOff>
      <xdr:row>63</xdr:row>
      <xdr:rowOff>38100</xdr:rowOff>
    </xdr:to>
    <xdr:graphicFrame macro="">
      <xdr:nvGraphicFramePr>
        <xdr:cNvPr id="7" name="Chart 2">
          <a:extLst>
            <a:ext uri="{FF2B5EF4-FFF2-40B4-BE49-F238E27FC236}">
              <a16:creationId xmlns:a16="http://schemas.microsoft.com/office/drawing/2014/main" id="{F4137F06-1B88-3741-9AC0-882F58A5B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63</xdr:row>
      <xdr:rowOff>85725</xdr:rowOff>
    </xdr:from>
    <xdr:to>
      <xdr:col>23</xdr:col>
      <xdr:colOff>152400</xdr:colOff>
      <xdr:row>84</xdr:row>
      <xdr:rowOff>0</xdr:rowOff>
    </xdr:to>
    <xdr:graphicFrame macro="">
      <xdr:nvGraphicFramePr>
        <xdr:cNvPr id="8" name="Chart 3">
          <a:extLst>
            <a:ext uri="{FF2B5EF4-FFF2-40B4-BE49-F238E27FC236}">
              <a16:creationId xmlns:a16="http://schemas.microsoft.com/office/drawing/2014/main" id="{07E5B335-106C-5444-896E-D1FEB3A46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292100</xdr:colOff>
      <xdr:row>1</xdr:row>
      <xdr:rowOff>6350</xdr:rowOff>
    </xdr:from>
    <xdr:to>
      <xdr:col>8</xdr:col>
      <xdr:colOff>736600</xdr:colOff>
      <xdr:row>14</xdr:row>
      <xdr:rowOff>107950</xdr:rowOff>
    </xdr:to>
    <xdr:graphicFrame macro="">
      <xdr:nvGraphicFramePr>
        <xdr:cNvPr id="4" name="Chart 3">
          <a:extLst>
            <a:ext uri="{FF2B5EF4-FFF2-40B4-BE49-F238E27FC236}">
              <a16:creationId xmlns:a16="http://schemas.microsoft.com/office/drawing/2014/main" id="{B68A1AEF-8B03-B843-BDD8-E1BF03E78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628650</xdr:colOff>
      <xdr:row>3</xdr:row>
      <xdr:rowOff>0</xdr:rowOff>
    </xdr:from>
    <xdr:to>
      <xdr:col>17</xdr:col>
      <xdr:colOff>203200</xdr:colOff>
      <xdr:row>36</xdr:row>
      <xdr:rowOff>139700</xdr:rowOff>
    </xdr:to>
    <xdr:graphicFrame macro="">
      <xdr:nvGraphicFramePr>
        <xdr:cNvPr id="8" name="Chart 7">
          <a:extLst>
            <a:ext uri="{FF2B5EF4-FFF2-40B4-BE49-F238E27FC236}">
              <a16:creationId xmlns:a16="http://schemas.microsoft.com/office/drawing/2014/main" id="{97B20CF2-A7D5-0141-8F28-D75E254F0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228600</xdr:colOff>
      <xdr:row>0</xdr:row>
      <xdr:rowOff>120650</xdr:rowOff>
    </xdr:from>
    <xdr:to>
      <xdr:col>14</xdr:col>
      <xdr:colOff>711200</xdr:colOff>
      <xdr:row>30</xdr:row>
      <xdr:rowOff>0</xdr:rowOff>
    </xdr:to>
    <xdr:graphicFrame macro="">
      <xdr:nvGraphicFramePr>
        <xdr:cNvPr id="4" name="Chart 3">
          <a:extLst>
            <a:ext uri="{FF2B5EF4-FFF2-40B4-BE49-F238E27FC236}">
              <a16:creationId xmlns:a16="http://schemas.microsoft.com/office/drawing/2014/main" id="{3AD2E4A7-15F9-F24A-B7AC-A85CDF6B2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ymorris-doty/Desktop/R0waifb_sol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erminant"/>
      <sheetName val="waifw B"/>
    </sheetNames>
    <sheetDataSet>
      <sheetData sheetId="0"/>
      <sheetData sheetId="1">
        <row r="47">
          <cell r="A47">
            <v>0</v>
          </cell>
          <cell r="G47">
            <v>1</v>
          </cell>
          <cell r="H47">
            <v>0</v>
          </cell>
          <cell r="I47">
            <v>0</v>
          </cell>
        </row>
        <row r="48">
          <cell r="A48">
            <v>1</v>
          </cell>
          <cell r="G48">
            <v>0.64734419733157567</v>
          </cell>
          <cell r="H48">
            <v>0</v>
          </cell>
          <cell r="I48">
            <v>0.35265580266842445</v>
          </cell>
          <cell r="K48">
            <v>1.1913066364553999</v>
          </cell>
        </row>
        <row r="49">
          <cell r="A49">
            <v>2</v>
          </cell>
          <cell r="G49">
            <v>0.58995949423889416</v>
          </cell>
          <cell r="H49">
            <v>0</v>
          </cell>
          <cell r="I49">
            <v>0.41004050576110584</v>
          </cell>
          <cell r="K49">
            <v>1.0245846256666342</v>
          </cell>
        </row>
        <row r="50">
          <cell r="A50">
            <v>3</v>
          </cell>
          <cell r="G50">
            <v>0.57880701723126726</v>
          </cell>
          <cell r="H50">
            <v>0</v>
          </cell>
          <cell r="I50">
            <v>0.42119298276873268</v>
          </cell>
          <cell r="K50">
            <v>0.99745535963517895</v>
          </cell>
        </row>
        <row r="51">
          <cell r="A51">
            <v>4</v>
          </cell>
          <cell r="G51">
            <v>0.57656879795841753</v>
          </cell>
          <cell r="H51">
            <v>0</v>
          </cell>
          <cell r="I51">
            <v>0.42343120204158252</v>
          </cell>
          <cell r="K51">
            <v>0.99218290026284495</v>
          </cell>
        </row>
        <row r="52">
          <cell r="A52">
            <v>5</v>
          </cell>
          <cell r="G52">
            <v>0.57611673484735548</v>
          </cell>
          <cell r="H52">
            <v>0</v>
          </cell>
          <cell r="I52">
            <v>0.42388326515264452</v>
          </cell>
          <cell r="K52">
            <v>0.99112475684103785</v>
          </cell>
        </row>
        <row r="53">
          <cell r="A53">
            <v>6</v>
          </cell>
          <cell r="G53">
            <v>0.57602531245552024</v>
          </cell>
          <cell r="H53">
            <v>0</v>
          </cell>
          <cell r="I53">
            <v>0.42397468754447976</v>
          </cell>
          <cell r="K53">
            <v>0.99091103890329413</v>
          </cell>
        </row>
        <row r="54">
          <cell r="A54">
            <v>7</v>
          </cell>
          <cell r="G54">
            <v>0.57600681897346939</v>
          </cell>
          <cell r="H54">
            <v>0</v>
          </cell>
          <cell r="I54">
            <v>0.42399318102653061</v>
          </cell>
          <cell r="K54">
            <v>0.99086781793575984</v>
          </cell>
        </row>
        <row r="55">
          <cell r="A55">
            <v>8</v>
          </cell>
          <cell r="G55">
            <v>0.57600307780232318</v>
          </cell>
          <cell r="H55">
            <v>0</v>
          </cell>
          <cell r="I55">
            <v>0.42399692219767687</v>
          </cell>
          <cell r="K55">
            <v>0.99085907493340264</v>
          </cell>
        </row>
        <row r="56">
          <cell r="A56">
            <v>9</v>
          </cell>
          <cell r="G56">
            <v>0.57600232096756432</v>
          </cell>
          <cell r="H56">
            <v>0</v>
          </cell>
          <cell r="I56">
            <v>0.42399767903243574</v>
          </cell>
          <cell r="K56">
            <v>0.99085730625252033</v>
          </cell>
        </row>
        <row r="57">
          <cell r="A57">
            <v>10</v>
          </cell>
          <cell r="G57">
            <v>0.57600216786040637</v>
          </cell>
          <cell r="H57">
            <v>0</v>
          </cell>
          <cell r="I57">
            <v>0.42399783213959358</v>
          </cell>
          <cell r="K57">
            <v>0.99085694845034655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2F7A5-9FF8-3B4C-9042-BD8486752715}">
  <dimension ref="A2:AG127"/>
  <sheetViews>
    <sheetView tabSelected="1" zoomScale="88" zoomScaleNormal="150" workbookViewId="0">
      <selection activeCell="D16" sqref="D16"/>
    </sheetView>
  </sheetViews>
  <sheetFormatPr baseColWidth="10" defaultRowHeight="16" x14ac:dyDescent="0.2"/>
  <cols>
    <col min="8" max="8" width="12.83203125" bestFit="1" customWidth="1"/>
    <col min="9" max="9" width="12.1640625" bestFit="1" customWidth="1"/>
    <col min="10" max="10" width="27.1640625" customWidth="1"/>
    <col min="11" max="11" width="21.6640625" customWidth="1"/>
    <col min="13" max="13" width="13" customWidth="1"/>
    <col min="14" max="14" width="33.83203125" customWidth="1"/>
    <col min="15" max="15" width="12.6640625" style="106" bestFit="1" customWidth="1"/>
    <col min="16" max="16" width="1.83203125" customWidth="1"/>
    <col min="17" max="17" width="25" bestFit="1" customWidth="1"/>
    <col min="18" max="18" width="14.83203125" bestFit="1" customWidth="1"/>
    <col min="19" max="19" width="12.6640625" bestFit="1" customWidth="1"/>
    <col min="22" max="22" width="2.1640625" bestFit="1" customWidth="1"/>
    <col min="25" max="25" width="2.1640625" bestFit="1" customWidth="1"/>
    <col min="29" max="29" width="12.6640625" customWidth="1"/>
    <col min="30" max="30" width="13.6640625" bestFit="1" customWidth="1"/>
    <col min="31" max="31" width="13.6640625" customWidth="1"/>
    <col min="32" max="32" width="12.5" bestFit="1" customWidth="1"/>
  </cols>
  <sheetData>
    <row r="2" spans="1:18" x14ac:dyDescent="0.2">
      <c r="A2" s="51"/>
      <c r="B2" s="52"/>
      <c r="C2" s="52"/>
      <c r="D2" s="52"/>
      <c r="E2" s="52"/>
      <c r="F2" s="52"/>
      <c r="G2" s="52" t="s">
        <v>0</v>
      </c>
      <c r="H2" s="52"/>
      <c r="I2" s="52"/>
      <c r="J2" s="84" t="s">
        <v>117</v>
      </c>
      <c r="K2" s="53"/>
      <c r="N2" s="6" t="s">
        <v>46</v>
      </c>
    </row>
    <row r="3" spans="1:18" x14ac:dyDescent="0.2">
      <c r="A3" s="44" t="s">
        <v>1</v>
      </c>
      <c r="B3" s="1"/>
      <c r="C3" s="1"/>
      <c r="D3" s="1"/>
      <c r="E3" s="1"/>
      <c r="F3" s="1" t="s">
        <v>2</v>
      </c>
      <c r="G3" s="1" t="s">
        <v>3</v>
      </c>
      <c r="H3" s="1"/>
      <c r="I3" s="1"/>
      <c r="J3" s="54"/>
      <c r="K3" s="49"/>
      <c r="N3" s="15"/>
      <c r="O3" s="107"/>
      <c r="P3" s="10"/>
      <c r="Q3" s="10" t="s">
        <v>34</v>
      </c>
      <c r="R3" s="11">
        <f>K11</f>
        <v>89000</v>
      </c>
    </row>
    <row r="4" spans="1:18" x14ac:dyDescent="0.2">
      <c r="A4" s="44" t="s">
        <v>4</v>
      </c>
      <c r="B4" s="1"/>
      <c r="C4" s="1"/>
      <c r="D4" s="1"/>
      <c r="E4" s="1" t="s">
        <v>5</v>
      </c>
      <c r="F4" s="1">
        <v>4.2368601808316912E-2</v>
      </c>
      <c r="G4" s="1" t="s">
        <v>7</v>
      </c>
      <c r="H4" s="1"/>
      <c r="I4" s="1"/>
      <c r="J4" s="54"/>
      <c r="K4" s="49"/>
      <c r="N4" s="16" t="s">
        <v>36</v>
      </c>
      <c r="O4" s="108">
        <f>O5/O6</f>
        <v>18733.178196497924</v>
      </c>
      <c r="P4" s="17"/>
      <c r="Q4" s="21" t="s">
        <v>65</v>
      </c>
      <c r="R4" s="18">
        <f>1-EXP(-K8*R6)</f>
        <v>0.55291360889801378</v>
      </c>
    </row>
    <row r="5" spans="1:18" x14ac:dyDescent="0.2">
      <c r="A5" s="44"/>
      <c r="B5" s="1"/>
      <c r="C5" s="1"/>
      <c r="D5" s="1"/>
      <c r="E5" s="1" t="s">
        <v>6</v>
      </c>
      <c r="F5" s="1">
        <v>2.0376976874642197E-2</v>
      </c>
      <c r="G5" s="1" t="s">
        <v>8</v>
      </c>
      <c r="H5" s="1"/>
      <c r="I5" s="1"/>
      <c r="J5" s="55"/>
      <c r="K5" s="50"/>
      <c r="N5" s="19" t="s">
        <v>61</v>
      </c>
      <c r="O5" s="109">
        <f>R3*R4</f>
        <v>49209.311191923225</v>
      </c>
      <c r="P5" s="17"/>
      <c r="Q5" s="21" t="s">
        <v>63</v>
      </c>
      <c r="R5" s="18">
        <f>K8*K7</f>
        <v>2.6268533121156485</v>
      </c>
    </row>
    <row r="6" spans="1:18" x14ac:dyDescent="0.2">
      <c r="A6" s="45" t="s">
        <v>9</v>
      </c>
      <c r="B6" s="2"/>
      <c r="C6" s="2"/>
      <c r="D6" s="2"/>
      <c r="E6" s="2" t="s">
        <v>10</v>
      </c>
      <c r="F6" s="3">
        <f>2*(SUM(G15:G21)-SUM(H15:H21))</f>
        <v>0.13749367463304907</v>
      </c>
      <c r="G6" s="2"/>
      <c r="H6" s="2"/>
      <c r="I6" s="47"/>
      <c r="J6" s="6" t="s">
        <v>45</v>
      </c>
      <c r="K6" s="6" t="s">
        <v>51</v>
      </c>
      <c r="N6" s="19" t="s">
        <v>62</v>
      </c>
      <c r="O6" s="109">
        <f>R5</f>
        <v>2.6268533121156485</v>
      </c>
      <c r="P6" s="17"/>
      <c r="Q6" s="17" t="s">
        <v>14</v>
      </c>
      <c r="R6" s="18">
        <v>19</v>
      </c>
    </row>
    <row r="7" spans="1:18" x14ac:dyDescent="0.2">
      <c r="A7" s="46" t="s">
        <v>11</v>
      </c>
      <c r="B7" s="42"/>
      <c r="C7" s="42"/>
      <c r="D7" s="42"/>
      <c r="E7" s="42"/>
      <c r="F7" s="42"/>
      <c r="G7" s="42"/>
      <c r="H7" s="42"/>
      <c r="I7" s="48"/>
      <c r="J7" s="58" t="s">
        <v>69</v>
      </c>
      <c r="K7" s="58">
        <v>62</v>
      </c>
      <c r="N7" s="19"/>
      <c r="O7" s="109"/>
      <c r="P7" s="17"/>
      <c r="Q7" s="21"/>
      <c r="R7" s="18"/>
    </row>
    <row r="8" spans="1:18" x14ac:dyDescent="0.2">
      <c r="A8" t="s">
        <v>33</v>
      </c>
      <c r="J8" t="s">
        <v>52</v>
      </c>
      <c r="K8">
        <f>foi_y</f>
        <v>4.2368601808316912E-2</v>
      </c>
      <c r="N8" s="19"/>
      <c r="O8" s="109"/>
      <c r="P8" s="17"/>
      <c r="Q8" s="17"/>
      <c r="R8" s="18"/>
    </row>
    <row r="9" spans="1:18" x14ac:dyDescent="0.2">
      <c r="A9" s="24"/>
      <c r="B9" s="25" t="s">
        <v>12</v>
      </c>
      <c r="C9" s="25"/>
      <c r="D9" s="25"/>
      <c r="E9" s="25"/>
      <c r="F9" s="26"/>
      <c r="G9" s="153" t="s">
        <v>24</v>
      </c>
      <c r="H9" s="153"/>
      <c r="I9" s="27"/>
      <c r="J9" s="7" t="s">
        <v>53</v>
      </c>
      <c r="K9">
        <f>foi_o</f>
        <v>2.0376976874642197E-2</v>
      </c>
      <c r="N9" s="16" t="s">
        <v>37</v>
      </c>
      <c r="O9" s="108">
        <f>O10/O11</f>
        <v>18382.162972072401</v>
      </c>
      <c r="P9" s="17"/>
      <c r="Q9" s="21" t="s">
        <v>64</v>
      </c>
      <c r="R9" s="18">
        <f>K11*EXP(-K8*R6)</f>
        <v>39790.688808076782</v>
      </c>
    </row>
    <row r="10" spans="1:18" x14ac:dyDescent="0.2">
      <c r="A10" s="28"/>
      <c r="B10" s="29" t="s">
        <v>13</v>
      </c>
      <c r="C10" s="29"/>
      <c r="D10" s="29"/>
      <c r="E10" s="29"/>
      <c r="F10" s="30" t="s">
        <v>21</v>
      </c>
      <c r="G10" s="154" t="s">
        <v>25</v>
      </c>
      <c r="H10" s="154"/>
      <c r="I10" s="31"/>
      <c r="J10" s="7" t="s">
        <v>9</v>
      </c>
      <c r="K10">
        <f>F6</f>
        <v>0.13749367463304907</v>
      </c>
      <c r="N10" s="19" t="s">
        <v>61</v>
      </c>
      <c r="O10" s="109">
        <f>R9*R12</f>
        <v>23223.520406845048</v>
      </c>
      <c r="P10" s="17"/>
      <c r="Q10" s="21" t="s">
        <v>66</v>
      </c>
      <c r="R10" s="18">
        <f>K7-R6</f>
        <v>43</v>
      </c>
    </row>
    <row r="11" spans="1:18" ht="17" thickBot="1" x14ac:dyDescent="0.25">
      <c r="A11" s="32" t="s">
        <v>14</v>
      </c>
      <c r="B11" s="4"/>
      <c r="C11" s="5" t="s">
        <v>15</v>
      </c>
      <c r="D11" s="5"/>
      <c r="E11" s="33" t="s">
        <v>16</v>
      </c>
      <c r="F11" s="34" t="s">
        <v>22</v>
      </c>
      <c r="G11" s="35" t="s">
        <v>26</v>
      </c>
      <c r="H11" s="35" t="s">
        <v>27</v>
      </c>
      <c r="I11" s="36" t="s">
        <v>29</v>
      </c>
      <c r="J11" s="58" t="s">
        <v>38</v>
      </c>
      <c r="K11" s="58">
        <v>89000</v>
      </c>
      <c r="N11" s="19" t="s">
        <v>62</v>
      </c>
      <c r="O11" s="109">
        <f>R13</f>
        <v>1.2633725662278161</v>
      </c>
      <c r="P11" s="17"/>
      <c r="Q11" s="21" t="s">
        <v>67</v>
      </c>
      <c r="R11" s="18">
        <f>-K9*(K7-R6)</f>
        <v>-0.87621000560961448</v>
      </c>
    </row>
    <row r="12" spans="1:18" x14ac:dyDescent="0.2">
      <c r="A12" s="32" t="s">
        <v>17</v>
      </c>
      <c r="B12" s="33" t="s">
        <v>18</v>
      </c>
      <c r="C12" s="33" t="s">
        <v>19</v>
      </c>
      <c r="D12" s="33" t="s">
        <v>20</v>
      </c>
      <c r="E12" s="33" t="s">
        <v>18</v>
      </c>
      <c r="F12" s="34" t="s">
        <v>23</v>
      </c>
      <c r="G12" s="35" t="s">
        <v>28</v>
      </c>
      <c r="H12" s="35" t="s">
        <v>28</v>
      </c>
      <c r="I12" s="31"/>
      <c r="J12" s="58" t="s">
        <v>100</v>
      </c>
      <c r="K12" s="58">
        <v>28480</v>
      </c>
      <c r="N12" s="19"/>
      <c r="O12" s="109"/>
      <c r="P12" s="17"/>
      <c r="Q12" s="21" t="s">
        <v>68</v>
      </c>
      <c r="R12" s="18">
        <f>1-EXP(R11)</f>
        <v>0.58364208066011403</v>
      </c>
    </row>
    <row r="13" spans="1:18" x14ac:dyDescent="0.2">
      <c r="A13" s="28"/>
      <c r="B13" s="29"/>
      <c r="C13" s="29"/>
      <c r="D13" s="29"/>
      <c r="E13" s="29"/>
      <c r="F13" s="37"/>
      <c r="G13" s="38"/>
      <c r="H13" s="38"/>
      <c r="I13" s="31"/>
      <c r="J13" s="58" t="s">
        <v>101</v>
      </c>
      <c r="K13" s="58">
        <v>60520</v>
      </c>
      <c r="N13" s="22"/>
      <c r="O13" s="110"/>
      <c r="P13" s="13"/>
      <c r="Q13" s="12" t="s">
        <v>39</v>
      </c>
      <c r="R13" s="14">
        <f>K9*K7</f>
        <v>1.2633725662278161</v>
      </c>
    </row>
    <row r="14" spans="1:18" x14ac:dyDescent="0.2">
      <c r="A14" s="28">
        <v>0</v>
      </c>
      <c r="B14" s="29"/>
      <c r="C14" s="29"/>
      <c r="D14" s="29"/>
      <c r="E14" s="29"/>
      <c r="F14" s="37">
        <v>0</v>
      </c>
      <c r="G14" s="38"/>
      <c r="H14" s="38"/>
      <c r="I14" s="31"/>
      <c r="J14" s="58" t="s">
        <v>35</v>
      </c>
      <c r="K14" s="58">
        <v>0.32</v>
      </c>
    </row>
    <row r="15" spans="1:18" x14ac:dyDescent="0.2">
      <c r="A15" s="28">
        <v>2.5</v>
      </c>
      <c r="B15" s="29">
        <v>11</v>
      </c>
      <c r="C15" s="29">
        <v>102</v>
      </c>
      <c r="D15" s="29">
        <v>113</v>
      </c>
      <c r="E15" s="29">
        <f>B15/D15</f>
        <v>9.7345132743362831E-2</v>
      </c>
      <c r="F15" s="37">
        <f>1-EXP(-foi_y*A15)</f>
        <v>0.10050474838432089</v>
      </c>
      <c r="G15" s="38">
        <f>IF(OR(E15=0,E15=1),0,B15*LN(E15)+C15*LN(1-E15))</f>
        <v>-36.070748558716758</v>
      </c>
      <c r="H15" s="38">
        <f>IF(OR(F15=0,F15=1),0,B15*LN(F15)+C15*LN(1-F15))</f>
        <v>-36.077046816054334</v>
      </c>
      <c r="I15" s="31">
        <f>-LN(C15/D15)</f>
        <v>0.10241500542806953</v>
      </c>
      <c r="J15" s="58" t="s">
        <v>56</v>
      </c>
      <c r="K15" s="58">
        <v>0.68</v>
      </c>
      <c r="N15" s="6" t="s">
        <v>190</v>
      </c>
    </row>
    <row r="16" spans="1:18" x14ac:dyDescent="0.2">
      <c r="A16" s="28">
        <v>7</v>
      </c>
      <c r="B16" s="29">
        <v>27</v>
      </c>
      <c r="C16" s="29">
        <v>76</v>
      </c>
      <c r="D16" s="29">
        <v>103</v>
      </c>
      <c r="E16" s="29">
        <f t="shared" ref="E16:E21" si="0">B16/D16</f>
        <v>0.26213592233009708</v>
      </c>
      <c r="F16" s="37">
        <f>1-EXP(-foi_y*A16)</f>
        <v>0.25664400168798918</v>
      </c>
      <c r="G16" s="38">
        <f t="shared" ref="G16:G21" si="1">IF(OR(E16=0,E16=1),0,B16*LN(E16)+C16*LN(1-E16))</f>
        <v>-59.253756543774443</v>
      </c>
      <c r="H16" s="38">
        <f t="shared" ref="H16:H21" si="2">IF(OR(F16=0,F16=1),0,B16*LN(F16)+C16*LN(1-F16))</f>
        <v>-59.261860930985677</v>
      </c>
      <c r="I16" s="31">
        <f t="shared" ref="I16:I21" si="3">-LN(C16/D16)</f>
        <v>0.30399564794330469</v>
      </c>
      <c r="J16" s="58" t="s">
        <v>54</v>
      </c>
      <c r="K16" s="58">
        <v>6</v>
      </c>
      <c r="N16" s="57" t="s">
        <v>72</v>
      </c>
      <c r="O16" s="111"/>
    </row>
    <row r="17" spans="1:28" x14ac:dyDescent="0.2">
      <c r="A17" s="28">
        <v>14.5</v>
      </c>
      <c r="B17" s="29">
        <v>21</v>
      </c>
      <c r="C17" s="29">
        <v>26</v>
      </c>
      <c r="D17" s="29">
        <v>47</v>
      </c>
      <c r="E17" s="29">
        <f t="shared" si="0"/>
        <v>0.44680851063829785</v>
      </c>
      <c r="F17" s="37">
        <f>1-EXP(-foi_y*A17)</f>
        <v>0.45900472079135535</v>
      </c>
      <c r="G17" s="38">
        <f t="shared" si="1"/>
        <v>-32.311456099622333</v>
      </c>
      <c r="H17" s="38">
        <f t="shared" si="2"/>
        <v>-32.325553346281367</v>
      </c>
      <c r="I17" s="31">
        <f t="shared" si="3"/>
        <v>0.59205106368857652</v>
      </c>
      <c r="J17" s="7" t="s">
        <v>55</v>
      </c>
      <c r="K17">
        <f>K16/365</f>
        <v>1.643835616438356E-2</v>
      </c>
      <c r="N17" s="16" t="s">
        <v>70</v>
      </c>
      <c r="O17" s="112">
        <f>K8*K18*(K17)</f>
        <v>13.047099741561613</v>
      </c>
    </row>
    <row r="18" spans="1:28" x14ac:dyDescent="0.2">
      <c r="A18" s="28">
        <v>24.5</v>
      </c>
      <c r="B18" s="29">
        <v>19</v>
      </c>
      <c r="C18" s="29">
        <v>12</v>
      </c>
      <c r="D18" s="29">
        <v>31</v>
      </c>
      <c r="E18" s="29">
        <f t="shared" si="0"/>
        <v>0.61290322580645162</v>
      </c>
      <c r="F18" s="37">
        <f>1-(EXP(-20*foi_y)*EXP(-foi_o*(A18-20)))</f>
        <v>0.60900809874035833</v>
      </c>
      <c r="G18" s="38">
        <f t="shared" si="1"/>
        <v>-20.690382937421163</v>
      </c>
      <c r="H18" s="38">
        <f t="shared" si="2"/>
        <v>-20.691371731018897</v>
      </c>
      <c r="I18" s="31">
        <f t="shared" si="3"/>
        <v>0.94908055469714592</v>
      </c>
      <c r="J18" s="7" t="s">
        <v>59</v>
      </c>
      <c r="K18">
        <f>O4</f>
        <v>18733.178196497924</v>
      </c>
      <c r="N18" s="23" t="s">
        <v>73</v>
      </c>
      <c r="O18" s="113"/>
    </row>
    <row r="19" spans="1:28" x14ac:dyDescent="0.2">
      <c r="A19" s="28">
        <v>34.5</v>
      </c>
      <c r="B19" s="29">
        <v>42</v>
      </c>
      <c r="C19" s="29">
        <v>19</v>
      </c>
      <c r="D19" s="29">
        <v>61</v>
      </c>
      <c r="E19" s="29">
        <f t="shared" si="0"/>
        <v>0.68852459016393441</v>
      </c>
      <c r="F19" s="37">
        <f>1-(EXP(-20*foi_y)*EXP(-foi_o*(A19-20)))</f>
        <v>0.68108740188810024</v>
      </c>
      <c r="G19" s="38">
        <f t="shared" si="1"/>
        <v>-37.836841142508149</v>
      </c>
      <c r="H19" s="38">
        <f t="shared" si="2"/>
        <v>-37.844640596161099</v>
      </c>
      <c r="I19" s="31">
        <f t="shared" si="3"/>
        <v>1.1664348850068706</v>
      </c>
      <c r="J19" s="7" t="s">
        <v>60</v>
      </c>
      <c r="K19">
        <f>O9</f>
        <v>18382.162972072401</v>
      </c>
      <c r="N19" s="16" t="s">
        <v>71</v>
      </c>
      <c r="O19" s="112">
        <f>K9*K19*(K17)</f>
        <v>6.1573629006217541</v>
      </c>
    </row>
    <row r="20" spans="1:28" x14ac:dyDescent="0.2">
      <c r="A20" s="28">
        <v>44.5</v>
      </c>
      <c r="B20" s="29">
        <v>32</v>
      </c>
      <c r="C20" s="29">
        <v>12</v>
      </c>
      <c r="D20" s="29">
        <v>44</v>
      </c>
      <c r="E20" s="29">
        <f t="shared" si="0"/>
        <v>0.72727272727272729</v>
      </c>
      <c r="F20" s="37">
        <f>1-(EXP(-20*foi_y)*EXP(-foi_o*(A20-20)))</f>
        <v>0.73987889542769891</v>
      </c>
      <c r="G20" s="38">
        <f t="shared" si="1"/>
        <v>-25.781915205356238</v>
      </c>
      <c r="H20" s="38">
        <f t="shared" si="2"/>
        <v>-25.799895987277445</v>
      </c>
      <c r="I20" s="31">
        <f t="shared" si="3"/>
        <v>1.2992829841302609</v>
      </c>
      <c r="J20" s="7" t="s">
        <v>30</v>
      </c>
      <c r="K20">
        <f>O27</f>
        <v>7.5249612262346998E-6</v>
      </c>
      <c r="N20" s="22"/>
      <c r="O20" s="114"/>
    </row>
    <row r="21" spans="1:28" x14ac:dyDescent="0.2">
      <c r="A21" s="39">
        <v>54.5</v>
      </c>
      <c r="B21" s="40">
        <v>24</v>
      </c>
      <c r="C21" s="40">
        <v>6</v>
      </c>
      <c r="D21" s="40">
        <v>30</v>
      </c>
      <c r="E21" s="40">
        <f t="shared" si="0"/>
        <v>0.8</v>
      </c>
      <c r="F21" s="41">
        <f>1-(EXP(-20*foi_y)*EXP(-foi_o*(A21-20)))</f>
        <v>0.78783218523034804</v>
      </c>
      <c r="G21" s="42">
        <f t="shared" si="1"/>
        <v>-15.012072706145636</v>
      </c>
      <c r="H21" s="42">
        <f t="shared" si="2"/>
        <v>-15.02555062308242</v>
      </c>
      <c r="I21" s="43">
        <f t="shared" si="3"/>
        <v>1.6094379124341003</v>
      </c>
      <c r="J21" s="7" t="s">
        <v>31</v>
      </c>
      <c r="K21">
        <f>O28</f>
        <v>2.9069979693418943E-6</v>
      </c>
    </row>
    <row r="22" spans="1:28" x14ac:dyDescent="0.2">
      <c r="J22" s="7" t="s">
        <v>57</v>
      </c>
      <c r="K22">
        <f>O17</f>
        <v>13.047099741561613</v>
      </c>
      <c r="N22" s="6" t="s">
        <v>74</v>
      </c>
    </row>
    <row r="23" spans="1:28" x14ac:dyDescent="0.2">
      <c r="J23" s="7" t="s">
        <v>58</v>
      </c>
      <c r="K23">
        <f>O19</f>
        <v>6.1573629006217541</v>
      </c>
      <c r="N23" s="57" t="s">
        <v>76</v>
      </c>
      <c r="O23" s="107"/>
      <c r="P23" s="9"/>
      <c r="Q23" s="9" t="s">
        <v>77</v>
      </c>
      <c r="R23" s="10"/>
      <c r="S23" s="10"/>
      <c r="T23" s="10" t="s">
        <v>97</v>
      </c>
      <c r="U23" s="10">
        <f>K8</f>
        <v>4.2368601808316912E-2</v>
      </c>
      <c r="V23" s="9" t="s">
        <v>32</v>
      </c>
      <c r="W23" s="9">
        <f>K22</f>
        <v>13.047099741561613</v>
      </c>
      <c r="X23" s="10" t="s">
        <v>30</v>
      </c>
      <c r="Y23" s="10" t="s">
        <v>40</v>
      </c>
      <c r="Z23" s="10">
        <f>K23</f>
        <v>6.1573629006217541</v>
      </c>
      <c r="AA23" s="10" t="s">
        <v>31</v>
      </c>
      <c r="AB23" s="11"/>
    </row>
    <row r="24" spans="1:28" x14ac:dyDescent="0.2">
      <c r="J24" s="56" t="s">
        <v>114</v>
      </c>
      <c r="K24" s="83">
        <f>NGM!Z9</f>
        <v>1.9039518756079561</v>
      </c>
      <c r="N24" s="19" t="s">
        <v>75</v>
      </c>
      <c r="O24" s="109"/>
      <c r="P24" s="17"/>
      <c r="Q24" s="17" t="s">
        <v>78</v>
      </c>
      <c r="R24" s="17"/>
      <c r="S24" s="17"/>
      <c r="T24" s="17"/>
      <c r="U24" s="17">
        <f>K9</f>
        <v>2.0376976874642197E-2</v>
      </c>
      <c r="V24" s="21" t="s">
        <v>32</v>
      </c>
      <c r="W24" s="21">
        <f>K23</f>
        <v>6.1573629006217541</v>
      </c>
      <c r="X24" s="17" t="s">
        <v>31</v>
      </c>
      <c r="Y24" s="17" t="s">
        <v>40</v>
      </c>
      <c r="Z24" s="17">
        <f>K22</f>
        <v>13.047099741561613</v>
      </c>
      <c r="AA24" s="17" t="s">
        <v>31</v>
      </c>
      <c r="AB24" s="18"/>
    </row>
    <row r="25" spans="1:28" x14ac:dyDescent="0.2">
      <c r="J25" s="56" t="s">
        <v>115</v>
      </c>
      <c r="K25">
        <f>1-1/K24</f>
        <v>0.47477664072749359</v>
      </c>
      <c r="N25" s="19" t="s">
        <v>93</v>
      </c>
      <c r="O25" s="120">
        <f>U34</f>
        <v>2.7466108475756655E-3</v>
      </c>
      <c r="P25" s="17"/>
      <c r="Q25" s="17"/>
      <c r="R25" s="17"/>
      <c r="S25" s="17"/>
      <c r="T25" s="20" t="s">
        <v>88</v>
      </c>
      <c r="U25" s="17"/>
      <c r="V25" s="17"/>
      <c r="W25" s="17"/>
      <c r="X25" s="17"/>
      <c r="Y25" s="17"/>
      <c r="Z25" s="17"/>
      <c r="AA25" s="17"/>
      <c r="AB25" s="18"/>
    </row>
    <row r="26" spans="1:28" x14ac:dyDescent="0.2">
      <c r="N26" s="19" t="s">
        <v>94</v>
      </c>
      <c r="O26" s="109">
        <f>U28</f>
        <v>1.0610542588097914E-3</v>
      </c>
      <c r="P26" s="17"/>
      <c r="Q26" s="17"/>
      <c r="R26" s="17"/>
      <c r="S26" s="17"/>
      <c r="T26" s="17" t="s">
        <v>79</v>
      </c>
      <c r="U26" s="17">
        <f>U24</f>
        <v>2.0376976874642197E-2</v>
      </c>
      <c r="V26" s="17" t="s">
        <v>32</v>
      </c>
      <c r="W26" s="59">
        <f>W24</f>
        <v>6.1573629006217541</v>
      </c>
      <c r="X26" s="17" t="s">
        <v>31</v>
      </c>
      <c r="Y26" s="17" t="s">
        <v>40</v>
      </c>
      <c r="Z26" s="59">
        <f>Z24</f>
        <v>13.047099741561613</v>
      </c>
      <c r="AA26" s="17" t="s">
        <v>31</v>
      </c>
      <c r="AB26" s="18" t="s">
        <v>82</v>
      </c>
    </row>
    <row r="27" spans="1:28" x14ac:dyDescent="0.2">
      <c r="N27" s="16" t="s">
        <v>95</v>
      </c>
      <c r="O27" s="115">
        <f>O25/365</f>
        <v>7.5249612262346998E-6</v>
      </c>
      <c r="P27" s="17"/>
      <c r="Q27" s="17"/>
      <c r="R27" s="17"/>
      <c r="S27" s="17"/>
      <c r="T27" s="17" t="s">
        <v>80</v>
      </c>
      <c r="U27" s="59">
        <f>U26</f>
        <v>2.0376976874642197E-2</v>
      </c>
      <c r="V27" s="21" t="s">
        <v>32</v>
      </c>
      <c r="W27" s="59">
        <f>W26+Z26</f>
        <v>19.204462642183366</v>
      </c>
      <c r="X27" s="17" t="s">
        <v>31</v>
      </c>
      <c r="Y27" s="17"/>
      <c r="Z27" s="17"/>
      <c r="AA27" s="17"/>
      <c r="AB27" s="18" t="s">
        <v>83</v>
      </c>
    </row>
    <row r="28" spans="1:28" x14ac:dyDescent="0.2">
      <c r="N28" s="16" t="s">
        <v>96</v>
      </c>
      <c r="O28" s="115">
        <f>O26/365</f>
        <v>2.9069979693418943E-6</v>
      </c>
      <c r="P28" s="17"/>
      <c r="Q28" s="17"/>
      <c r="R28" s="17"/>
      <c r="S28" s="17"/>
      <c r="T28" s="17" t="s">
        <v>81</v>
      </c>
      <c r="U28" s="20">
        <f>U27/W27</f>
        <v>1.0610542588097914E-3</v>
      </c>
      <c r="V28" s="21" t="s">
        <v>32</v>
      </c>
      <c r="W28" s="17" t="s">
        <v>31</v>
      </c>
      <c r="X28" s="17"/>
      <c r="Y28" s="17"/>
      <c r="Z28" s="17"/>
      <c r="AA28" s="17"/>
      <c r="AB28" s="18"/>
    </row>
    <row r="29" spans="1:28" x14ac:dyDescent="0.2">
      <c r="N29" s="19"/>
      <c r="O29" s="109"/>
      <c r="P29" s="17"/>
      <c r="Q29" s="17"/>
      <c r="R29" s="17"/>
      <c r="S29" s="17"/>
      <c r="T29" s="17"/>
      <c r="U29" s="17"/>
      <c r="V29" s="17"/>
      <c r="W29" s="17"/>
      <c r="X29" s="17"/>
      <c r="Y29" s="17"/>
      <c r="Z29" s="17"/>
      <c r="AA29" s="17"/>
      <c r="AB29" s="18"/>
    </row>
    <row r="30" spans="1:28" x14ac:dyDescent="0.2">
      <c r="J30" s="6" t="s">
        <v>118</v>
      </c>
      <c r="N30" s="19"/>
      <c r="O30" s="109"/>
      <c r="P30" s="17"/>
      <c r="Q30" s="17"/>
      <c r="R30" s="17"/>
      <c r="S30" s="17"/>
      <c r="T30" s="17" t="s">
        <v>84</v>
      </c>
      <c r="U30" s="17">
        <f>U23</f>
        <v>4.2368601808316912E-2</v>
      </c>
      <c r="V30" s="17" t="s">
        <v>32</v>
      </c>
      <c r="W30" s="17">
        <f>W23</f>
        <v>13.047099741561613</v>
      </c>
      <c r="X30" s="17" t="s">
        <v>30</v>
      </c>
      <c r="Y30" s="17" t="s">
        <v>40</v>
      </c>
      <c r="Z30" s="17">
        <f>Z23</f>
        <v>6.1573629006217541</v>
      </c>
      <c r="AA30" s="59" t="s">
        <v>31</v>
      </c>
      <c r="AB30" s="18" t="s">
        <v>89</v>
      </c>
    </row>
    <row r="31" spans="1:28" x14ac:dyDescent="0.2">
      <c r="J31" t="s">
        <v>119</v>
      </c>
      <c r="N31" s="19"/>
      <c r="O31" s="109"/>
      <c r="P31" s="17"/>
      <c r="Q31" s="17"/>
      <c r="R31" s="17"/>
      <c r="S31" s="17"/>
      <c r="T31" s="17" t="s">
        <v>85</v>
      </c>
      <c r="U31" s="17">
        <f>U30</f>
        <v>4.2368601808316912E-2</v>
      </c>
      <c r="V31" s="17" t="s">
        <v>32</v>
      </c>
      <c r="W31" s="17">
        <f>W30</f>
        <v>13.047099741561613</v>
      </c>
      <c r="X31" s="17" t="s">
        <v>30</v>
      </c>
      <c r="Y31" s="17" t="s">
        <v>40</v>
      </c>
      <c r="Z31" s="59">
        <f>Z30</f>
        <v>6.1573629006217541</v>
      </c>
      <c r="AA31" s="59">
        <f>U28</f>
        <v>1.0610542588097914E-3</v>
      </c>
      <c r="AB31" s="18" t="s">
        <v>90</v>
      </c>
    </row>
    <row r="32" spans="1:28" x14ac:dyDescent="0.2">
      <c r="J32" t="s">
        <v>120</v>
      </c>
      <c r="N32" s="19"/>
      <c r="O32" s="109"/>
      <c r="P32" s="17"/>
      <c r="Q32" s="17"/>
      <c r="R32" s="17"/>
      <c r="S32" s="17"/>
      <c r="T32" s="17" t="s">
        <v>86</v>
      </c>
      <c r="U32" s="59">
        <f>U31</f>
        <v>4.2368601808316912E-2</v>
      </c>
      <c r="V32" s="17" t="s">
        <v>32</v>
      </c>
      <c r="W32" s="17">
        <f>W31</f>
        <v>13.047099741561613</v>
      </c>
      <c r="X32" s="17" t="s">
        <v>30</v>
      </c>
      <c r="Y32" s="17" t="s">
        <v>40</v>
      </c>
      <c r="Z32" s="59">
        <f>Z31*AA31</f>
        <v>6.5332961287421221E-3</v>
      </c>
      <c r="AA32" s="17"/>
      <c r="AB32" s="18" t="s">
        <v>91</v>
      </c>
    </row>
    <row r="33" spans="10:28" x14ac:dyDescent="0.2">
      <c r="J33" t="s">
        <v>121</v>
      </c>
      <c r="N33" s="19"/>
      <c r="O33" s="109"/>
      <c r="P33" s="17"/>
      <c r="Q33" s="17"/>
      <c r="R33" s="17"/>
      <c r="S33" s="17"/>
      <c r="T33" s="17" t="s">
        <v>87</v>
      </c>
      <c r="U33" s="59">
        <f>U32-Z32</f>
        <v>3.583530567957479E-2</v>
      </c>
      <c r="V33" s="21" t="s">
        <v>32</v>
      </c>
      <c r="W33" s="59">
        <f>W32</f>
        <v>13.047099741561613</v>
      </c>
      <c r="X33" s="17" t="s">
        <v>30</v>
      </c>
      <c r="Y33" s="17"/>
      <c r="Z33" s="17"/>
      <c r="AA33" s="17"/>
      <c r="AB33" s="18" t="s">
        <v>83</v>
      </c>
    </row>
    <row r="34" spans="10:28" x14ac:dyDescent="0.2">
      <c r="J34" t="s">
        <v>123</v>
      </c>
      <c r="N34" s="22"/>
      <c r="O34" s="110"/>
      <c r="P34" s="13"/>
      <c r="Q34" s="13"/>
      <c r="R34" s="13"/>
      <c r="S34" s="13"/>
      <c r="T34" s="13" t="s">
        <v>92</v>
      </c>
      <c r="U34" s="60">
        <f>U33/W33</f>
        <v>2.7466108475756655E-3</v>
      </c>
      <c r="V34" s="12" t="s">
        <v>32</v>
      </c>
      <c r="W34" s="13" t="s">
        <v>30</v>
      </c>
      <c r="X34" s="13"/>
      <c r="Y34" s="13"/>
      <c r="Z34" s="13"/>
      <c r="AA34" s="13"/>
      <c r="AB34" s="14"/>
    </row>
    <row r="36" spans="10:28" x14ac:dyDescent="0.2">
      <c r="N36" s="6" t="s">
        <v>98</v>
      </c>
    </row>
    <row r="37" spans="10:28" x14ac:dyDescent="0.2">
      <c r="N37" s="8" t="s">
        <v>99</v>
      </c>
      <c r="O37" s="107"/>
      <c r="P37" s="10"/>
      <c r="Q37" s="10"/>
      <c r="R37" s="11"/>
    </row>
    <row r="38" spans="10:28" x14ac:dyDescent="0.2">
      <c r="N38" s="85" t="s">
        <v>41</v>
      </c>
      <c r="O38" s="116" t="s">
        <v>42</v>
      </c>
      <c r="P38" s="17"/>
      <c r="Q38" s="17" t="s">
        <v>47</v>
      </c>
      <c r="R38" s="18" t="s">
        <v>48</v>
      </c>
    </row>
    <row r="39" spans="10:28" x14ac:dyDescent="0.2">
      <c r="N39" s="86" t="s">
        <v>43</v>
      </c>
      <c r="O39" s="117" t="s">
        <v>44</v>
      </c>
      <c r="P39" s="17"/>
      <c r="Q39" s="17" t="s">
        <v>49</v>
      </c>
      <c r="R39" s="18" t="s">
        <v>50</v>
      </c>
    </row>
    <row r="40" spans="10:28" x14ac:dyDescent="0.2">
      <c r="N40" s="87"/>
      <c r="O40" s="109"/>
      <c r="P40" s="17"/>
      <c r="Q40" s="17"/>
      <c r="R40" s="18"/>
    </row>
    <row r="41" spans="10:28" x14ac:dyDescent="0.2">
      <c r="N41" s="85" t="s">
        <v>41</v>
      </c>
      <c r="O41" s="115">
        <f>K20*K12*K16</f>
        <v>1.2858653743389854</v>
      </c>
      <c r="P41" s="17"/>
      <c r="Q41" s="17"/>
      <c r="R41" s="18"/>
    </row>
    <row r="42" spans="10:28" x14ac:dyDescent="0.2">
      <c r="N42" s="88" t="s">
        <v>42</v>
      </c>
      <c r="O42" s="115">
        <f>K21*K12*K16</f>
        <v>0.4967478130011429</v>
      </c>
      <c r="P42" s="17"/>
      <c r="Q42" s="17"/>
      <c r="R42" s="18"/>
    </row>
    <row r="43" spans="10:28" x14ac:dyDescent="0.2">
      <c r="N43" s="86" t="s">
        <v>43</v>
      </c>
      <c r="O43" s="115">
        <f>K21*K13*K16</f>
        <v>1.0555891026274287</v>
      </c>
      <c r="P43" s="17"/>
      <c r="Q43" s="17"/>
      <c r="R43" s="18"/>
    </row>
    <row r="44" spans="10:28" x14ac:dyDescent="0.2">
      <c r="N44" s="89" t="s">
        <v>44</v>
      </c>
      <c r="O44" s="118">
        <f>K21*K13*K16</f>
        <v>1.0555891026274287</v>
      </c>
      <c r="P44" s="13"/>
      <c r="Q44" s="13"/>
      <c r="R44" s="14"/>
    </row>
    <row r="46" spans="10:28" x14ac:dyDescent="0.2">
      <c r="N46" s="6" t="s">
        <v>116</v>
      </c>
    </row>
    <row r="47" spans="10:28" x14ac:dyDescent="0.2">
      <c r="N47" s="15" t="s">
        <v>122</v>
      </c>
      <c r="O47" s="107"/>
      <c r="P47" s="10"/>
      <c r="Q47" s="15" t="s">
        <v>156</v>
      </c>
      <c r="R47" s="11"/>
    </row>
    <row r="48" spans="10:28" x14ac:dyDescent="0.2">
      <c r="N48" s="90" t="s">
        <v>124</v>
      </c>
      <c r="O48" s="109">
        <f>AB50</f>
        <v>17344.79853597</v>
      </c>
      <c r="P48" s="17"/>
      <c r="Q48" s="96" t="s">
        <v>130</v>
      </c>
      <c r="R48" s="18">
        <f>AB52</f>
        <v>17345.86419565</v>
      </c>
      <c r="Z48" s="6" t="s">
        <v>168</v>
      </c>
    </row>
    <row r="49" spans="9:33" x14ac:dyDescent="0.2">
      <c r="N49" s="90" t="s">
        <v>125</v>
      </c>
      <c r="O49" s="109">
        <f>AC50</f>
        <v>8.1826840599999997</v>
      </c>
      <c r="P49" s="17"/>
      <c r="Q49" s="96" t="s">
        <v>131</v>
      </c>
      <c r="R49" s="18">
        <f>AC52</f>
        <v>8.1700714300000001</v>
      </c>
      <c r="Z49" t="s">
        <v>163</v>
      </c>
      <c r="AA49" t="s">
        <v>164</v>
      </c>
      <c r="AB49" t="s">
        <v>165</v>
      </c>
      <c r="AC49" t="s">
        <v>166</v>
      </c>
      <c r="AD49" t="s">
        <v>167</v>
      </c>
      <c r="AE49" t="s">
        <v>183</v>
      </c>
    </row>
    <row r="50" spans="9:33" x14ac:dyDescent="0.2">
      <c r="N50" s="90" t="s">
        <v>126</v>
      </c>
      <c r="O50" s="109">
        <f>AD50</f>
        <v>9388.4143703099999</v>
      </c>
      <c r="P50" s="17"/>
      <c r="Q50" s="96" t="s">
        <v>132</v>
      </c>
      <c r="R50" s="18">
        <f>AD52</f>
        <v>9387.3612244300002</v>
      </c>
      <c r="Z50">
        <v>109500</v>
      </c>
      <c r="AA50">
        <v>300</v>
      </c>
      <c r="AB50">
        <v>17344.79853597</v>
      </c>
      <c r="AC50">
        <v>8.1826840599999997</v>
      </c>
      <c r="AD50">
        <v>9388.4143703099999</v>
      </c>
      <c r="AE50">
        <v>26741.395590339998</v>
      </c>
    </row>
    <row r="51" spans="9:33" x14ac:dyDescent="0.2">
      <c r="N51" s="91" t="s">
        <v>127</v>
      </c>
      <c r="O51" s="109">
        <f>AB54</f>
        <v>23963.430334460001</v>
      </c>
      <c r="P51" s="17"/>
      <c r="Q51" s="97" t="s">
        <v>133</v>
      </c>
      <c r="R51" s="18">
        <f>AB56</f>
        <v>23964.155582949999</v>
      </c>
      <c r="Z51" t="s">
        <v>163</v>
      </c>
      <c r="AA51" t="s">
        <v>164</v>
      </c>
      <c r="AB51" t="s">
        <v>165</v>
      </c>
      <c r="AC51" t="s">
        <v>166</v>
      </c>
      <c r="AD51" t="s">
        <v>167</v>
      </c>
      <c r="AE51" t="s">
        <v>183</v>
      </c>
    </row>
    <row r="52" spans="9:33" x14ac:dyDescent="0.2">
      <c r="N52" s="91" t="s">
        <v>128</v>
      </c>
      <c r="O52" s="109">
        <f>AC54</f>
        <v>5.8956198899999999</v>
      </c>
      <c r="P52" s="17"/>
      <c r="Q52" s="97" t="s">
        <v>134</v>
      </c>
      <c r="R52" s="18">
        <f>AC56</f>
        <v>5.8863050299999999</v>
      </c>
      <c r="Z52">
        <v>113150</v>
      </c>
      <c r="AA52">
        <v>310</v>
      </c>
      <c r="AB52">
        <v>17345.86419565</v>
      </c>
      <c r="AC52">
        <v>8.1700714300000001</v>
      </c>
      <c r="AD52">
        <v>9387.3612244300002</v>
      </c>
      <c r="AE52">
        <v>26741.39549151</v>
      </c>
    </row>
    <row r="53" spans="9:33" x14ac:dyDescent="0.2">
      <c r="J53" s="6"/>
      <c r="N53" s="91" t="s">
        <v>129</v>
      </c>
      <c r="O53" s="109">
        <f>AD54</f>
        <v>36553.580957819999</v>
      </c>
      <c r="P53" s="17"/>
      <c r="Q53" s="97" t="s">
        <v>135</v>
      </c>
      <c r="R53" s="18">
        <f>AD56</f>
        <v>36552.261937880001</v>
      </c>
      <c r="Z53" t="s">
        <v>163</v>
      </c>
      <c r="AA53" t="s">
        <v>164</v>
      </c>
      <c r="AB53" t="s">
        <v>169</v>
      </c>
      <c r="AC53" t="s">
        <v>170</v>
      </c>
      <c r="AD53" t="s">
        <v>171</v>
      </c>
      <c r="AE53" t="s">
        <v>184</v>
      </c>
    </row>
    <row r="54" spans="9:33" x14ac:dyDescent="0.2">
      <c r="N54" s="92" t="s">
        <v>137</v>
      </c>
      <c r="O54" s="109">
        <f>AB58</f>
        <v>0.64861232000000002</v>
      </c>
      <c r="P54" s="17"/>
      <c r="Q54" s="98" t="s">
        <v>141</v>
      </c>
      <c r="R54" s="18">
        <f>AB60</f>
        <v>0.64865216999999997</v>
      </c>
      <c r="Z54">
        <v>109500</v>
      </c>
      <c r="AA54">
        <v>300</v>
      </c>
      <c r="AB54">
        <v>23963.430334460001</v>
      </c>
      <c r="AC54">
        <v>5.8956198899999999</v>
      </c>
      <c r="AD54">
        <v>36553.580957819999</v>
      </c>
      <c r="AE54">
        <v>60522.906912170001</v>
      </c>
    </row>
    <row r="55" spans="9:33" x14ac:dyDescent="0.2">
      <c r="N55" s="90" t="s">
        <v>140</v>
      </c>
      <c r="O55" s="109">
        <f>AC58</f>
        <v>0.35108169</v>
      </c>
      <c r="P55" s="17"/>
      <c r="Q55" s="96" t="s">
        <v>142</v>
      </c>
      <c r="R55" s="18">
        <f>AC60</f>
        <v>0.35104231000000002</v>
      </c>
      <c r="Z55" t="s">
        <v>163</v>
      </c>
      <c r="AA55" t="s">
        <v>164</v>
      </c>
      <c r="AB55" t="s">
        <v>169</v>
      </c>
      <c r="AC55" t="s">
        <v>170</v>
      </c>
      <c r="AD55" t="s">
        <v>171</v>
      </c>
      <c r="AE55" t="s">
        <v>184</v>
      </c>
    </row>
    <row r="56" spans="9:33" x14ac:dyDescent="0.2">
      <c r="N56" s="93" t="s">
        <v>138</v>
      </c>
      <c r="O56" s="109">
        <f>AD58</f>
        <v>0.39593983999999999</v>
      </c>
      <c r="P56" s="17"/>
      <c r="Q56" s="99" t="s">
        <v>143</v>
      </c>
      <c r="R56" s="18">
        <f>AD60</f>
        <v>0.39595576999999998</v>
      </c>
      <c r="Z56">
        <v>113150</v>
      </c>
      <c r="AA56">
        <v>310</v>
      </c>
      <c r="AB56">
        <v>23964.155582949999</v>
      </c>
      <c r="AC56">
        <v>5.8863050299999999</v>
      </c>
      <c r="AD56">
        <v>36552.261937880001</v>
      </c>
      <c r="AE56">
        <v>60522.303825850002</v>
      </c>
    </row>
    <row r="57" spans="9:33" x14ac:dyDescent="0.2">
      <c r="N57" s="94" t="s">
        <v>139</v>
      </c>
      <c r="O57" s="109">
        <f>AE58</f>
        <v>0.60396274000000005</v>
      </c>
      <c r="P57" s="17"/>
      <c r="Q57" s="100" t="s">
        <v>144</v>
      </c>
      <c r="R57" s="18">
        <f>AE60</f>
        <v>0.60394696999999997</v>
      </c>
      <c r="Z57" t="s">
        <v>163</v>
      </c>
      <c r="AA57" t="s">
        <v>164</v>
      </c>
      <c r="AB57" t="s">
        <v>172</v>
      </c>
      <c r="AC57" t="s">
        <v>173</v>
      </c>
      <c r="AD57" t="s">
        <v>174</v>
      </c>
      <c r="AE57" t="s">
        <v>175</v>
      </c>
      <c r="AF57" t="s">
        <v>176</v>
      </c>
      <c r="AG57" t="s">
        <v>177</v>
      </c>
    </row>
    <row r="58" spans="9:33" x14ac:dyDescent="0.2">
      <c r="N58" s="103" t="s">
        <v>136</v>
      </c>
      <c r="O58" s="109">
        <f>AF58</f>
        <v>0.47336915000000002</v>
      </c>
      <c r="P58" s="17"/>
      <c r="Q58" s="105" t="s">
        <v>145</v>
      </c>
      <c r="R58" s="18">
        <f>AF60</f>
        <v>0.47339294999999998</v>
      </c>
      <c r="Z58">
        <v>109500</v>
      </c>
      <c r="AA58">
        <v>300</v>
      </c>
      <c r="AB58">
        <v>0.64861232000000002</v>
      </c>
      <c r="AC58">
        <v>0.35108169</v>
      </c>
      <c r="AD58">
        <v>0.39593983999999999</v>
      </c>
      <c r="AE58">
        <v>0.60396274000000005</v>
      </c>
      <c r="AF58">
        <v>0.47336915000000002</v>
      </c>
      <c r="AG58">
        <v>0.52646952000000002</v>
      </c>
    </row>
    <row r="59" spans="9:33" x14ac:dyDescent="0.2">
      <c r="N59" s="103" t="s">
        <v>157</v>
      </c>
      <c r="O59" s="106">
        <f>AG58</f>
        <v>0.52646952000000002</v>
      </c>
      <c r="P59" s="71"/>
      <c r="Q59" s="104" t="s">
        <v>158</v>
      </c>
      <c r="R59" s="18">
        <f>AG60</f>
        <v>0.52644597000000004</v>
      </c>
      <c r="Z59" t="s">
        <v>163</v>
      </c>
      <c r="AA59" t="s">
        <v>164</v>
      </c>
      <c r="AB59" t="s">
        <v>172</v>
      </c>
      <c r="AC59" t="s">
        <v>173</v>
      </c>
      <c r="AD59" t="s">
        <v>174</v>
      </c>
      <c r="AE59" t="s">
        <v>175</v>
      </c>
      <c r="AF59" t="s">
        <v>176</v>
      </c>
      <c r="AG59" t="s">
        <v>177</v>
      </c>
    </row>
    <row r="60" spans="9:33" x14ac:dyDescent="0.2">
      <c r="J60" s="6"/>
      <c r="N60" s="95" t="s">
        <v>146</v>
      </c>
      <c r="O60" s="109">
        <f>AB62</f>
        <v>5.1039327800000001</v>
      </c>
      <c r="P60" s="17"/>
      <c r="Q60" s="101" t="s">
        <v>149</v>
      </c>
      <c r="R60" s="18">
        <f>AB64</f>
        <v>5.0963358699999999</v>
      </c>
      <c r="S60">
        <f>R60*365</f>
        <v>1860.16259255</v>
      </c>
      <c r="Z60">
        <v>113150</v>
      </c>
      <c r="AA60">
        <v>310</v>
      </c>
      <c r="AB60">
        <v>0.64865216999999997</v>
      </c>
      <c r="AC60">
        <v>0.35104231000000002</v>
      </c>
      <c r="AD60">
        <v>0.39595576999999998</v>
      </c>
      <c r="AE60">
        <v>0.60394696999999997</v>
      </c>
      <c r="AF60">
        <v>0.47339294999999998</v>
      </c>
      <c r="AG60">
        <v>0.52644597000000004</v>
      </c>
    </row>
    <row r="61" spans="9:33" x14ac:dyDescent="0.2">
      <c r="I61" s="6"/>
      <c r="N61" s="91" t="s">
        <v>147</v>
      </c>
      <c r="O61" s="109">
        <f>AC62</f>
        <v>1.6220809899999999</v>
      </c>
      <c r="P61" s="17"/>
      <c r="Q61" s="97" t="s">
        <v>150</v>
      </c>
      <c r="R61" s="18">
        <f>AC64</f>
        <v>1.6196196899999999</v>
      </c>
      <c r="Z61" t="s">
        <v>163</v>
      </c>
      <c r="AA61" t="s">
        <v>164</v>
      </c>
      <c r="AB61" t="s">
        <v>178</v>
      </c>
      <c r="AC61" t="s">
        <v>179</v>
      </c>
      <c r="AD61" t="s">
        <v>180</v>
      </c>
    </row>
    <row r="62" spans="9:33" x14ac:dyDescent="0.2">
      <c r="M62">
        <f>O62*365</f>
        <v>2454.99502605</v>
      </c>
      <c r="N62" s="103" t="s">
        <v>148</v>
      </c>
      <c r="O62" s="109">
        <f>AD62</f>
        <v>6.7260137699999998</v>
      </c>
      <c r="P62" s="17"/>
      <c r="Q62" s="105" t="s">
        <v>151</v>
      </c>
      <c r="R62" s="18">
        <f>AD64</f>
        <v>6.7159555600000003</v>
      </c>
      <c r="Z62">
        <v>109500</v>
      </c>
      <c r="AA62">
        <v>300</v>
      </c>
      <c r="AB62">
        <v>5.1039327800000001</v>
      </c>
      <c r="AC62">
        <v>1.6220809899999999</v>
      </c>
      <c r="AD62">
        <v>6.7260137699999998</v>
      </c>
    </row>
    <row r="63" spans="9:33" x14ac:dyDescent="0.2">
      <c r="N63" s="90" t="s">
        <v>152</v>
      </c>
      <c r="O63" s="109">
        <f>AB66</f>
        <v>7.8689999999999994E-5</v>
      </c>
      <c r="P63" s="17"/>
      <c r="Q63" s="96" t="s">
        <v>154</v>
      </c>
      <c r="R63" s="18">
        <f>AB68</f>
        <v>7.8570000000000002E-5</v>
      </c>
      <c r="S63" s="121">
        <f>R63</f>
        <v>7.8570000000000002E-5</v>
      </c>
      <c r="T63" s="121"/>
      <c r="Z63" t="s">
        <v>163</v>
      </c>
      <c r="AA63" t="s">
        <v>164</v>
      </c>
      <c r="AB63" t="s">
        <v>178</v>
      </c>
      <c r="AC63" t="s">
        <v>179</v>
      </c>
      <c r="AD63" t="s">
        <v>180</v>
      </c>
    </row>
    <row r="64" spans="9:33" x14ac:dyDescent="0.2">
      <c r="N64" s="95" t="s">
        <v>153</v>
      </c>
      <c r="O64" s="109">
        <f>AC66</f>
        <v>4.0970000000000002E-5</v>
      </c>
      <c r="P64" s="17"/>
      <c r="Q64" s="101" t="s">
        <v>155</v>
      </c>
      <c r="R64" s="18">
        <f>AC68</f>
        <v>4.0899999999999998E-5</v>
      </c>
      <c r="S64" s="121">
        <f>R64</f>
        <v>4.0899999999999998E-5</v>
      </c>
      <c r="Z64">
        <v>113150</v>
      </c>
      <c r="AA64">
        <v>310</v>
      </c>
      <c r="AB64">
        <v>5.0963358699999999</v>
      </c>
      <c r="AC64">
        <v>1.6196196899999999</v>
      </c>
      <c r="AD64">
        <v>6.7159555600000003</v>
      </c>
    </row>
    <row r="65" spans="9:33" x14ac:dyDescent="0.2">
      <c r="N65" s="22"/>
      <c r="O65" s="110"/>
      <c r="P65" s="13"/>
      <c r="Q65" s="17"/>
      <c r="R65" s="14"/>
      <c r="Z65" t="s">
        <v>163</v>
      </c>
      <c r="AA65" t="s">
        <v>164</v>
      </c>
      <c r="AB65" t="s">
        <v>181</v>
      </c>
      <c r="AC65" t="s">
        <v>182</v>
      </c>
    </row>
    <row r="66" spans="9:33" x14ac:dyDescent="0.2">
      <c r="I66" s="6"/>
      <c r="P66" s="8"/>
      <c r="Q66" s="102" t="s">
        <v>159</v>
      </c>
      <c r="R66" s="11"/>
      <c r="Z66">
        <v>109500</v>
      </c>
      <c r="AA66">
        <v>300</v>
      </c>
      <c r="AB66">
        <v>7.8689999999999994E-5</v>
      </c>
      <c r="AC66">
        <v>4.0970000000000002E-5</v>
      </c>
    </row>
    <row r="67" spans="9:33" x14ac:dyDescent="0.2">
      <c r="P67" s="19"/>
      <c r="Q67" s="96" t="s">
        <v>130</v>
      </c>
      <c r="R67" s="18">
        <f>AB72</f>
        <v>13469.669038149999</v>
      </c>
      <c r="Z67" t="s">
        <v>163</v>
      </c>
      <c r="AA67" t="s">
        <v>164</v>
      </c>
      <c r="AB67" t="s">
        <v>181</v>
      </c>
      <c r="AC67" t="s">
        <v>182</v>
      </c>
    </row>
    <row r="68" spans="9:33" x14ac:dyDescent="0.2">
      <c r="P68" s="19"/>
      <c r="Q68" s="96" t="s">
        <v>131</v>
      </c>
      <c r="R68" s="18">
        <f>AC72</f>
        <v>0</v>
      </c>
      <c r="Z68">
        <v>113150</v>
      </c>
      <c r="AA68">
        <v>310</v>
      </c>
      <c r="AB68">
        <v>7.8570000000000002E-5</v>
      </c>
      <c r="AC68">
        <v>4.0899999999999998E-5</v>
      </c>
    </row>
    <row r="69" spans="9:33" x14ac:dyDescent="0.2">
      <c r="P69" s="19"/>
      <c r="Q69" s="96" t="s">
        <v>132</v>
      </c>
      <c r="R69" s="18">
        <f>AD72</f>
        <v>13271.72645337</v>
      </c>
    </row>
    <row r="70" spans="9:33" x14ac:dyDescent="0.2">
      <c r="P70" s="19"/>
      <c r="Q70" s="97" t="s">
        <v>133</v>
      </c>
      <c r="R70" s="18">
        <f>AB74</f>
        <v>25784.511453200001</v>
      </c>
      <c r="Z70" s="6" t="s">
        <v>159</v>
      </c>
    </row>
    <row r="71" spans="9:33" x14ac:dyDescent="0.2">
      <c r="P71" s="19"/>
      <c r="Q71" s="97" t="s">
        <v>134</v>
      </c>
      <c r="R71" s="18">
        <f>AC74</f>
        <v>0</v>
      </c>
      <c r="Z71" t="s">
        <v>163</v>
      </c>
      <c r="AA71" t="s">
        <v>164</v>
      </c>
      <c r="AB71" t="s">
        <v>165</v>
      </c>
      <c r="AC71" t="s">
        <v>166</v>
      </c>
      <c r="AD71" t="s">
        <v>167</v>
      </c>
      <c r="AE71" t="s">
        <v>183</v>
      </c>
    </row>
    <row r="72" spans="9:33" x14ac:dyDescent="0.2">
      <c r="J72" s="6"/>
      <c r="P72" s="19"/>
      <c r="Q72" s="97" t="s">
        <v>135</v>
      </c>
      <c r="R72" s="18">
        <f>AD74</f>
        <v>34737.792372650001</v>
      </c>
      <c r="Z72">
        <v>113150</v>
      </c>
      <c r="AA72">
        <v>310</v>
      </c>
      <c r="AB72">
        <v>13469.669038149999</v>
      </c>
      <c r="AC72">
        <v>0</v>
      </c>
      <c r="AD72">
        <v>13271.72645337</v>
      </c>
      <c r="AE72">
        <v>26741.39549151</v>
      </c>
    </row>
    <row r="73" spans="9:33" x14ac:dyDescent="0.2">
      <c r="P73" s="19"/>
      <c r="Q73" s="98" t="s">
        <v>141</v>
      </c>
      <c r="R73" s="18">
        <f>AB76</f>
        <v>0.50370104999999998</v>
      </c>
      <c r="Z73" t="s">
        <v>163</v>
      </c>
      <c r="AA73" t="s">
        <v>164</v>
      </c>
      <c r="AB73" t="s">
        <v>169</v>
      </c>
      <c r="AC73" t="s">
        <v>170</v>
      </c>
      <c r="AD73" t="s">
        <v>171</v>
      </c>
      <c r="AE73" t="s">
        <v>184</v>
      </c>
    </row>
    <row r="74" spans="9:33" x14ac:dyDescent="0.2">
      <c r="P74" s="19"/>
      <c r="Q74" s="96" t="s">
        <v>142</v>
      </c>
      <c r="R74" s="18">
        <f>AC76</f>
        <v>0.49629895000000002</v>
      </c>
      <c r="S74">
        <f>0.47-R74</f>
        <v>-2.6298950000000043E-2</v>
      </c>
      <c r="Z74">
        <v>113150</v>
      </c>
      <c r="AA74">
        <v>310</v>
      </c>
      <c r="AB74">
        <v>25784.511453200001</v>
      </c>
      <c r="AC74">
        <v>0</v>
      </c>
      <c r="AD74">
        <v>34737.792372650001</v>
      </c>
      <c r="AE74">
        <v>60522.303825850002</v>
      </c>
    </row>
    <row r="75" spans="9:33" x14ac:dyDescent="0.2">
      <c r="P75" s="19"/>
      <c r="Q75" s="99" t="s">
        <v>143</v>
      </c>
      <c r="R75" s="18">
        <f>AD76</f>
        <v>0.42603321</v>
      </c>
      <c r="Z75" t="s">
        <v>163</v>
      </c>
      <c r="AA75" t="s">
        <v>164</v>
      </c>
      <c r="AB75" t="s">
        <v>172</v>
      </c>
      <c r="AC75" t="s">
        <v>173</v>
      </c>
      <c r="AD75" t="s">
        <v>174</v>
      </c>
      <c r="AE75" t="s">
        <v>175</v>
      </c>
      <c r="AF75" t="s">
        <v>176</v>
      </c>
      <c r="AG75" t="s">
        <v>177</v>
      </c>
    </row>
    <row r="76" spans="9:33" x14ac:dyDescent="0.2">
      <c r="P76" s="19"/>
      <c r="Q76" s="100" t="s">
        <v>144</v>
      </c>
      <c r="R76" s="18">
        <f>AE76</f>
        <v>0.57396678999999995</v>
      </c>
      <c r="Z76">
        <v>113150</v>
      </c>
      <c r="AA76">
        <v>310</v>
      </c>
      <c r="AB76">
        <v>0.50370104999999998</v>
      </c>
      <c r="AC76">
        <v>0.49629895000000002</v>
      </c>
      <c r="AD76">
        <v>0.42603321</v>
      </c>
      <c r="AE76">
        <v>0.57396678999999995</v>
      </c>
      <c r="AF76">
        <v>0.44983402</v>
      </c>
      <c r="AG76">
        <v>0.55016598000000005</v>
      </c>
    </row>
    <row r="77" spans="9:33" x14ac:dyDescent="0.2">
      <c r="P77" s="19"/>
      <c r="Q77" s="105" t="s">
        <v>145</v>
      </c>
      <c r="R77" s="18">
        <f>AF76</f>
        <v>0.44983402</v>
      </c>
      <c r="T77">
        <f>1/1.9</f>
        <v>0.52631578947368418</v>
      </c>
      <c r="Z77" t="s">
        <v>163</v>
      </c>
      <c r="AA77" t="s">
        <v>164</v>
      </c>
      <c r="AB77" t="s">
        <v>178</v>
      </c>
      <c r="AC77" t="s">
        <v>179</v>
      </c>
      <c r="AD77" t="s">
        <v>180</v>
      </c>
    </row>
    <row r="78" spans="9:33" x14ac:dyDescent="0.2">
      <c r="P78" s="119"/>
      <c r="Q78" s="104" t="s">
        <v>158</v>
      </c>
      <c r="R78" s="18">
        <f>AG76</f>
        <v>0.55016598000000005</v>
      </c>
      <c r="Z78">
        <v>113150</v>
      </c>
      <c r="AA78">
        <v>310</v>
      </c>
      <c r="AB78">
        <v>0</v>
      </c>
      <c r="AC78">
        <v>0</v>
      </c>
      <c r="AD78">
        <v>0</v>
      </c>
    </row>
    <row r="79" spans="9:33" x14ac:dyDescent="0.2">
      <c r="P79" s="19"/>
      <c r="Q79" s="101" t="s">
        <v>149</v>
      </c>
      <c r="R79" s="18">
        <f>AB78</f>
        <v>0</v>
      </c>
      <c r="Z79" t="s">
        <v>163</v>
      </c>
      <c r="AA79" t="s">
        <v>164</v>
      </c>
      <c r="AB79" t="s">
        <v>181</v>
      </c>
      <c r="AC79" t="s">
        <v>182</v>
      </c>
    </row>
    <row r="80" spans="9:33" x14ac:dyDescent="0.2">
      <c r="P80" s="19"/>
      <c r="Q80" s="97" t="s">
        <v>150</v>
      </c>
      <c r="R80" s="18">
        <f>AC78</f>
        <v>0</v>
      </c>
      <c r="Z80">
        <v>113150</v>
      </c>
      <c r="AA80">
        <v>310</v>
      </c>
      <c r="AB80">
        <v>0</v>
      </c>
      <c r="AC80">
        <v>0</v>
      </c>
    </row>
    <row r="81" spans="16:33" x14ac:dyDescent="0.2">
      <c r="P81" s="19"/>
      <c r="Q81" s="105" t="s">
        <v>151</v>
      </c>
      <c r="R81" s="18">
        <f>AD78</f>
        <v>0</v>
      </c>
    </row>
    <row r="82" spans="16:33" x14ac:dyDescent="0.2">
      <c r="P82" s="19"/>
      <c r="Q82" s="96" t="s">
        <v>154</v>
      </c>
      <c r="R82" s="18">
        <f>AB80</f>
        <v>0</v>
      </c>
      <c r="Z82" s="6" t="s">
        <v>160</v>
      </c>
    </row>
    <row r="83" spans="16:33" x14ac:dyDescent="0.2">
      <c r="P83" s="19"/>
      <c r="Q83" s="101" t="s">
        <v>155</v>
      </c>
      <c r="R83" s="18">
        <f>AC80</f>
        <v>0</v>
      </c>
      <c r="Z83" t="s">
        <v>163</v>
      </c>
      <c r="AA83" t="s">
        <v>164</v>
      </c>
      <c r="AB83" t="s">
        <v>165</v>
      </c>
      <c r="AC83" t="s">
        <v>166</v>
      </c>
      <c r="AD83" t="s">
        <v>167</v>
      </c>
      <c r="AE83" t="s">
        <v>183</v>
      </c>
    </row>
    <row r="84" spans="16:33" x14ac:dyDescent="0.2">
      <c r="P84" s="22"/>
      <c r="Q84" s="17"/>
      <c r="R84" s="14"/>
      <c r="Z84">
        <v>113150</v>
      </c>
      <c r="AA84">
        <v>310</v>
      </c>
      <c r="AB84">
        <v>18427.98487529</v>
      </c>
      <c r="AC84">
        <v>5.10817239</v>
      </c>
      <c r="AD84">
        <v>8308.3024438400007</v>
      </c>
      <c r="AE84">
        <v>26741.39549151</v>
      </c>
    </row>
    <row r="85" spans="16:33" x14ac:dyDescent="0.2">
      <c r="P85" s="8"/>
      <c r="Q85" s="102" t="s">
        <v>160</v>
      </c>
      <c r="R85" s="11"/>
      <c r="Z85" t="s">
        <v>163</v>
      </c>
      <c r="AA85" t="s">
        <v>164</v>
      </c>
      <c r="AB85" t="s">
        <v>169</v>
      </c>
      <c r="AC85" t="s">
        <v>170</v>
      </c>
      <c r="AD85" t="s">
        <v>171</v>
      </c>
      <c r="AE85" t="s">
        <v>184</v>
      </c>
    </row>
    <row r="86" spans="16:33" x14ac:dyDescent="0.2">
      <c r="P86" s="19"/>
      <c r="Q86" s="96" t="s">
        <v>130</v>
      </c>
      <c r="R86" s="18">
        <f>AB84</f>
        <v>18427.98487529</v>
      </c>
      <c r="Z86">
        <v>113150</v>
      </c>
      <c r="AA86">
        <v>310</v>
      </c>
      <c r="AB86">
        <v>20046.067672509998</v>
      </c>
      <c r="AC86">
        <v>2.7431881900000001</v>
      </c>
      <c r="AD86">
        <v>40473.492965149999</v>
      </c>
      <c r="AE86">
        <v>60522.303825850002</v>
      </c>
    </row>
    <row r="87" spans="16:33" x14ac:dyDescent="0.2">
      <c r="P87" s="19"/>
      <c r="Q87" s="96" t="s">
        <v>131</v>
      </c>
      <c r="R87" s="18">
        <f>AC84</f>
        <v>5.10817239</v>
      </c>
      <c r="Z87" t="s">
        <v>163</v>
      </c>
      <c r="AA87" t="s">
        <v>164</v>
      </c>
      <c r="AB87" t="s">
        <v>172</v>
      </c>
      <c r="AC87" t="s">
        <v>173</v>
      </c>
      <c r="AD87" t="s">
        <v>174</v>
      </c>
      <c r="AE87" t="s">
        <v>175</v>
      </c>
      <c r="AF87" t="s">
        <v>176</v>
      </c>
      <c r="AG87" t="s">
        <v>177</v>
      </c>
    </row>
    <row r="88" spans="16:33" x14ac:dyDescent="0.2">
      <c r="P88" s="19"/>
      <c r="Q88" s="96" t="s">
        <v>132</v>
      </c>
      <c r="R88" s="18">
        <f>AD84</f>
        <v>8308.3024438400007</v>
      </c>
      <c r="Z88">
        <v>113150</v>
      </c>
      <c r="AA88">
        <v>310</v>
      </c>
      <c r="AB88">
        <v>0.68911829999999996</v>
      </c>
      <c r="AC88">
        <v>0.31069068</v>
      </c>
      <c r="AD88">
        <v>0.33121785999999998</v>
      </c>
      <c r="AE88">
        <v>0.66873682000000001</v>
      </c>
      <c r="AF88">
        <v>0.44089413</v>
      </c>
      <c r="AG88">
        <v>0.55901590000000001</v>
      </c>
    </row>
    <row r="89" spans="16:33" x14ac:dyDescent="0.2">
      <c r="P89" s="19"/>
      <c r="Q89" s="97" t="s">
        <v>133</v>
      </c>
      <c r="R89" s="18">
        <f>AB86</f>
        <v>20046.067672509998</v>
      </c>
      <c r="Z89" t="s">
        <v>163</v>
      </c>
      <c r="AA89" t="s">
        <v>164</v>
      </c>
      <c r="AB89" t="s">
        <v>178</v>
      </c>
      <c r="AC89" t="s">
        <v>179</v>
      </c>
      <c r="AD89" t="s">
        <v>180</v>
      </c>
    </row>
    <row r="90" spans="16:33" x14ac:dyDescent="0.2">
      <c r="P90" s="19"/>
      <c r="Q90" s="97" t="s">
        <v>134</v>
      </c>
      <c r="R90" s="18">
        <f>AC86</f>
        <v>2.7431881900000001</v>
      </c>
      <c r="Z90">
        <v>113150</v>
      </c>
      <c r="AA90">
        <v>310</v>
      </c>
      <c r="AB90">
        <v>3.1972424799999999</v>
      </c>
      <c r="AC90">
        <v>0.75674865000000002</v>
      </c>
      <c r="AD90">
        <v>3.95399112</v>
      </c>
    </row>
    <row r="91" spans="16:33" x14ac:dyDescent="0.2">
      <c r="P91" s="19"/>
      <c r="Q91" s="97" t="s">
        <v>135</v>
      </c>
      <c r="R91" s="18">
        <f>AD86</f>
        <v>40473.492965149999</v>
      </c>
      <c r="Z91" t="s">
        <v>163</v>
      </c>
      <c r="AA91" t="s">
        <v>164</v>
      </c>
      <c r="AB91" t="s">
        <v>181</v>
      </c>
      <c r="AC91" t="s">
        <v>182</v>
      </c>
    </row>
    <row r="92" spans="16:33" x14ac:dyDescent="0.2">
      <c r="P92" s="19"/>
      <c r="Q92" s="98" t="s">
        <v>141</v>
      </c>
      <c r="R92" s="18">
        <f>AB88</f>
        <v>0.68911829999999996</v>
      </c>
      <c r="Z92">
        <v>113150</v>
      </c>
      <c r="AA92">
        <v>310</v>
      </c>
      <c r="AB92">
        <v>4.6400000000000003E-5</v>
      </c>
      <c r="AC92">
        <v>2.285E-5</v>
      </c>
    </row>
    <row r="93" spans="16:33" x14ac:dyDescent="0.2">
      <c r="P93" s="19"/>
      <c r="Q93" s="96" t="s">
        <v>142</v>
      </c>
      <c r="R93" s="18">
        <f>AC88</f>
        <v>0.31069068</v>
      </c>
      <c r="S93">
        <f>0.47-R93</f>
        <v>0.15930931999999998</v>
      </c>
    </row>
    <row r="94" spans="16:33" x14ac:dyDescent="0.2">
      <c r="P94" s="19"/>
      <c r="Q94" s="99" t="s">
        <v>143</v>
      </c>
      <c r="R94" s="18">
        <f>AD88</f>
        <v>0.33121785999999998</v>
      </c>
      <c r="Z94" s="6" t="s">
        <v>161</v>
      </c>
    </row>
    <row r="95" spans="16:33" x14ac:dyDescent="0.2">
      <c r="P95" s="19"/>
      <c r="Q95" s="100" t="s">
        <v>144</v>
      </c>
      <c r="R95" s="18">
        <f>AE88</f>
        <v>0.66873682000000001</v>
      </c>
      <c r="Z95" t="s">
        <v>163</v>
      </c>
      <c r="AA95" t="s">
        <v>164</v>
      </c>
      <c r="AB95" t="s">
        <v>165</v>
      </c>
      <c r="AC95" t="s">
        <v>166</v>
      </c>
      <c r="AD95" t="s">
        <v>167</v>
      </c>
      <c r="AE95" t="s">
        <v>183</v>
      </c>
    </row>
    <row r="96" spans="16:33" x14ac:dyDescent="0.2">
      <c r="P96" s="19"/>
      <c r="Q96" s="105" t="s">
        <v>145</v>
      </c>
      <c r="R96" s="18">
        <f>AF88</f>
        <v>0.44089413</v>
      </c>
      <c r="Z96">
        <v>113150</v>
      </c>
      <c r="AA96">
        <v>310</v>
      </c>
      <c r="AB96">
        <v>17091.87584995</v>
      </c>
      <c r="AC96">
        <v>2.6724000000000002E-4</v>
      </c>
      <c r="AD96">
        <v>9649.5193743199998</v>
      </c>
      <c r="AE96">
        <v>26741.39549151</v>
      </c>
    </row>
    <row r="97" spans="15:33" x14ac:dyDescent="0.2">
      <c r="P97" s="119"/>
      <c r="Q97" s="104" t="s">
        <v>158</v>
      </c>
      <c r="R97" s="18">
        <f>AG88</f>
        <v>0.55901590000000001</v>
      </c>
      <c r="Z97" t="s">
        <v>163</v>
      </c>
      <c r="AA97" t="s">
        <v>164</v>
      </c>
      <c r="AB97" t="s">
        <v>169</v>
      </c>
      <c r="AC97" t="s">
        <v>170</v>
      </c>
      <c r="AD97" t="s">
        <v>171</v>
      </c>
      <c r="AE97" t="s">
        <v>184</v>
      </c>
    </row>
    <row r="98" spans="15:33" x14ac:dyDescent="0.2">
      <c r="O98" s="106">
        <f>R98*365</f>
        <v>1166.9935052000001</v>
      </c>
      <c r="P98" s="19"/>
      <c r="Q98" s="101" t="s">
        <v>149</v>
      </c>
      <c r="R98" s="18">
        <f>AB90</f>
        <v>3.1972424799999999</v>
      </c>
      <c r="S98">
        <f>R98*365</f>
        <v>1166.9935052000001</v>
      </c>
      <c r="Z98">
        <v>113150</v>
      </c>
      <c r="AA98">
        <v>310</v>
      </c>
      <c r="AB98">
        <v>24061.924291030002</v>
      </c>
      <c r="AC98">
        <v>1.9713E-4</v>
      </c>
      <c r="AD98">
        <v>36460.379337689999</v>
      </c>
      <c r="AE98">
        <v>60522.303825850002</v>
      </c>
    </row>
    <row r="99" spans="15:33" x14ac:dyDescent="0.2">
      <c r="O99" s="106">
        <f>R99*365</f>
        <v>276.21325725000003</v>
      </c>
      <c r="P99" s="19"/>
      <c r="Q99" s="97" t="s">
        <v>150</v>
      </c>
      <c r="R99" s="18">
        <f>AC90</f>
        <v>0.75674865000000002</v>
      </c>
      <c r="Z99" t="s">
        <v>163</v>
      </c>
      <c r="AA99" t="s">
        <v>164</v>
      </c>
      <c r="AB99" t="s">
        <v>172</v>
      </c>
      <c r="AC99" t="s">
        <v>173</v>
      </c>
      <c r="AD99" t="s">
        <v>174</v>
      </c>
      <c r="AE99" t="s">
        <v>175</v>
      </c>
      <c r="AF99" t="s">
        <v>176</v>
      </c>
      <c r="AG99" t="s">
        <v>177</v>
      </c>
    </row>
    <row r="100" spans="15:33" x14ac:dyDescent="0.2">
      <c r="O100" s="106">
        <f>R100*365</f>
        <v>1443.2067588</v>
      </c>
      <c r="P100" s="19"/>
      <c r="Q100" s="105" t="s">
        <v>151</v>
      </c>
      <c r="R100" s="18">
        <f>AD90</f>
        <v>3.95399112</v>
      </c>
      <c r="Z100">
        <v>113150</v>
      </c>
      <c r="AA100">
        <v>310</v>
      </c>
      <c r="AB100">
        <v>0.63915422</v>
      </c>
      <c r="AC100">
        <v>0.36084577000000001</v>
      </c>
      <c r="AD100">
        <v>0.39757119000000002</v>
      </c>
      <c r="AE100">
        <v>0.60242881000000004</v>
      </c>
      <c r="AF100">
        <v>0.47160275000000001</v>
      </c>
      <c r="AG100">
        <v>0.52839725000000004</v>
      </c>
    </row>
    <row r="101" spans="15:33" x14ac:dyDescent="0.2">
      <c r="P101" s="19"/>
      <c r="Q101" s="96" t="s">
        <v>154</v>
      </c>
      <c r="R101" s="18">
        <f>AB92</f>
        <v>4.6400000000000003E-5</v>
      </c>
      <c r="S101" s="121">
        <f>R101</f>
        <v>4.6400000000000003E-5</v>
      </c>
      <c r="Z101" t="s">
        <v>163</v>
      </c>
      <c r="AA101" t="s">
        <v>164</v>
      </c>
      <c r="AB101" t="s">
        <v>178</v>
      </c>
      <c r="AC101" t="s">
        <v>179</v>
      </c>
      <c r="AD101" t="s">
        <v>180</v>
      </c>
    </row>
    <row r="102" spans="15:33" x14ac:dyDescent="0.2">
      <c r="P102" s="19"/>
      <c r="Q102" s="101" t="s">
        <v>155</v>
      </c>
      <c r="R102" s="18">
        <f>AC92</f>
        <v>2.285E-5</v>
      </c>
      <c r="S102" s="121">
        <f>R102</f>
        <v>2.285E-5</v>
      </c>
      <c r="Z102">
        <v>113150</v>
      </c>
      <c r="AA102">
        <v>310</v>
      </c>
      <c r="AB102">
        <v>1.6511E-4</v>
      </c>
      <c r="AC102">
        <v>5.3730000000000002E-5</v>
      </c>
      <c r="AD102">
        <v>2.1884000000000001E-4</v>
      </c>
    </row>
    <row r="103" spans="15:33" x14ac:dyDescent="0.2">
      <c r="P103" s="22"/>
      <c r="Q103" s="17"/>
      <c r="R103" s="14"/>
      <c r="Z103" t="s">
        <v>163</v>
      </c>
      <c r="AA103" t="s">
        <v>164</v>
      </c>
      <c r="AB103" t="s">
        <v>181</v>
      </c>
      <c r="AC103" t="s">
        <v>182</v>
      </c>
    </row>
    <row r="104" spans="15:33" x14ac:dyDescent="0.2">
      <c r="P104" s="8"/>
      <c r="Q104" s="102" t="s">
        <v>162</v>
      </c>
      <c r="R104" s="11"/>
      <c r="Z104">
        <v>113150</v>
      </c>
      <c r="AA104">
        <v>310</v>
      </c>
      <c r="AB104">
        <v>0</v>
      </c>
      <c r="AC104">
        <v>0</v>
      </c>
    </row>
    <row r="105" spans="15:33" x14ac:dyDescent="0.2">
      <c r="P105" s="19"/>
      <c r="Q105" s="96" t="s">
        <v>130</v>
      </c>
      <c r="R105" s="18">
        <f>AB96</f>
        <v>17091.87584995</v>
      </c>
    </row>
    <row r="106" spans="15:33" x14ac:dyDescent="0.2">
      <c r="P106" s="19"/>
      <c r="Q106" s="96" t="s">
        <v>131</v>
      </c>
      <c r="R106" s="18">
        <f>AC96</f>
        <v>2.6724000000000002E-4</v>
      </c>
      <c r="Z106" t="s">
        <v>187</v>
      </c>
    </row>
    <row r="107" spans="15:33" x14ac:dyDescent="0.2">
      <c r="P107" s="19"/>
      <c r="Q107" s="96" t="s">
        <v>132</v>
      </c>
      <c r="R107" s="18">
        <f>AD96</f>
        <v>9649.5193743199998</v>
      </c>
      <c r="Z107" s="6" t="s">
        <v>186</v>
      </c>
    </row>
    <row r="108" spans="15:33" x14ac:dyDescent="0.2">
      <c r="P108" s="19"/>
      <c r="Q108" s="97" t="s">
        <v>133</v>
      </c>
      <c r="R108" s="18">
        <f>AB98</f>
        <v>24061.924291030002</v>
      </c>
      <c r="Z108" t="s">
        <v>163</v>
      </c>
      <c r="AA108" t="s">
        <v>164</v>
      </c>
      <c r="AB108" t="s">
        <v>185</v>
      </c>
    </row>
    <row r="109" spans="15:33" x14ac:dyDescent="0.2">
      <c r="P109" s="19"/>
      <c r="Q109" s="97" t="s">
        <v>134</v>
      </c>
      <c r="R109" s="18">
        <f>AC98</f>
        <v>1.9713E-4</v>
      </c>
      <c r="Z109">
        <v>113150</v>
      </c>
      <c r="AA109">
        <v>310</v>
      </c>
      <c r="AB109">
        <v>50989.27956037</v>
      </c>
    </row>
    <row r="110" spans="15:33" x14ac:dyDescent="0.2">
      <c r="P110" s="19"/>
      <c r="Q110" s="97" t="s">
        <v>135</v>
      </c>
      <c r="R110" s="18">
        <f>AD98</f>
        <v>36460.379337689999</v>
      </c>
    </row>
    <row r="111" spans="15:33" x14ac:dyDescent="0.2">
      <c r="P111" s="19"/>
      <c r="Q111" s="98" t="s">
        <v>141</v>
      </c>
      <c r="R111" s="18">
        <f>AB100</f>
        <v>0.63915422</v>
      </c>
      <c r="Z111" s="6" t="s">
        <v>159</v>
      </c>
    </row>
    <row r="112" spans="15:33" x14ac:dyDescent="0.2">
      <c r="P112" s="19"/>
      <c r="Q112" s="96" t="s">
        <v>142</v>
      </c>
      <c r="R112" s="18">
        <f>AC100</f>
        <v>0.36084577000000001</v>
      </c>
      <c r="S112">
        <f>0.47-R112</f>
        <v>0.10915422999999996</v>
      </c>
      <c r="Z112" t="s">
        <v>163</v>
      </c>
      <c r="AA112" t="s">
        <v>164</v>
      </c>
      <c r="AB112" t="s">
        <v>185</v>
      </c>
    </row>
    <row r="113" spans="15:28" x14ac:dyDescent="0.2">
      <c r="P113" s="19"/>
      <c r="Q113" s="99" t="s">
        <v>143</v>
      </c>
      <c r="R113" s="18">
        <f>AD100</f>
        <v>0.39757119000000002</v>
      </c>
      <c r="Z113">
        <v>113150</v>
      </c>
      <c r="AA113">
        <v>310</v>
      </c>
      <c r="AB113">
        <v>4452.2080230199999</v>
      </c>
    </row>
    <row r="114" spans="15:28" x14ac:dyDescent="0.2">
      <c r="P114" s="19"/>
      <c r="Q114" s="100" t="s">
        <v>144</v>
      </c>
      <c r="R114" s="18">
        <f>AE100</f>
        <v>0.60242881000000004</v>
      </c>
    </row>
    <row r="115" spans="15:28" x14ac:dyDescent="0.2">
      <c r="P115" s="19"/>
      <c r="Q115" s="105" t="s">
        <v>145</v>
      </c>
      <c r="R115" s="18">
        <f>AF100</f>
        <v>0.47160275000000001</v>
      </c>
      <c r="Z115" s="6" t="s">
        <v>160</v>
      </c>
    </row>
    <row r="116" spans="15:28" x14ac:dyDescent="0.2">
      <c r="P116" s="119"/>
      <c r="Q116" s="104" t="s">
        <v>158</v>
      </c>
      <c r="R116" s="18">
        <f>AG100</f>
        <v>0.52839725000000004</v>
      </c>
      <c r="Z116" t="s">
        <v>163</v>
      </c>
      <c r="AA116" t="s">
        <v>164</v>
      </c>
      <c r="AB116" t="s">
        <v>185</v>
      </c>
    </row>
    <row r="117" spans="15:28" x14ac:dyDescent="0.2">
      <c r="O117" s="106">
        <f>R117*365</f>
        <v>6.0265149999999996E-2</v>
      </c>
      <c r="P117" s="19"/>
      <c r="Q117" s="101" t="s">
        <v>149</v>
      </c>
      <c r="R117" s="18">
        <f>AB102</f>
        <v>1.6511E-4</v>
      </c>
      <c r="S117" s="121">
        <f>R117</f>
        <v>1.6511E-4</v>
      </c>
      <c r="Z117">
        <v>113150</v>
      </c>
      <c r="AA117">
        <v>310</v>
      </c>
      <c r="AB117">
        <v>34847.160280830001</v>
      </c>
    </row>
    <row r="118" spans="15:28" x14ac:dyDescent="0.2">
      <c r="O118" s="106">
        <f>R118*365</f>
        <v>1.9611450000000002E-2</v>
      </c>
      <c r="P118" s="19"/>
      <c r="Q118" s="97" t="s">
        <v>150</v>
      </c>
      <c r="R118" s="18">
        <f>AC102</f>
        <v>5.3730000000000002E-5</v>
      </c>
      <c r="S118" s="121">
        <f t="shared" ref="S118:S119" si="4">R118</f>
        <v>5.3730000000000002E-5</v>
      </c>
    </row>
    <row r="119" spans="15:28" x14ac:dyDescent="0.2">
      <c r="O119" s="106">
        <f>R119*365</f>
        <v>7.9876600000000006E-2</v>
      </c>
      <c r="P119" s="19"/>
      <c r="Q119" s="105" t="s">
        <v>151</v>
      </c>
      <c r="R119" s="18">
        <f>AD102</f>
        <v>2.1884000000000001E-4</v>
      </c>
      <c r="S119" s="121">
        <f t="shared" si="4"/>
        <v>2.1884000000000001E-4</v>
      </c>
      <c r="Z119" s="6" t="s">
        <v>161</v>
      </c>
    </row>
    <row r="120" spans="15:28" x14ac:dyDescent="0.2">
      <c r="P120" s="19"/>
      <c r="Q120" s="96" t="s">
        <v>154</v>
      </c>
      <c r="R120" s="18">
        <f>AB104</f>
        <v>0</v>
      </c>
      <c r="Z120" t="s">
        <v>163</v>
      </c>
      <c r="AA120" t="s">
        <v>164</v>
      </c>
      <c r="AB120" t="s">
        <v>185</v>
      </c>
    </row>
    <row r="121" spans="15:28" x14ac:dyDescent="0.2">
      <c r="P121" s="19"/>
      <c r="Q121" s="101" t="s">
        <v>155</v>
      </c>
      <c r="R121" s="18">
        <f>AC104</f>
        <v>0</v>
      </c>
      <c r="Z121">
        <v>113150</v>
      </c>
      <c r="AA121">
        <v>310</v>
      </c>
      <c r="AB121">
        <v>6272.6007411399996</v>
      </c>
    </row>
    <row r="122" spans="15:28" x14ac:dyDescent="0.2">
      <c r="P122" s="22"/>
      <c r="Q122" s="13"/>
      <c r="R122" s="14"/>
    </row>
    <row r="127" spans="15:28" x14ac:dyDescent="0.2">
      <c r="S127">
        <f>1/1.9</f>
        <v>0.52631578947368418</v>
      </c>
    </row>
  </sheetData>
  <mergeCells count="2">
    <mergeCell ref="G9:H9"/>
    <mergeCell ref="G10:H10"/>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99583-3C07-694A-BE97-D94E822818D9}">
  <dimension ref="A1:AB13"/>
  <sheetViews>
    <sheetView workbookViewId="0">
      <selection activeCell="Z11" sqref="Z11"/>
    </sheetView>
  </sheetViews>
  <sheetFormatPr baseColWidth="10" defaultColWidth="8.83203125" defaultRowHeight="16" x14ac:dyDescent="0.2"/>
  <cols>
    <col min="4" max="4" width="32.5" customWidth="1"/>
    <col min="5" max="5" width="9.6640625" customWidth="1"/>
    <col min="6" max="6" width="9.1640625" customWidth="1"/>
    <col min="7" max="7" width="8.6640625" customWidth="1"/>
    <col min="8" max="8" width="9.5" customWidth="1"/>
    <col min="9" max="26" width="8.6640625" customWidth="1"/>
  </cols>
  <sheetData>
    <row r="1" spans="1:28" ht="14.25" customHeight="1" x14ac:dyDescent="0.2">
      <c r="H1" s="61"/>
    </row>
    <row r="2" spans="1:28" ht="26" x14ac:dyDescent="0.3">
      <c r="B2" s="62" t="s">
        <v>102</v>
      </c>
      <c r="E2" s="155"/>
      <c r="F2" s="155"/>
      <c r="G2" s="155"/>
      <c r="H2" s="155"/>
      <c r="I2" s="155"/>
      <c r="J2" s="155"/>
      <c r="K2" s="155"/>
      <c r="L2" s="155"/>
      <c r="M2" s="155"/>
      <c r="N2" s="155"/>
      <c r="O2" s="155"/>
      <c r="P2" s="63"/>
      <c r="Q2" s="63"/>
      <c r="R2" s="63"/>
      <c r="S2" s="63"/>
      <c r="T2" s="63"/>
      <c r="U2" s="63"/>
      <c r="V2" s="63"/>
      <c r="W2" s="63"/>
      <c r="X2" s="63"/>
      <c r="Y2" s="63"/>
      <c r="Z2" s="63"/>
    </row>
    <row r="3" spans="1:28" ht="20" x14ac:dyDescent="0.25">
      <c r="B3" t="s">
        <v>5</v>
      </c>
      <c r="C3" t="s">
        <v>6</v>
      </c>
      <c r="F3" s="64">
        <v>0</v>
      </c>
      <c r="G3" s="64">
        <v>1</v>
      </c>
      <c r="H3" s="64">
        <v>2</v>
      </c>
      <c r="I3" s="64">
        <v>3</v>
      </c>
      <c r="J3" s="64">
        <v>4</v>
      </c>
      <c r="K3" s="64">
        <v>5</v>
      </c>
      <c r="L3" s="64">
        <v>6</v>
      </c>
      <c r="M3" s="64">
        <v>7</v>
      </c>
      <c r="N3" s="64">
        <v>8</v>
      </c>
      <c r="O3" s="64">
        <v>9</v>
      </c>
      <c r="P3" s="64">
        <f>O3+1</f>
        <v>10</v>
      </c>
      <c r="Q3" s="64">
        <f t="shared" ref="Q3:Z3" si="0">P3+1</f>
        <v>11</v>
      </c>
      <c r="R3" s="64">
        <f t="shared" si="0"/>
        <v>12</v>
      </c>
      <c r="S3" s="64">
        <f t="shared" si="0"/>
        <v>13</v>
      </c>
      <c r="T3" s="64">
        <f t="shared" si="0"/>
        <v>14</v>
      </c>
      <c r="U3" s="64">
        <f t="shared" si="0"/>
        <v>15</v>
      </c>
      <c r="V3" s="64">
        <f t="shared" si="0"/>
        <v>16</v>
      </c>
      <c r="W3" s="64">
        <f t="shared" si="0"/>
        <v>17</v>
      </c>
      <c r="X3" s="64">
        <f t="shared" si="0"/>
        <v>18</v>
      </c>
      <c r="Y3" s="64">
        <f t="shared" si="0"/>
        <v>19</v>
      </c>
      <c r="Z3" s="64">
        <f t="shared" si="0"/>
        <v>20</v>
      </c>
    </row>
    <row r="4" spans="1:28" x14ac:dyDescent="0.2">
      <c r="A4" t="s">
        <v>5</v>
      </c>
      <c r="B4" s="65">
        <f>'Catalytic Model'!O41</f>
        <v>1.2858653743389854</v>
      </c>
      <c r="C4" s="65">
        <f>'Catalytic Model'!O42</f>
        <v>0.4967478130011429</v>
      </c>
      <c r="D4" s="66" t="s">
        <v>103</v>
      </c>
      <c r="E4" s="65" t="s">
        <v>104</v>
      </c>
      <c r="F4" s="67">
        <v>1</v>
      </c>
      <c r="G4" s="67">
        <f t="shared" ref="G4:O4" si="1">R_yy*F4+R_yo*F5</f>
        <v>1.2858653743389854</v>
      </c>
      <c r="H4" s="67">
        <f t="shared" si="1"/>
        <v>2.1778113390819533</v>
      </c>
      <c r="I4" s="67">
        <f t="shared" si="1"/>
        <v>4.0281409574955598</v>
      </c>
      <c r="J4" s="67">
        <f t="shared" si="1"/>
        <v>7.6176268994840894</v>
      </c>
      <c r="K4" s="67">
        <f t="shared" si="1"/>
        <v>14.480950049415682</v>
      </c>
      <c r="L4" s="67">
        <f t="shared" si="1"/>
        <v>27.561124772336498</v>
      </c>
      <c r="M4" s="67">
        <f t="shared" si="1"/>
        <v>52.470720763137749</v>
      </c>
      <c r="N4" s="67">
        <f t="shared" si="1"/>
        <v>99.899830882247002</v>
      </c>
      <c r="O4" s="67">
        <f t="shared" si="1"/>
        <v>190.20364073218144</v>
      </c>
      <c r="P4" s="67">
        <f t="shared" ref="P4" si="2">R_yy*O4+R_yo*O5</f>
        <v>362.13821554587099</v>
      </c>
      <c r="Q4" s="67">
        <f t="shared" ref="Q4" si="3">R_yy*P4+R_yo*P5</f>
        <v>689.49357591590422</v>
      </c>
      <c r="R4" s="67">
        <f t="shared" ref="R4" si="4">R_yy*Q4+R_yo*Q5</f>
        <v>1312.7625176083141</v>
      </c>
      <c r="S4" s="67">
        <f t="shared" ref="S4" si="5">R_yy*R4+R_yo*R5</f>
        <v>2499.436627231813</v>
      </c>
      <c r="T4" s="67">
        <f t="shared" ref="T4" si="6">R_yy*S4+R_yo*S5</f>
        <v>4758.8070410822729</v>
      </c>
      <c r="U4" s="67">
        <f t="shared" ref="U4" si="7">R_yy*T4+R_yo*T5</f>
        <v>9060.5395857057047</v>
      </c>
      <c r="V4" s="67">
        <f t="shared" ref="V4" si="8">R_yy*U4+R_yo*U5</f>
        <v>17250.831335676856</v>
      </c>
      <c r="W4" s="67">
        <f t="shared" ref="W4" si="9">R_yy*V4+R_yo*V5</f>
        <v>32844.752676240561</v>
      </c>
      <c r="X4" s="67">
        <f t="shared" ref="X4" si="10">R_yy*W4+R_yo*W5</f>
        <v>62534.828461312325</v>
      </c>
      <c r="Y4" s="67">
        <f t="shared" ref="Y4" si="11">R_yy*X4+R_yo*X5</f>
        <v>119063.3039395088</v>
      </c>
      <c r="Z4" s="67">
        <f t="shared" ref="Z4" si="12">R_yy*Y4+R_yo*Y5</f>
        <v>226690.80085158529</v>
      </c>
      <c r="AB4" s="68"/>
    </row>
    <row r="5" spans="1:28" x14ac:dyDescent="0.2">
      <c r="A5" t="s">
        <v>6</v>
      </c>
      <c r="B5" s="69">
        <f>'Catalytic Model'!O43</f>
        <v>1.0555891026274287</v>
      </c>
      <c r="C5" s="69">
        <f>'Catalytic Model'!O44</f>
        <v>1.0555891026274287</v>
      </c>
      <c r="D5" s="66" t="s">
        <v>105</v>
      </c>
      <c r="E5" s="69" t="s">
        <v>106</v>
      </c>
      <c r="F5" s="70">
        <v>0</v>
      </c>
      <c r="G5" s="70">
        <f t="shared" ref="G5:O5" si="13">R_oy*F4+R_oo*F5</f>
        <v>1.0555891026274287</v>
      </c>
      <c r="H5" s="70">
        <f t="shared" si="13"/>
        <v>2.4716138301839523</v>
      </c>
      <c r="I5" s="70">
        <f t="shared" si="13"/>
        <v>4.9078825421587782</v>
      </c>
      <c r="J5" s="70">
        <f t="shared" si="13"/>
        <v>9.4327690270577378</v>
      </c>
      <c r="K5" s="70">
        <f t="shared" si="13"/>
        <v>17.998212135540655</v>
      </c>
      <c r="L5" s="70">
        <f t="shared" si="13"/>
        <v>34.284649664908777</v>
      </c>
      <c r="M5" s="70">
        <f t="shared" si="13"/>
        <v>65.283725539510101</v>
      </c>
      <c r="N5" s="70">
        <f t="shared" si="13"/>
        <v>124.30031030300178</v>
      </c>
      <c r="O5" s="70">
        <f t="shared" si="13"/>
        <v>236.66322584267957</v>
      </c>
      <c r="P5" s="70">
        <f t="shared" ref="P5" si="14">R_oy*O4+R_oo*O5</f>
        <v>450.59601262913986</v>
      </c>
      <c r="Q5" s="70">
        <f t="shared" ref="Q5" si="15">R_oy*P4+R_oo*P5</f>
        <v>857.91339459385551</v>
      </c>
      <c r="R5" s="70">
        <f t="shared" ref="R5" si="16">R_oy*Q4+R_oo*Q5</f>
        <v>1633.4259353998252</v>
      </c>
      <c r="S5" s="70">
        <f t="shared" ref="S5" si="17">R_oy*R4+R_oo*R5</f>
        <v>3109.964425282154</v>
      </c>
      <c r="T5" s="70">
        <f t="shared" ref="T5" si="18">R_oy*S4+R_oo*S5</f>
        <v>5921.2226233005722</v>
      </c>
      <c r="U5" s="70">
        <f t="shared" ref="U5" si="19">R_oy*T4+R_oo*T5</f>
        <v>11273.722929460204</v>
      </c>
      <c r="V5" s="70">
        <f t="shared" ref="V5" si="20">R_oy*U4+R_oo*U5</f>
        <v>21464.62592097454</v>
      </c>
      <c r="W5" s="70">
        <f t="shared" ref="W5" si="21">R_oy*V4+R_oo*V5</f>
        <v>40867.614783359219</v>
      </c>
      <c r="X5" s="70">
        <f t="shared" ref="X5" si="22">R_oy*W4+R_oo*W5</f>
        <v>77809.971819222206</v>
      </c>
      <c r="Y5" s="70">
        <f t="shared" ref="Y5" si="23">R_oy*X4+R_oo*X5</f>
        <v>148146.44178655514</v>
      </c>
      <c r="Z5" s="70">
        <f t="shared" ref="Z5" si="24">R_oy*Y4+R_oo*Y5</f>
        <v>282063.69570427923</v>
      </c>
    </row>
    <row r="6" spans="1:28" x14ac:dyDescent="0.2">
      <c r="F6" s="71"/>
      <c r="G6" s="71"/>
      <c r="H6" s="71"/>
      <c r="I6" s="71"/>
      <c r="J6" s="71"/>
      <c r="K6" s="71"/>
      <c r="L6" s="71"/>
      <c r="M6" s="71"/>
      <c r="N6" s="71"/>
      <c r="O6" s="71"/>
      <c r="P6" s="71"/>
      <c r="Q6" s="71"/>
      <c r="R6" s="71"/>
      <c r="S6" s="71"/>
      <c r="T6" s="71"/>
      <c r="U6" s="71"/>
      <c r="V6" s="71"/>
      <c r="W6" s="71"/>
      <c r="X6" s="71"/>
      <c r="Y6" s="71"/>
      <c r="Z6" s="71"/>
    </row>
    <row r="7" spans="1:28" s="72" customFormat="1" x14ac:dyDescent="0.2">
      <c r="D7" s="156" t="s">
        <v>107</v>
      </c>
      <c r="E7" s="156"/>
      <c r="F7" s="73">
        <f>SUM(F3:F5)</f>
        <v>1</v>
      </c>
      <c r="G7" s="73">
        <f>SUM(G4:G5)</f>
        <v>2.3414544769664141</v>
      </c>
      <c r="H7" s="73">
        <f>SUM(H4:H5)</f>
        <v>4.6494251692659052</v>
      </c>
      <c r="I7" s="73">
        <f t="shared" ref="I7:Z7" si="25">SUM(I4:I5)</f>
        <v>8.936023499654338</v>
      </c>
      <c r="J7" s="73">
        <f t="shared" si="25"/>
        <v>17.050395926541828</v>
      </c>
      <c r="K7" s="73">
        <f t="shared" si="25"/>
        <v>32.479162184956337</v>
      </c>
      <c r="L7" s="73">
        <f t="shared" si="25"/>
        <v>61.845774437245275</v>
      </c>
      <c r="M7" s="73">
        <f t="shared" si="25"/>
        <v>117.75444630264785</v>
      </c>
      <c r="N7" s="73">
        <f t="shared" si="25"/>
        <v>224.20014118524878</v>
      </c>
      <c r="O7" s="73">
        <f t="shared" si="25"/>
        <v>426.86686657486098</v>
      </c>
      <c r="P7" s="73">
        <f t="shared" si="25"/>
        <v>812.73422817501091</v>
      </c>
      <c r="Q7" s="73">
        <f t="shared" si="25"/>
        <v>1547.4069705097597</v>
      </c>
      <c r="R7" s="73">
        <f t="shared" si="25"/>
        <v>2946.1884530081393</v>
      </c>
      <c r="S7" s="73">
        <f t="shared" si="25"/>
        <v>5609.4010525139674</v>
      </c>
      <c r="T7" s="73">
        <f t="shared" si="25"/>
        <v>10680.029664382844</v>
      </c>
      <c r="U7" s="73">
        <f t="shared" si="25"/>
        <v>20334.262515165909</v>
      </c>
      <c r="V7" s="73">
        <f t="shared" si="25"/>
        <v>38715.457256651396</v>
      </c>
      <c r="W7" s="73">
        <f t="shared" si="25"/>
        <v>73712.367459599773</v>
      </c>
      <c r="X7" s="73">
        <f t="shared" si="25"/>
        <v>140344.80028053455</v>
      </c>
      <c r="Y7" s="73">
        <f t="shared" si="25"/>
        <v>267209.74572606396</v>
      </c>
      <c r="Z7" s="73">
        <f t="shared" si="25"/>
        <v>508754.49655586452</v>
      </c>
    </row>
    <row r="8" spans="1:28" x14ac:dyDescent="0.2">
      <c r="F8" s="71"/>
      <c r="G8" s="71"/>
      <c r="H8" s="71"/>
      <c r="I8" s="71"/>
      <c r="J8" s="71"/>
      <c r="K8" s="71"/>
      <c r="L8" s="71"/>
      <c r="M8" s="71"/>
      <c r="N8" s="71"/>
      <c r="O8" s="71"/>
      <c r="P8" s="71"/>
      <c r="Q8" s="71"/>
      <c r="R8" s="71"/>
      <c r="S8" s="71"/>
      <c r="T8" s="71"/>
      <c r="U8" s="71"/>
      <c r="V8" s="71"/>
      <c r="W8" s="71"/>
      <c r="X8" s="71"/>
      <c r="Y8" s="71"/>
      <c r="Z8" s="71"/>
    </row>
    <row r="9" spans="1:28" s="72" customFormat="1" ht="27" x14ac:dyDescent="0.2">
      <c r="D9" s="157" t="s">
        <v>108</v>
      </c>
      <c r="E9" s="157"/>
      <c r="F9" s="74"/>
      <c r="G9" s="75">
        <f>G7/F7</f>
        <v>2.3414544769664141</v>
      </c>
      <c r="H9" s="75">
        <f>H7/G7</f>
        <v>1.9856995790452845</v>
      </c>
      <c r="I9" s="75">
        <f>I7/H7</f>
        <v>1.9219630759355228</v>
      </c>
      <c r="J9" s="75">
        <f t="shared" ref="J9:Z9" si="26">J7/I7</f>
        <v>1.9080518227376382</v>
      </c>
      <c r="K9" s="75">
        <f t="shared" si="26"/>
        <v>1.9048919640861255</v>
      </c>
      <c r="L9" s="75">
        <f t="shared" si="26"/>
        <v>1.9041677887211923</v>
      </c>
      <c r="M9" s="75">
        <f t="shared" si="26"/>
        <v>1.9040014839192116</v>
      </c>
      <c r="N9" s="75">
        <f t="shared" si="26"/>
        <v>1.9039632746352388</v>
      </c>
      <c r="O9" s="75">
        <f t="shared" si="26"/>
        <v>1.9039544949356464</v>
      </c>
      <c r="P9" s="75">
        <f t="shared" si="26"/>
        <v>1.9039524774933057</v>
      </c>
      <c r="Q9" s="75">
        <f t="shared" si="26"/>
        <v>1.9039520139129016</v>
      </c>
      <c r="R9" s="75">
        <f t="shared" si="26"/>
        <v>1.9039519073883848</v>
      </c>
      <c r="S9" s="75">
        <f t="shared" si="26"/>
        <v>1.9039518829104822</v>
      </c>
      <c r="T9" s="75">
        <f t="shared" si="26"/>
        <v>1.9039518772857882</v>
      </c>
      <c r="U9" s="75">
        <f t="shared" si="26"/>
        <v>1.9039518759933092</v>
      </c>
      <c r="V9" s="75">
        <f t="shared" si="26"/>
        <v>1.9039518756963147</v>
      </c>
      <c r="W9" s="75">
        <f t="shared" si="26"/>
        <v>1.9039518756280693</v>
      </c>
      <c r="X9" s="75">
        <f t="shared" si="26"/>
        <v>1.9039518756123881</v>
      </c>
      <c r="Y9" s="75">
        <f t="shared" si="26"/>
        <v>1.9039518756087841</v>
      </c>
      <c r="Z9" s="75">
        <f t="shared" si="26"/>
        <v>1.9039518756079561</v>
      </c>
      <c r="AA9" s="76" t="s">
        <v>109</v>
      </c>
    </row>
    <row r="10" spans="1:28" x14ac:dyDescent="0.2">
      <c r="F10" s="71"/>
      <c r="G10" s="71"/>
      <c r="H10" s="71"/>
      <c r="I10" s="71"/>
      <c r="J10" s="71"/>
      <c r="K10" s="71"/>
      <c r="L10" s="71"/>
      <c r="M10" s="71"/>
      <c r="N10" s="71"/>
      <c r="O10" s="71"/>
      <c r="P10" s="71"/>
      <c r="Q10" s="71"/>
      <c r="R10" s="71"/>
      <c r="S10" s="71"/>
      <c r="T10" s="71"/>
      <c r="U10" s="71"/>
      <c r="V10" s="71"/>
      <c r="W10" s="71"/>
      <c r="X10" s="71"/>
      <c r="Y10" s="71"/>
      <c r="Z10" s="71"/>
      <c r="AA10" s="77"/>
    </row>
    <row r="11" spans="1:28" ht="22" x14ac:dyDescent="0.2">
      <c r="D11" s="78" t="s">
        <v>110</v>
      </c>
      <c r="E11" s="65" t="s">
        <v>104</v>
      </c>
      <c r="F11" s="65">
        <f>F4/SUM(F4:F5)</f>
        <v>1</v>
      </c>
      <c r="G11" s="65">
        <f>G4/G7</f>
        <v>0.5491737665576788</v>
      </c>
      <c r="H11" s="65">
        <f t="shared" ref="H11:Z11" si="27">H4/H7</f>
        <v>0.46840442846095026</v>
      </c>
      <c r="I11" s="65">
        <f t="shared" si="27"/>
        <v>0.45077555555347137</v>
      </c>
      <c r="J11" s="65">
        <f t="shared" si="27"/>
        <v>0.44677126163539482</v>
      </c>
      <c r="K11" s="65">
        <f t="shared" si="27"/>
        <v>0.44585355887421729</v>
      </c>
      <c r="L11" s="65">
        <f t="shared" si="27"/>
        <v>0.44564281105902698</v>
      </c>
      <c r="M11" s="65">
        <f t="shared" si="27"/>
        <v>0.44559439079081198</v>
      </c>
      <c r="N11" s="65">
        <f t="shared" si="27"/>
        <v>0.44558326481919225</v>
      </c>
      <c r="O11" s="65">
        <f t="shared" si="27"/>
        <v>0.44558070823898166</v>
      </c>
      <c r="P11" s="65">
        <f t="shared" si="27"/>
        <v>0.4455801207721371</v>
      </c>
      <c r="Q11" s="65">
        <f t="shared" si="27"/>
        <v>0.44557998578018909</v>
      </c>
      <c r="R11" s="65">
        <f t="shared" si="27"/>
        <v>0.44557995476085294</v>
      </c>
      <c r="S11" s="65">
        <f t="shared" si="27"/>
        <v>0.44557994763302572</v>
      </c>
      <c r="T11" s="65">
        <f t="shared" si="27"/>
        <v>0.44557994599514672</v>
      </c>
      <c r="U11" s="65">
        <f t="shared" si="27"/>
        <v>0.44557994561878406</v>
      </c>
      <c r="V11" s="65">
        <f t="shared" si="27"/>
        <v>0.44557994553230096</v>
      </c>
      <c r="W11" s="65">
        <f t="shared" si="27"/>
        <v>0.4455799455124283</v>
      </c>
      <c r="X11" s="65">
        <f t="shared" si="27"/>
        <v>0.44557994550786179</v>
      </c>
      <c r="Y11" s="65">
        <f t="shared" si="27"/>
        <v>0.44557994550681246</v>
      </c>
      <c r="Z11" s="79">
        <f t="shared" si="27"/>
        <v>0.44557994550657143</v>
      </c>
      <c r="AA11" s="80" t="s">
        <v>111</v>
      </c>
    </row>
    <row r="12" spans="1:28" ht="48" x14ac:dyDescent="0.2">
      <c r="D12" s="81" t="s">
        <v>112</v>
      </c>
      <c r="E12" s="69" t="s">
        <v>6</v>
      </c>
      <c r="F12" s="69">
        <f>1-F11</f>
        <v>0</v>
      </c>
      <c r="G12" s="69">
        <f>1-G11</f>
        <v>0.4508262334423212</v>
      </c>
      <c r="H12" s="69">
        <f>1-H11</f>
        <v>0.53159557153904968</v>
      </c>
      <c r="I12" s="69">
        <f>1-I11</f>
        <v>0.54922444444652863</v>
      </c>
      <c r="J12" s="69">
        <f t="shared" ref="J12:Z12" si="28">1-J11</f>
        <v>0.55322873836460518</v>
      </c>
      <c r="K12" s="69">
        <f t="shared" si="28"/>
        <v>0.55414644112578271</v>
      </c>
      <c r="L12" s="69">
        <f t="shared" si="28"/>
        <v>0.55435718894097308</v>
      </c>
      <c r="M12" s="69">
        <f t="shared" si="28"/>
        <v>0.55440560920918802</v>
      </c>
      <c r="N12" s="69">
        <f t="shared" si="28"/>
        <v>0.55441673518080781</v>
      </c>
      <c r="O12" s="69">
        <f t="shared" si="28"/>
        <v>0.55441929176101834</v>
      </c>
      <c r="P12" s="69">
        <f t="shared" si="28"/>
        <v>0.55441987922786296</v>
      </c>
      <c r="Q12" s="69">
        <f t="shared" si="28"/>
        <v>0.55442001421981091</v>
      </c>
      <c r="R12" s="69">
        <f t="shared" si="28"/>
        <v>0.55442004523914701</v>
      </c>
      <c r="S12" s="69">
        <f t="shared" si="28"/>
        <v>0.55442005236697423</v>
      </c>
      <c r="T12" s="69">
        <f t="shared" si="28"/>
        <v>0.55442005400485328</v>
      </c>
      <c r="U12" s="69">
        <f t="shared" si="28"/>
        <v>0.55442005438121589</v>
      </c>
      <c r="V12" s="69">
        <f t="shared" si="28"/>
        <v>0.55442005446769904</v>
      </c>
      <c r="W12" s="69">
        <f t="shared" si="28"/>
        <v>0.5544200544875717</v>
      </c>
      <c r="X12" s="69">
        <f t="shared" si="28"/>
        <v>0.55442005449213827</v>
      </c>
      <c r="Y12" s="69">
        <f t="shared" si="28"/>
        <v>0.55442005449318754</v>
      </c>
      <c r="Z12" s="69">
        <f t="shared" si="28"/>
        <v>0.55442005449342857</v>
      </c>
      <c r="AA12" s="80" t="s">
        <v>113</v>
      </c>
    </row>
    <row r="13" spans="1:28" x14ac:dyDescent="0.2">
      <c r="G13" s="82"/>
    </row>
  </sheetData>
  <mergeCells count="3">
    <mergeCell ref="E2:O2"/>
    <mergeCell ref="D7:E7"/>
    <mergeCell ref="D9:E9"/>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36782-F933-B448-B8A2-8708208B0296}">
  <dimension ref="A2:N91"/>
  <sheetViews>
    <sheetView workbookViewId="0">
      <selection activeCell="D16" sqref="D16"/>
    </sheetView>
  </sheetViews>
  <sheetFormatPr baseColWidth="10" defaultColWidth="8.83203125" defaultRowHeight="16" x14ac:dyDescent="0.2"/>
  <cols>
    <col min="1" max="1" width="17.5" customWidth="1"/>
    <col min="2" max="2" width="15" customWidth="1"/>
    <col min="3" max="3" width="12.5" customWidth="1"/>
    <col min="4" max="4" width="13.83203125" bestFit="1" customWidth="1"/>
    <col min="5" max="5" width="14" bestFit="1" customWidth="1"/>
    <col min="6" max="6" width="13.5" bestFit="1" customWidth="1"/>
    <col min="7" max="8" width="12.83203125" bestFit="1" customWidth="1"/>
    <col min="9" max="9" width="9.5" bestFit="1" customWidth="1"/>
    <col min="11" max="11" width="36.6640625" customWidth="1"/>
    <col min="15" max="24" width="9.1640625" customWidth="1"/>
  </cols>
  <sheetData>
    <row r="2" spans="1:9" x14ac:dyDescent="0.2">
      <c r="A2" s="122" t="s">
        <v>193</v>
      </c>
      <c r="B2" s="123"/>
      <c r="C2" s="123"/>
      <c r="D2" s="123"/>
      <c r="E2" s="123"/>
      <c r="F2" s="124" t="s">
        <v>2</v>
      </c>
      <c r="G2" s="125" t="s">
        <v>194</v>
      </c>
      <c r="H2" s="123"/>
      <c r="I2" s="123"/>
    </row>
    <row r="3" spans="1:9" x14ac:dyDescent="0.2">
      <c r="A3" s="126" t="s">
        <v>195</v>
      </c>
      <c r="B3" s="123"/>
      <c r="C3" s="123"/>
      <c r="D3" s="123"/>
      <c r="E3" s="123"/>
      <c r="F3" s="127">
        <v>6</v>
      </c>
      <c r="G3" s="123" t="s">
        <v>196</v>
      </c>
      <c r="H3" s="123"/>
      <c r="I3" s="123"/>
    </row>
    <row r="4" spans="1:9" x14ac:dyDescent="0.2">
      <c r="A4" s="126" t="s">
        <v>197</v>
      </c>
      <c r="B4" s="123"/>
      <c r="C4" s="123"/>
      <c r="D4" s="123"/>
      <c r="E4" s="123"/>
      <c r="F4" s="127">
        <v>28480</v>
      </c>
      <c r="G4" s="123" t="s">
        <v>198</v>
      </c>
      <c r="H4" s="123"/>
      <c r="I4" s="123"/>
    </row>
    <row r="5" spans="1:9" x14ac:dyDescent="0.2">
      <c r="A5" s="126" t="s">
        <v>199</v>
      </c>
      <c r="B5" s="123"/>
      <c r="C5" s="123"/>
      <c r="D5" s="123"/>
      <c r="E5" s="123"/>
      <c r="F5" s="127">
        <v>0</v>
      </c>
      <c r="G5" s="123" t="s">
        <v>200</v>
      </c>
      <c r="H5" s="123"/>
      <c r="I5" s="123"/>
    </row>
    <row r="6" spans="1:9" x14ac:dyDescent="0.2">
      <c r="A6" s="126" t="s">
        <v>201</v>
      </c>
      <c r="B6" s="123"/>
      <c r="C6" s="123"/>
      <c r="D6" s="123"/>
      <c r="E6" s="123"/>
      <c r="F6" s="127">
        <v>60520</v>
      </c>
      <c r="G6" s="123" t="s">
        <v>202</v>
      </c>
      <c r="H6" s="123"/>
      <c r="I6" s="123"/>
    </row>
    <row r="7" spans="1:9" x14ac:dyDescent="0.2">
      <c r="A7" s="126"/>
      <c r="B7" s="123"/>
      <c r="C7" s="123"/>
      <c r="D7" s="123"/>
      <c r="E7" s="123"/>
      <c r="F7" s="127"/>
      <c r="G7" s="123"/>
      <c r="H7" s="123"/>
      <c r="I7" s="123"/>
    </row>
    <row r="8" spans="1:9" x14ac:dyDescent="0.2">
      <c r="A8" s="126" t="s">
        <v>203</v>
      </c>
      <c r="B8" s="123"/>
      <c r="C8" s="123"/>
      <c r="D8" s="123"/>
      <c r="E8" s="123"/>
      <c r="F8" s="127">
        <v>0</v>
      </c>
      <c r="G8" s="123" t="s">
        <v>204</v>
      </c>
      <c r="H8" s="123"/>
      <c r="I8" s="123"/>
    </row>
    <row r="9" spans="1:9" x14ac:dyDescent="0.2">
      <c r="A9" s="126" t="s">
        <v>205</v>
      </c>
      <c r="B9" s="123"/>
      <c r="C9" s="123"/>
      <c r="D9" s="123"/>
      <c r="E9" s="123"/>
      <c r="F9" s="127">
        <v>17091.87585</v>
      </c>
      <c r="G9" s="123" t="s">
        <v>36</v>
      </c>
      <c r="H9" s="123"/>
      <c r="I9" s="123"/>
    </row>
    <row r="10" spans="1:9" x14ac:dyDescent="0.2">
      <c r="A10" s="126" t="s">
        <v>206</v>
      </c>
      <c r="B10" s="123"/>
      <c r="C10" s="123"/>
      <c r="D10" s="123"/>
      <c r="E10" s="123"/>
      <c r="F10" s="127">
        <f>NN_m*(1-prop_immune)</f>
        <v>0</v>
      </c>
      <c r="G10" s="123" t="s">
        <v>207</v>
      </c>
      <c r="H10" s="123"/>
      <c r="I10" s="123"/>
    </row>
    <row r="11" spans="1:9" x14ac:dyDescent="0.2">
      <c r="A11" s="126" t="s">
        <v>208</v>
      </c>
      <c r="B11" s="123"/>
      <c r="C11" s="123"/>
      <c r="D11" s="123"/>
      <c r="E11" s="123"/>
      <c r="F11" s="127">
        <v>24061.924289999999</v>
      </c>
      <c r="G11" s="123" t="s">
        <v>37</v>
      </c>
      <c r="H11" s="123"/>
      <c r="I11" s="123"/>
    </row>
    <row r="13" spans="1:9" x14ac:dyDescent="0.2">
      <c r="A13" s="125" t="s">
        <v>209</v>
      </c>
      <c r="B13" s="123"/>
      <c r="C13" s="123"/>
      <c r="D13" s="123"/>
      <c r="E13" s="123"/>
      <c r="F13" s="123"/>
      <c r="G13" s="123"/>
      <c r="H13" s="123"/>
      <c r="I13" s="123"/>
    </row>
    <row r="14" spans="1:9" x14ac:dyDescent="0.2">
      <c r="A14" s="126" t="s">
        <v>210</v>
      </c>
      <c r="B14" s="123"/>
      <c r="C14" s="123"/>
      <c r="D14" s="123"/>
      <c r="E14" s="123"/>
      <c r="F14" s="123"/>
      <c r="G14" s="123"/>
      <c r="H14" s="123"/>
      <c r="I14" s="123"/>
    </row>
    <row r="15" spans="1:9" x14ac:dyDescent="0.2">
      <c r="A15" s="123"/>
      <c r="B15" s="123"/>
      <c r="C15" s="123"/>
      <c r="D15" s="123"/>
      <c r="E15" s="128"/>
      <c r="F15" s="125" t="s">
        <v>211</v>
      </c>
      <c r="G15" s="123"/>
      <c r="H15" s="123"/>
      <c r="I15" s="123"/>
    </row>
    <row r="16" spans="1:9" ht="17" thickBot="1" x14ac:dyDescent="0.25">
      <c r="A16" s="129"/>
      <c r="B16" s="129"/>
      <c r="C16" s="129"/>
      <c r="D16" s="129"/>
      <c r="E16" s="130"/>
      <c r="F16" s="131" t="s">
        <v>5</v>
      </c>
      <c r="G16" s="131" t="s">
        <v>212</v>
      </c>
      <c r="H16" s="131" t="s">
        <v>6</v>
      </c>
      <c r="I16" s="123"/>
    </row>
    <row r="17" spans="1:10" x14ac:dyDescent="0.2">
      <c r="A17" s="125"/>
      <c r="B17" s="125" t="s">
        <v>213</v>
      </c>
      <c r="C17" s="123"/>
      <c r="D17" s="123"/>
      <c r="E17" s="132" t="s">
        <v>5</v>
      </c>
      <c r="F17" s="133">
        <v>7.52E-6</v>
      </c>
      <c r="G17" s="133">
        <v>0</v>
      </c>
      <c r="H17" s="133">
        <v>2.9100000000000001E-6</v>
      </c>
      <c r="I17" s="123"/>
    </row>
    <row r="18" spans="1:10" x14ac:dyDescent="0.2">
      <c r="A18" s="125"/>
      <c r="B18" s="125" t="s">
        <v>214</v>
      </c>
      <c r="C18" s="123"/>
      <c r="D18" s="123"/>
      <c r="E18" s="128" t="s">
        <v>212</v>
      </c>
      <c r="F18" s="133">
        <v>0</v>
      </c>
      <c r="G18" s="133">
        <v>0</v>
      </c>
      <c r="H18" s="133">
        <v>0</v>
      </c>
      <c r="I18" s="123"/>
    </row>
    <row r="19" spans="1:10" x14ac:dyDescent="0.2">
      <c r="A19" s="123"/>
      <c r="B19" s="123"/>
      <c r="C19" s="123"/>
      <c r="D19" s="123"/>
      <c r="E19" s="128" t="s">
        <v>6</v>
      </c>
      <c r="F19" s="133">
        <v>2.9100000000000001E-6</v>
      </c>
      <c r="G19" s="133">
        <v>0</v>
      </c>
      <c r="H19" s="133">
        <v>2.9100000000000001E-6</v>
      </c>
      <c r="I19" s="123"/>
    </row>
    <row r="20" spans="1:10" x14ac:dyDescent="0.2">
      <c r="A20" s="123"/>
      <c r="B20" s="123"/>
      <c r="C20" s="123"/>
      <c r="D20" s="123"/>
      <c r="E20" s="128"/>
      <c r="F20" s="123"/>
      <c r="G20" s="123"/>
      <c r="H20" s="123"/>
      <c r="I20" s="123"/>
    </row>
    <row r="22" spans="1:10" x14ac:dyDescent="0.2">
      <c r="A22" s="134" t="s">
        <v>215</v>
      </c>
      <c r="B22" s="135"/>
      <c r="C22" s="135"/>
      <c r="D22" s="135"/>
      <c r="E22" s="135"/>
      <c r="F22" s="135"/>
      <c r="G22" s="135"/>
      <c r="H22" s="135"/>
      <c r="I22" s="135"/>
      <c r="J22" s="135"/>
    </row>
    <row r="23" spans="1:10" x14ac:dyDescent="0.2">
      <c r="A23" s="135"/>
      <c r="B23" s="135"/>
      <c r="C23" s="135"/>
      <c r="D23" s="135"/>
      <c r="E23" s="136"/>
      <c r="F23" s="134" t="s">
        <v>211</v>
      </c>
      <c r="G23" s="135"/>
      <c r="H23" s="135"/>
      <c r="I23" s="135"/>
      <c r="J23" s="135"/>
    </row>
    <row r="24" spans="1:10" ht="17" thickBot="1" x14ac:dyDescent="0.25">
      <c r="A24" s="137"/>
      <c r="B24" s="137"/>
      <c r="C24" s="137"/>
      <c r="D24" s="137"/>
      <c r="E24" s="138"/>
      <c r="F24" s="137" t="s">
        <v>216</v>
      </c>
      <c r="G24" s="137" t="s">
        <v>212</v>
      </c>
      <c r="H24" s="137" t="s">
        <v>6</v>
      </c>
      <c r="I24" s="135"/>
      <c r="J24" s="135"/>
    </row>
    <row r="25" spans="1:10" x14ac:dyDescent="0.2">
      <c r="A25" s="134"/>
      <c r="B25" s="134" t="s">
        <v>217</v>
      </c>
      <c r="C25" s="135"/>
      <c r="D25" s="135"/>
      <c r="E25" s="139" t="s">
        <v>5</v>
      </c>
      <c r="F25" s="135">
        <f>Sus_y*beta_yy*average_infous</f>
        <v>0.77118543835200004</v>
      </c>
      <c r="G25" s="135">
        <f>Sus_y*beta_ym*average_infous</f>
        <v>0</v>
      </c>
      <c r="H25" s="135">
        <f>Sus_y*beta_yo*average_infous</f>
        <v>0.29842415234100006</v>
      </c>
      <c r="I25" s="135"/>
      <c r="J25" s="135"/>
    </row>
    <row r="26" spans="1:10" x14ac:dyDescent="0.2">
      <c r="A26" s="134"/>
      <c r="B26" s="134" t="s">
        <v>218</v>
      </c>
      <c r="C26" s="135"/>
      <c r="D26" s="135"/>
      <c r="E26" s="136" t="s">
        <v>212</v>
      </c>
      <c r="F26" s="135">
        <f>Sus_m*beta_my*average_infous</f>
        <v>0</v>
      </c>
      <c r="G26" s="135">
        <f>Sus_m*beta_mm*average_infous</f>
        <v>0</v>
      </c>
      <c r="H26" s="135">
        <f>Sus_m*beta_mo*average_infous</f>
        <v>0</v>
      </c>
      <c r="I26" s="135"/>
      <c r="J26" s="135"/>
    </row>
    <row r="27" spans="1:10" x14ac:dyDescent="0.2">
      <c r="A27" s="134"/>
      <c r="B27" s="134" t="s">
        <v>219</v>
      </c>
      <c r="C27" s="135"/>
      <c r="D27" s="135"/>
      <c r="E27" s="136" t="s">
        <v>6</v>
      </c>
      <c r="F27" s="135">
        <f>Sus_o*beta_oy*average_infous</f>
        <v>0.42012119810339998</v>
      </c>
      <c r="G27" s="135">
        <f>Sus_o*beta_om*average_infous</f>
        <v>0</v>
      </c>
      <c r="H27" s="135">
        <f>Sus_o*beta_oo*average_infous</f>
        <v>0.42012119810339998</v>
      </c>
      <c r="I27" s="135"/>
      <c r="J27" s="135"/>
    </row>
    <row r="28" spans="1:10" x14ac:dyDescent="0.2">
      <c r="A28" s="135"/>
      <c r="B28" s="135"/>
      <c r="C28" s="135"/>
      <c r="D28" s="135"/>
      <c r="E28" s="136"/>
      <c r="F28" s="135"/>
      <c r="G28" s="135"/>
      <c r="H28" s="135"/>
      <c r="I28" s="135"/>
      <c r="J28" s="135"/>
    </row>
    <row r="29" spans="1:10" x14ac:dyDescent="0.2">
      <c r="A29" s="135"/>
      <c r="B29" s="135"/>
      <c r="C29" s="135"/>
      <c r="D29" s="135"/>
      <c r="E29" s="136" t="s">
        <v>220</v>
      </c>
      <c r="F29" s="135">
        <f>SUM(F25:F27)</f>
        <v>1.1913066364553999</v>
      </c>
      <c r="G29" s="135">
        <f>SUM(G25:G27)</f>
        <v>0</v>
      </c>
      <c r="H29" s="135">
        <f>SUM(H25:H27)</f>
        <v>0.71854535044440004</v>
      </c>
      <c r="I29" s="135"/>
      <c r="J29" s="135"/>
    </row>
    <row r="31" spans="1:10" x14ac:dyDescent="0.2">
      <c r="A31" s="140" t="s">
        <v>221</v>
      </c>
      <c r="B31" s="141"/>
      <c r="C31" s="141"/>
      <c r="D31" s="141"/>
      <c r="E31" s="141"/>
      <c r="F31" s="141"/>
      <c r="G31" s="142" t="s">
        <v>222</v>
      </c>
      <c r="H31" s="141"/>
    </row>
    <row r="32" spans="1:10" x14ac:dyDescent="0.2">
      <c r="A32" s="141"/>
      <c r="B32" s="142" t="s">
        <v>223</v>
      </c>
      <c r="C32" s="141"/>
      <c r="D32" s="141"/>
      <c r="E32" s="141"/>
      <c r="F32" s="143" t="s">
        <v>224</v>
      </c>
      <c r="G32" s="143" t="s">
        <v>3</v>
      </c>
      <c r="H32" s="141"/>
    </row>
    <row r="33" spans="1:14" x14ac:dyDescent="0.2">
      <c r="A33" s="141"/>
      <c r="B33" s="141"/>
      <c r="C33" s="141" t="s">
        <v>225</v>
      </c>
      <c r="D33" s="141"/>
      <c r="E33" s="141"/>
      <c r="F33" s="141">
        <v>0.44557994550657143</v>
      </c>
      <c r="G33" s="144" t="s">
        <v>226</v>
      </c>
      <c r="H33" s="141"/>
    </row>
    <row r="34" spans="1:14" x14ac:dyDescent="0.2">
      <c r="A34" s="141"/>
      <c r="B34" s="141"/>
      <c r="C34" s="141" t="s">
        <v>227</v>
      </c>
      <c r="D34" s="141"/>
      <c r="E34" s="141"/>
      <c r="F34" s="141">
        <v>0</v>
      </c>
      <c r="G34" s="144" t="s">
        <v>228</v>
      </c>
      <c r="H34" s="141"/>
    </row>
    <row r="35" spans="1:14" x14ac:dyDescent="0.2">
      <c r="A35" s="141"/>
      <c r="B35" s="141"/>
      <c r="C35" s="141" t="s">
        <v>229</v>
      </c>
      <c r="D35" s="141"/>
      <c r="E35" s="141"/>
      <c r="F35" s="141">
        <f>1-xx_-ww_</f>
        <v>0.55442005449342857</v>
      </c>
      <c r="G35" s="144" t="s">
        <v>230</v>
      </c>
      <c r="H35" s="141"/>
    </row>
    <row r="36" spans="1:14" x14ac:dyDescent="0.2">
      <c r="A36" s="145" t="s">
        <v>231</v>
      </c>
      <c r="B36" s="145"/>
      <c r="C36" s="145"/>
      <c r="D36" s="145"/>
      <c r="E36" s="145"/>
      <c r="F36" s="145">
        <v>1.9</v>
      </c>
      <c r="G36" s="145" t="s">
        <v>232</v>
      </c>
      <c r="H36" s="145"/>
      <c r="I36" s="145"/>
      <c r="J36" s="146"/>
      <c r="K36" s="146"/>
      <c r="L36" s="146"/>
    </row>
    <row r="37" spans="1:14" x14ac:dyDescent="0.2">
      <c r="A37" s="145"/>
      <c r="B37" s="145"/>
      <c r="C37" s="145"/>
      <c r="D37" s="145"/>
      <c r="E37" s="145"/>
      <c r="F37" s="145"/>
      <c r="G37" s="145"/>
      <c r="H37" s="145"/>
      <c r="I37" s="145"/>
      <c r="K37" s="147" t="s">
        <v>233</v>
      </c>
      <c r="L37" s="146"/>
    </row>
    <row r="38" spans="1:14" x14ac:dyDescent="0.2">
      <c r="A38" s="145"/>
      <c r="B38" s="145"/>
      <c r="C38" s="145"/>
      <c r="D38" s="145"/>
      <c r="E38" s="145"/>
      <c r="F38" s="148" t="s">
        <v>234</v>
      </c>
      <c r="G38" s="145"/>
      <c r="H38" s="148" t="s">
        <v>235</v>
      </c>
      <c r="I38" s="145"/>
      <c r="K38" s="147" t="s">
        <v>236</v>
      </c>
      <c r="L38" s="146"/>
    </row>
    <row r="39" spans="1:14" x14ac:dyDescent="0.2">
      <c r="A39" s="149" t="s">
        <v>237</v>
      </c>
      <c r="B39" s="145"/>
      <c r="C39" s="145"/>
      <c r="D39" s="145"/>
      <c r="E39" s="145"/>
      <c r="F39" s="145">
        <f>Rn_yy*xx_+RR_ym*ww_+RR_yo*zz_</f>
        <v>0.50907710039939813</v>
      </c>
      <c r="G39" s="145"/>
      <c r="H39" s="145">
        <f>R_est*xx_</f>
        <v>0.84660189646248563</v>
      </c>
      <c r="I39" s="145"/>
      <c r="K39" s="146">
        <f>(F39-H39)^2</f>
        <v>0.11392298795742881</v>
      </c>
      <c r="L39" s="146"/>
    </row>
    <row r="40" spans="1:14" x14ac:dyDescent="0.2">
      <c r="A40" s="149" t="s">
        <v>238</v>
      </c>
      <c r="B40" s="145"/>
      <c r="C40" s="145"/>
      <c r="D40" s="145"/>
      <c r="E40" s="145"/>
      <c r="F40" s="145">
        <f>RR_my*xx_+RR_mm*ww_+RR_mo*zz_</f>
        <v>0</v>
      </c>
      <c r="G40" s="145"/>
      <c r="H40" s="145">
        <f xml:space="preserve"> R_est*ww_</f>
        <v>0</v>
      </c>
      <c r="I40" s="145"/>
      <c r="K40" s="146">
        <f>(F40-H40)^2</f>
        <v>0</v>
      </c>
      <c r="L40" s="146"/>
    </row>
    <row r="41" spans="1:14" x14ac:dyDescent="0.2">
      <c r="A41" s="149" t="s">
        <v>239</v>
      </c>
      <c r="B41" s="145"/>
      <c r="C41" s="145"/>
      <c r="D41" s="145"/>
      <c r="E41" s="145"/>
      <c r="F41" s="145">
        <f>RR_oy*xx_+RR_om*ww_+RR_oo*zz_</f>
        <v>0.42012119810339998</v>
      </c>
      <c r="G41" s="145"/>
      <c r="H41" s="145">
        <f xml:space="preserve"> R_est*zz_</f>
        <v>1.0533981035375142</v>
      </c>
      <c r="I41" s="145"/>
      <c r="K41" s="146">
        <f>(F41-H41)^2</f>
        <v>0.40103963895620803</v>
      </c>
      <c r="L41" s="146"/>
    </row>
    <row r="42" spans="1:14" x14ac:dyDescent="0.2">
      <c r="A42" s="145"/>
      <c r="B42" s="145"/>
      <c r="C42" s="145"/>
      <c r="D42" s="145"/>
      <c r="E42" s="145"/>
      <c r="F42" s="145"/>
      <c r="G42" s="145"/>
      <c r="H42" s="145"/>
      <c r="I42" s="145"/>
      <c r="J42" s="147" t="s">
        <v>240</v>
      </c>
      <c r="K42" s="150">
        <f>SUM(K39:K41)</f>
        <v>0.51496262691363681</v>
      </c>
      <c r="L42" s="146"/>
    </row>
    <row r="44" spans="1:14" x14ac:dyDescent="0.2">
      <c r="A44" s="151"/>
      <c r="B44" s="151"/>
      <c r="C44" s="151"/>
      <c r="D44" s="151"/>
      <c r="E44" s="151"/>
      <c r="F44" s="151"/>
      <c r="G44" s="151"/>
      <c r="H44" s="151"/>
      <c r="I44" s="151"/>
      <c r="J44" s="151"/>
      <c r="K44" s="151" t="s">
        <v>241</v>
      </c>
      <c r="L44" s="151"/>
      <c r="M44" s="151"/>
      <c r="N44" s="152"/>
    </row>
    <row r="45" spans="1:14" x14ac:dyDescent="0.2">
      <c r="A45" s="151" t="s">
        <v>242</v>
      </c>
      <c r="B45" s="151" t="s">
        <v>243</v>
      </c>
      <c r="C45" s="151"/>
      <c r="D45" s="151"/>
      <c r="E45" s="151"/>
      <c r="F45" s="151"/>
      <c r="G45" s="151" t="s">
        <v>244</v>
      </c>
      <c r="H45" s="151"/>
      <c r="I45" s="151"/>
      <c r="J45" s="151"/>
      <c r="K45" s="151" t="s">
        <v>245</v>
      </c>
      <c r="L45" s="151"/>
      <c r="M45" s="151"/>
      <c r="N45" s="152"/>
    </row>
    <row r="46" spans="1:14" x14ac:dyDescent="0.2">
      <c r="A46" s="151" t="s">
        <v>246</v>
      </c>
      <c r="B46" s="151" t="s">
        <v>5</v>
      </c>
      <c r="C46" s="151" t="s">
        <v>212</v>
      </c>
      <c r="D46" s="151" t="s">
        <v>6</v>
      </c>
      <c r="E46" s="151" t="s">
        <v>220</v>
      </c>
      <c r="F46" s="151"/>
      <c r="G46" s="151" t="s">
        <v>5</v>
      </c>
      <c r="H46" s="151" t="s">
        <v>212</v>
      </c>
      <c r="I46" s="151" t="s">
        <v>6</v>
      </c>
      <c r="J46" s="151"/>
      <c r="K46" s="151" t="s">
        <v>247</v>
      </c>
      <c r="L46" s="151"/>
      <c r="M46" s="151"/>
      <c r="N46" s="152"/>
    </row>
    <row r="47" spans="1:14" x14ac:dyDescent="0.2">
      <c r="A47" s="152">
        <v>0</v>
      </c>
      <c r="B47" s="152">
        <v>1</v>
      </c>
      <c r="C47" s="152">
        <v>0</v>
      </c>
      <c r="D47" s="152">
        <v>0</v>
      </c>
      <c r="E47" s="152">
        <f>SUM(B47:D47)</f>
        <v>1</v>
      </c>
      <c r="F47" s="152"/>
      <c r="G47" s="152">
        <f t="shared" ref="G47:I57" si="0">B47/$E47</f>
        <v>1</v>
      </c>
      <c r="H47" s="152">
        <f t="shared" si="0"/>
        <v>0</v>
      </c>
      <c r="I47" s="152">
        <f t="shared" si="0"/>
        <v>0</v>
      </c>
      <c r="J47" s="152"/>
      <c r="K47" s="152"/>
      <c r="L47" s="152"/>
      <c r="M47" s="152"/>
      <c r="N47" s="152"/>
    </row>
    <row r="48" spans="1:14" x14ac:dyDescent="0.2">
      <c r="A48" s="152">
        <f>A47+1</f>
        <v>1</v>
      </c>
      <c r="B48" s="152">
        <f t="shared" ref="B48:B57" si="1">Rn_yy*B47+RR_ym*C47+RR_yo*D47</f>
        <v>0.77118543835200004</v>
      </c>
      <c r="C48" s="152">
        <f t="shared" ref="C48:C57" si="2" xml:space="preserve"> RR_my*B47+RR_mm*C47+RR_mo*D47</f>
        <v>0</v>
      </c>
      <c r="D48" s="152">
        <f t="shared" ref="D48:D57" si="3">RR_oy*B47+RR_om*C47+RR_oo*D47</f>
        <v>0.42012119810339998</v>
      </c>
      <c r="E48" s="152">
        <f>SUM(B48:D48)</f>
        <v>1.1913066364553999</v>
      </c>
      <c r="F48" s="152"/>
      <c r="G48" s="152">
        <f t="shared" si="0"/>
        <v>0.64734419733157567</v>
      </c>
      <c r="H48" s="152">
        <f t="shared" si="0"/>
        <v>0</v>
      </c>
      <c r="I48" s="152">
        <f t="shared" si="0"/>
        <v>0.35265580266842445</v>
      </c>
      <c r="J48" s="152"/>
      <c r="K48" s="152">
        <f>E48/E47</f>
        <v>1.1913066364553999</v>
      </c>
      <c r="L48" s="152"/>
      <c r="M48" s="152"/>
      <c r="N48" s="152"/>
    </row>
    <row r="49" spans="1:14" x14ac:dyDescent="0.2">
      <c r="A49" s="152">
        <f t="shared" ref="A49:A57" si="4">A48+1</f>
        <v>2</v>
      </c>
      <c r="B49" s="152">
        <f t="shared" si="1"/>
        <v>0.72010129275065893</v>
      </c>
      <c r="C49" s="152">
        <f t="shared" si="2"/>
        <v>0</v>
      </c>
      <c r="D49" s="152">
        <f t="shared" si="3"/>
        <v>0.50049317141617422</v>
      </c>
      <c r="E49" s="152">
        <f t="shared" ref="E49:E57" si="5">SUM(B49:D49)</f>
        <v>1.2205944641668331</v>
      </c>
      <c r="F49" s="152"/>
      <c r="G49" s="152">
        <f t="shared" si="0"/>
        <v>0.58995949423889416</v>
      </c>
      <c r="H49" s="152">
        <f t="shared" si="0"/>
        <v>0</v>
      </c>
      <c r="I49" s="152">
        <f t="shared" si="0"/>
        <v>0.41004050576110584</v>
      </c>
      <c r="J49" s="152"/>
      <c r="K49" s="152">
        <f t="shared" ref="K49:K57" si="6">E49/E48</f>
        <v>1.0245846256666342</v>
      </c>
      <c r="L49" s="152"/>
      <c r="M49" s="152"/>
      <c r="N49" s="152"/>
    </row>
    <row r="50" spans="1:14" x14ac:dyDescent="0.2">
      <c r="A50" s="152">
        <f t="shared" si="4"/>
        <v>3</v>
      </c>
      <c r="B50" s="152">
        <f t="shared" si="1"/>
        <v>0.70469088154008952</v>
      </c>
      <c r="C50" s="152">
        <f t="shared" si="2"/>
        <v>0</v>
      </c>
      <c r="D50" s="152">
        <f t="shared" si="3"/>
        <v>0.51279760868414748</v>
      </c>
      <c r="E50" s="152">
        <f t="shared" si="5"/>
        <v>1.2174884902242371</v>
      </c>
      <c r="F50" s="152"/>
      <c r="G50" s="152">
        <f t="shared" si="0"/>
        <v>0.57880701723126726</v>
      </c>
      <c r="H50" s="152">
        <f t="shared" si="0"/>
        <v>0</v>
      </c>
      <c r="I50" s="152">
        <f t="shared" si="0"/>
        <v>0.42119298276873268</v>
      </c>
      <c r="J50" s="152"/>
      <c r="K50" s="152">
        <f t="shared" si="6"/>
        <v>0.99745535963517895</v>
      </c>
      <c r="L50" s="152"/>
      <c r="M50" s="152"/>
      <c r="N50" s="152"/>
    </row>
    <row r="51" spans="1:14" x14ac:dyDescent="0.2">
      <c r="A51" s="152">
        <f t="shared" si="4"/>
        <v>4</v>
      </c>
      <c r="B51" s="152">
        <f t="shared" si="1"/>
        <v>0.69647853807720983</v>
      </c>
      <c r="C51" s="152">
        <f t="shared" si="2"/>
        <v>0</v>
      </c>
      <c r="D51" s="152">
        <f t="shared" si="3"/>
        <v>0.51149272319010608</v>
      </c>
      <c r="E51" s="152">
        <f t="shared" si="5"/>
        <v>1.2079712612673159</v>
      </c>
      <c r="F51" s="152"/>
      <c r="G51" s="152">
        <f t="shared" si="0"/>
        <v>0.57656879795841753</v>
      </c>
      <c r="H51" s="152">
        <f t="shared" si="0"/>
        <v>0</v>
      </c>
      <c r="I51" s="152">
        <f t="shared" si="0"/>
        <v>0.42343120204158252</v>
      </c>
      <c r="J51" s="152"/>
      <c r="K51" s="152">
        <f t="shared" si="6"/>
        <v>0.99218290026284495</v>
      </c>
      <c r="L51" s="152"/>
      <c r="M51" s="152"/>
      <c r="N51" s="152"/>
    </row>
    <row r="52" spans="1:14" x14ac:dyDescent="0.2">
      <c r="A52" s="152">
        <f t="shared" si="4"/>
        <v>5</v>
      </c>
      <c r="B52" s="152">
        <f t="shared" si="1"/>
        <v>0.68975588903643037</v>
      </c>
      <c r="C52" s="152">
        <f t="shared" si="2"/>
        <v>0</v>
      </c>
      <c r="D52" s="152">
        <f t="shared" si="3"/>
        <v>0.50749433355809992</v>
      </c>
      <c r="E52" s="152">
        <f t="shared" si="5"/>
        <v>1.1972502225945303</v>
      </c>
      <c r="F52" s="152"/>
      <c r="G52" s="152">
        <f t="shared" si="0"/>
        <v>0.57611673484735548</v>
      </c>
      <c r="H52" s="152">
        <f t="shared" si="0"/>
        <v>0</v>
      </c>
      <c r="I52" s="152">
        <f t="shared" si="0"/>
        <v>0.42388326515264452</v>
      </c>
      <c r="J52" s="152"/>
      <c r="K52" s="152">
        <f t="shared" si="6"/>
        <v>0.99112475684103785</v>
      </c>
      <c r="L52" s="152"/>
      <c r="M52" s="152"/>
      <c r="N52" s="152"/>
    </row>
    <row r="53" spans="1:14" x14ac:dyDescent="0.2">
      <c r="A53" s="152">
        <f t="shared" si="4"/>
        <v>6</v>
      </c>
      <c r="B53" s="152">
        <f t="shared" si="1"/>
        <v>0.68337826395236978</v>
      </c>
      <c r="C53" s="152">
        <f t="shared" si="2"/>
        <v>0</v>
      </c>
      <c r="D53" s="152">
        <f t="shared" si="3"/>
        <v>0.50299019794597633</v>
      </c>
      <c r="E53" s="152">
        <f t="shared" si="5"/>
        <v>1.1863684618983461</v>
      </c>
      <c r="F53" s="152"/>
      <c r="G53" s="152">
        <f t="shared" si="0"/>
        <v>0.57602531245552024</v>
      </c>
      <c r="H53" s="152">
        <f t="shared" si="0"/>
        <v>0</v>
      </c>
      <c r="I53" s="152">
        <f t="shared" si="0"/>
        <v>0.42397468754447976</v>
      </c>
      <c r="J53" s="152"/>
      <c r="K53" s="152">
        <f t="shared" si="6"/>
        <v>0.99091103890329413</v>
      </c>
      <c r="L53" s="152"/>
      <c r="M53" s="152"/>
      <c r="N53" s="152"/>
    </row>
    <row r="54" spans="1:14" x14ac:dyDescent="0.2">
      <c r="A54" s="152">
        <f t="shared" si="4"/>
        <v>7</v>
      </c>
      <c r="B54" s="152">
        <f t="shared" si="1"/>
        <v>0.67711578950419682</v>
      </c>
      <c r="C54" s="152">
        <f t="shared" si="2"/>
        <v>0</v>
      </c>
      <c r="D54" s="152">
        <f t="shared" si="3"/>
        <v>0.49841853960482102</v>
      </c>
      <c r="E54" s="152">
        <f t="shared" si="5"/>
        <v>1.1755343291090179</v>
      </c>
      <c r="F54" s="152"/>
      <c r="G54" s="152">
        <f t="shared" si="0"/>
        <v>0.57600681897346939</v>
      </c>
      <c r="H54" s="152">
        <f t="shared" si="0"/>
        <v>0</v>
      </c>
      <c r="I54" s="152">
        <f t="shared" si="0"/>
        <v>0.42399318102653061</v>
      </c>
      <c r="J54" s="152"/>
      <c r="K54" s="152">
        <f t="shared" si="6"/>
        <v>0.99086781793575984</v>
      </c>
      <c r="L54" s="152"/>
      <c r="M54" s="152"/>
      <c r="N54" s="152"/>
    </row>
    <row r="55" spans="1:14" x14ac:dyDescent="0.2">
      <c r="A55" s="152">
        <f t="shared" si="4"/>
        <v>8</v>
      </c>
      <c r="B55" s="152">
        <f t="shared" si="1"/>
        <v>0.67092196713646246</v>
      </c>
      <c r="C55" s="152">
        <f t="shared" si="2"/>
        <v>0</v>
      </c>
      <c r="D55" s="152">
        <f t="shared" si="3"/>
        <v>0.49386689075695711</v>
      </c>
      <c r="E55" s="152">
        <f t="shared" si="5"/>
        <v>1.1647888578934196</v>
      </c>
      <c r="F55" s="152"/>
      <c r="G55" s="152">
        <f t="shared" si="0"/>
        <v>0.57600307780232318</v>
      </c>
      <c r="H55" s="152">
        <f t="shared" si="0"/>
        <v>0</v>
      </c>
      <c r="I55" s="152">
        <f t="shared" si="0"/>
        <v>0.42399692219767687</v>
      </c>
      <c r="J55" s="152"/>
      <c r="K55" s="152">
        <f t="shared" si="6"/>
        <v>0.99085907493340264</v>
      </c>
      <c r="L55" s="152"/>
      <c r="M55" s="152"/>
      <c r="N55" s="152"/>
    </row>
    <row r="56" spans="1:14" x14ac:dyDescent="0.2">
      <c r="A56" s="152">
        <f t="shared" si="4"/>
        <v>9</v>
      </c>
      <c r="B56" s="152">
        <f t="shared" si="1"/>
        <v>0.66478705956954909</v>
      </c>
      <c r="C56" s="152">
        <f t="shared" si="2"/>
        <v>0</v>
      </c>
      <c r="D56" s="152">
        <f t="shared" si="3"/>
        <v>0.48935249051567437</v>
      </c>
      <c r="E56" s="152">
        <f t="shared" si="5"/>
        <v>1.1541395500852234</v>
      </c>
      <c r="F56" s="152"/>
      <c r="G56" s="152">
        <f t="shared" si="0"/>
        <v>0.57600232096756432</v>
      </c>
      <c r="H56" s="152">
        <f t="shared" si="0"/>
        <v>0</v>
      </c>
      <c r="I56" s="152">
        <f t="shared" si="0"/>
        <v>0.42399767903243574</v>
      </c>
      <c r="J56" s="152"/>
      <c r="K56" s="152">
        <f t="shared" si="6"/>
        <v>0.99085730625252033</v>
      </c>
      <c r="L56" s="152"/>
      <c r="M56" s="152"/>
      <c r="N56" s="152"/>
    </row>
    <row r="57" spans="1:14" x14ac:dyDescent="0.2">
      <c r="A57" s="152">
        <f t="shared" si="4"/>
        <v>10</v>
      </c>
      <c r="B57" s="152">
        <f t="shared" si="1"/>
        <v>0.65870870212297727</v>
      </c>
      <c r="C57" s="152">
        <f t="shared" si="2"/>
        <v>0</v>
      </c>
      <c r="D57" s="152">
        <f t="shared" si="3"/>
        <v>0.48487849056032306</v>
      </c>
      <c r="E57" s="152">
        <f t="shared" si="5"/>
        <v>1.1435871926833003</v>
      </c>
      <c r="F57" s="152"/>
      <c r="G57" s="152">
        <f t="shared" si="0"/>
        <v>0.57600216786040637</v>
      </c>
      <c r="H57" s="152">
        <f t="shared" si="0"/>
        <v>0</v>
      </c>
      <c r="I57" s="152">
        <f t="shared" si="0"/>
        <v>0.42399783213959358</v>
      </c>
      <c r="J57" s="152"/>
      <c r="K57" s="152">
        <f t="shared" si="6"/>
        <v>0.99085694845034655</v>
      </c>
      <c r="L57" s="152"/>
      <c r="M57" s="152"/>
      <c r="N57" s="152"/>
    </row>
    <row r="91" spans="4:4" x14ac:dyDescent="0.2">
      <c r="D91" s="72"/>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2A02B-0189-D14D-B5E1-4850478FA133}">
  <dimension ref="A3:C11"/>
  <sheetViews>
    <sheetView workbookViewId="0">
      <selection activeCell="K10" sqref="K10"/>
    </sheetView>
  </sheetViews>
  <sheetFormatPr baseColWidth="10" defaultRowHeight="16" x14ac:dyDescent="0.2"/>
  <sheetData>
    <row r="3" spans="1:3" x14ac:dyDescent="0.2">
      <c r="C3" t="s">
        <v>189</v>
      </c>
    </row>
    <row r="5" spans="1:3" x14ac:dyDescent="0.2">
      <c r="B5" t="s">
        <v>95</v>
      </c>
      <c r="C5">
        <v>7.5249612262346998E-6</v>
      </c>
    </row>
    <row r="6" spans="1:3" x14ac:dyDescent="0.2">
      <c r="B6" t="s">
        <v>96</v>
      </c>
      <c r="C6">
        <v>2.9069979693418943E-6</v>
      </c>
    </row>
    <row r="9" spans="1:3" x14ac:dyDescent="0.2">
      <c r="B9" t="s">
        <v>191</v>
      </c>
      <c r="C9" t="s">
        <v>192</v>
      </c>
    </row>
    <row r="10" spans="1:3" x14ac:dyDescent="0.2">
      <c r="A10" t="s">
        <v>191</v>
      </c>
      <c r="B10">
        <v>7.5249612262346998E-6</v>
      </c>
      <c r="C10">
        <v>2.9069979693418943E-6</v>
      </c>
    </row>
    <row r="11" spans="1:3" x14ac:dyDescent="0.2">
      <c r="A11" t="s">
        <v>192</v>
      </c>
      <c r="B11">
        <v>2.9069979693418943E-6</v>
      </c>
      <c r="C11">
        <v>2.9069979693418943E-6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06AC9-590E-C24C-BE1B-913909C2556E}">
  <dimension ref="A3:E13"/>
  <sheetViews>
    <sheetView workbookViewId="0">
      <selection activeCell="D21" sqref="D21"/>
    </sheetView>
  </sheetViews>
  <sheetFormatPr baseColWidth="10" defaultRowHeight="16" x14ac:dyDescent="0.2"/>
  <sheetData>
    <row r="3" spans="1:5" x14ac:dyDescent="0.2">
      <c r="A3">
        <v>300</v>
      </c>
      <c r="B3">
        <v>14.07830395</v>
      </c>
      <c r="C3">
        <v>14.07830395</v>
      </c>
      <c r="D3">
        <v>14.07830395</v>
      </c>
      <c r="E3">
        <v>14.07830395</v>
      </c>
    </row>
    <row r="4" spans="1:5" x14ac:dyDescent="0.2">
      <c r="A4">
        <v>301</v>
      </c>
      <c r="B4">
        <v>5120.21875576</v>
      </c>
      <c r="C4">
        <v>3715.9724503299999</v>
      </c>
      <c r="D4">
        <v>4811.4628111800002</v>
      </c>
      <c r="E4">
        <v>4197.7453545199996</v>
      </c>
    </row>
    <row r="5" spans="1:5" x14ac:dyDescent="0.2">
      <c r="A5">
        <v>302</v>
      </c>
      <c r="B5">
        <v>10196.54462287</v>
      </c>
      <c r="C5">
        <v>4408.1564074199996</v>
      </c>
      <c r="D5">
        <v>8419.8804979500001</v>
      </c>
      <c r="E5">
        <v>5755.0543478199997</v>
      </c>
    </row>
    <row r="6" spans="1:5" x14ac:dyDescent="0.2">
      <c r="A6">
        <v>303</v>
      </c>
      <c r="B6">
        <v>15262.118800689999</v>
      </c>
      <c r="C6">
        <v>4450.9974831299996</v>
      </c>
      <c r="D6">
        <v>11178.233057490001</v>
      </c>
      <c r="E6">
        <v>6140.5950632900003</v>
      </c>
    </row>
    <row r="7" spans="1:5" x14ac:dyDescent="0.2">
      <c r="A7">
        <v>304</v>
      </c>
      <c r="B7">
        <v>20361.74956185</v>
      </c>
      <c r="C7">
        <v>4452.1919259799997</v>
      </c>
      <c r="D7">
        <v>13896.362297920001</v>
      </c>
      <c r="E7">
        <v>6234.8314221299997</v>
      </c>
    </row>
    <row r="8" spans="1:5" x14ac:dyDescent="0.2">
      <c r="A8">
        <v>305</v>
      </c>
      <c r="B8">
        <v>25493.978604929998</v>
      </c>
      <c r="C8">
        <v>4452.2079165499999</v>
      </c>
      <c r="D8">
        <v>17308.11798943</v>
      </c>
      <c r="E8">
        <v>6260.3134417499996</v>
      </c>
    </row>
    <row r="9" spans="1:5" x14ac:dyDescent="0.2">
      <c r="A9">
        <v>306</v>
      </c>
      <c r="B9">
        <v>30615.218181389999</v>
      </c>
      <c r="C9">
        <v>4452.2080226600001</v>
      </c>
      <c r="D9">
        <v>21644.38794783</v>
      </c>
      <c r="E9">
        <v>6268.1161409300003</v>
      </c>
    </row>
    <row r="10" spans="1:5" x14ac:dyDescent="0.2">
      <c r="A10">
        <v>307</v>
      </c>
      <c r="B10">
        <v>35698.80377757</v>
      </c>
      <c r="C10">
        <v>4452.2080230199999</v>
      </c>
      <c r="D10">
        <v>25988.06367399</v>
      </c>
      <c r="E10">
        <v>6270.8273525100003</v>
      </c>
    </row>
    <row r="11" spans="1:5" x14ac:dyDescent="0.2">
      <c r="A11">
        <v>308</v>
      </c>
      <c r="B11">
        <v>40768.180656559998</v>
      </c>
      <c r="C11">
        <v>4452.2080230199999</v>
      </c>
      <c r="D11">
        <v>29427.600458730001</v>
      </c>
      <c r="E11">
        <v>6271.8933662299996</v>
      </c>
    </row>
    <row r="12" spans="1:5" x14ac:dyDescent="0.2">
      <c r="A12">
        <v>309</v>
      </c>
      <c r="B12">
        <v>45863.488876290001</v>
      </c>
      <c r="C12">
        <v>4452.2080230199999</v>
      </c>
      <c r="D12">
        <v>32166.702188309999</v>
      </c>
      <c r="E12">
        <v>6272.3657732299998</v>
      </c>
    </row>
    <row r="13" spans="1:5" x14ac:dyDescent="0.2">
      <c r="A13">
        <v>310</v>
      </c>
      <c r="B13">
        <v>50989.27956037</v>
      </c>
      <c r="C13">
        <v>4452.2080230199999</v>
      </c>
      <c r="D13">
        <v>34847.160280830001</v>
      </c>
      <c r="E13">
        <v>6272.6007411399996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4ED00-2365-3448-9995-163757149920}">
  <dimension ref="A1:E12"/>
  <sheetViews>
    <sheetView workbookViewId="0">
      <selection activeCell="D26" sqref="D26"/>
    </sheetView>
  </sheetViews>
  <sheetFormatPr baseColWidth="10" defaultRowHeight="16" x14ac:dyDescent="0.2"/>
  <sheetData>
    <row r="1" spans="1:5" x14ac:dyDescent="0.2">
      <c r="A1" t="s">
        <v>164</v>
      </c>
      <c r="B1" t="s">
        <v>188</v>
      </c>
      <c r="C1" t="s">
        <v>104</v>
      </c>
      <c r="D1" t="s">
        <v>106</v>
      </c>
      <c r="E1" t="s">
        <v>161</v>
      </c>
    </row>
    <row r="2" spans="1:5" x14ac:dyDescent="0.2">
      <c r="A2">
        <v>300</v>
      </c>
      <c r="B2">
        <v>6.7260137699999998</v>
      </c>
      <c r="C2">
        <v>6.7260137699999998</v>
      </c>
      <c r="D2">
        <v>6.7260137699999998</v>
      </c>
      <c r="E2">
        <v>6.7260137699999998</v>
      </c>
    </row>
    <row r="3" spans="1:5" x14ac:dyDescent="0.2">
      <c r="A3">
        <v>301</v>
      </c>
      <c r="B3">
        <v>6.67097696</v>
      </c>
      <c r="C3">
        <v>2.18586868</v>
      </c>
      <c r="D3">
        <v>5.5695622800000004</v>
      </c>
      <c r="E3">
        <v>3.5071758100000001</v>
      </c>
    </row>
    <row r="4" spans="1:5" x14ac:dyDescent="0.2">
      <c r="A4">
        <v>302</v>
      </c>
      <c r="B4">
        <v>6.6260898700000004</v>
      </c>
      <c r="C4">
        <v>0.17236044</v>
      </c>
      <c r="D4">
        <v>4.0190355200000001</v>
      </c>
      <c r="E4">
        <v>0.92440606000000003</v>
      </c>
    </row>
    <row r="5" spans="1:5" x14ac:dyDescent="0.2">
      <c r="A5">
        <v>303</v>
      </c>
      <c r="B5">
        <v>6.6479546699999998</v>
      </c>
      <c r="C5">
        <v>5.6933000000000001E-3</v>
      </c>
      <c r="D5">
        <v>3.4695109999999998</v>
      </c>
      <c r="E5">
        <v>0.22063091000000001</v>
      </c>
    </row>
    <row r="6" spans="1:5" x14ac:dyDescent="0.2">
      <c r="A6">
        <v>304</v>
      </c>
      <c r="B6">
        <v>6.7047467300000001</v>
      </c>
      <c r="C6">
        <v>8.7349999999999995E-5</v>
      </c>
      <c r="D6">
        <v>3.9793618999999998</v>
      </c>
      <c r="E6">
        <v>5.7093440000000002E-2</v>
      </c>
    </row>
    <row r="7" spans="1:5" x14ac:dyDescent="0.2">
      <c r="A7">
        <v>305</v>
      </c>
      <c r="B7">
        <v>6.7212269400000002</v>
      </c>
      <c r="C7">
        <v>6.5000000000000002E-7</v>
      </c>
      <c r="D7">
        <v>5.3090766800000004</v>
      </c>
      <c r="E7">
        <v>1.6654749999999999E-2</v>
      </c>
    </row>
    <row r="8" spans="1:5" x14ac:dyDescent="0.2">
      <c r="A8">
        <v>306</v>
      </c>
      <c r="B8">
        <v>6.67836345</v>
      </c>
      <c r="C8">
        <v>0</v>
      </c>
      <c r="D8">
        <v>6.1751548200000004</v>
      </c>
      <c r="E8">
        <v>5.5086800000000002E-3</v>
      </c>
    </row>
    <row r="9" spans="1:5" x14ac:dyDescent="0.2">
      <c r="A9">
        <v>307</v>
      </c>
      <c r="B9">
        <v>6.6353398400000003</v>
      </c>
      <c r="C9">
        <v>0</v>
      </c>
      <c r="D9">
        <v>5.3263031099999996</v>
      </c>
      <c r="E9">
        <v>2.06215E-3</v>
      </c>
    </row>
    <row r="10" spans="1:5" x14ac:dyDescent="0.2">
      <c r="A10">
        <v>308</v>
      </c>
      <c r="B10">
        <v>6.6471648500000002</v>
      </c>
      <c r="C10">
        <v>0</v>
      </c>
      <c r="D10">
        <v>4.0601468499999998</v>
      </c>
      <c r="E10">
        <v>8.7049000000000002E-4</v>
      </c>
    </row>
    <row r="11" spans="1:5" x14ac:dyDescent="0.2">
      <c r="A11">
        <v>309</v>
      </c>
      <c r="B11">
        <v>6.6954689199999997</v>
      </c>
      <c r="C11">
        <v>0</v>
      </c>
      <c r="D11">
        <v>3.5588645699999999</v>
      </c>
      <c r="E11">
        <v>4.1269000000000001E-4</v>
      </c>
    </row>
    <row r="12" spans="1:5" x14ac:dyDescent="0.2">
      <c r="A12">
        <v>310</v>
      </c>
      <c r="B12">
        <v>6.7159555600000003</v>
      </c>
      <c r="C12">
        <v>0</v>
      </c>
      <c r="D12">
        <v>3.95399112</v>
      </c>
      <c r="E12">
        <v>2.1884000000000001E-4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62</vt:i4>
      </vt:variant>
    </vt:vector>
  </HeadingPairs>
  <TitlesOfParts>
    <vt:vector size="68" baseType="lpstr">
      <vt:lpstr>Catalytic Model</vt:lpstr>
      <vt:lpstr>NGM</vt:lpstr>
      <vt:lpstr>COMPLEX NGM</vt:lpstr>
      <vt:lpstr>Contact </vt:lpstr>
      <vt:lpstr>Number of Cases</vt:lpstr>
      <vt:lpstr>New Infections per 100k</vt:lpstr>
      <vt:lpstr>ave_infous</vt:lpstr>
      <vt:lpstr>average_infous</vt:lpstr>
      <vt:lpstr>b_mm</vt:lpstr>
      <vt:lpstr>b_mo</vt:lpstr>
      <vt:lpstr>b_my</vt:lpstr>
      <vt:lpstr>b_om</vt:lpstr>
      <vt:lpstr>b_oo</vt:lpstr>
      <vt:lpstr>b_oy</vt:lpstr>
      <vt:lpstr>b_ym</vt:lpstr>
      <vt:lpstr>b_yo</vt:lpstr>
      <vt:lpstr>b_yy</vt:lpstr>
      <vt:lpstr>beta_mm</vt:lpstr>
      <vt:lpstr>beta_mo</vt:lpstr>
      <vt:lpstr>beta_my</vt:lpstr>
      <vt:lpstr>beta_om</vt:lpstr>
      <vt:lpstr>beta_oo</vt:lpstr>
      <vt:lpstr>beta_oy</vt:lpstr>
      <vt:lpstr>beta_ym</vt:lpstr>
      <vt:lpstr>beta_yo</vt:lpstr>
      <vt:lpstr>beta_yy</vt:lpstr>
      <vt:lpstr>foi_o</vt:lpstr>
      <vt:lpstr>foi_y</vt:lpstr>
      <vt:lpstr>N_m</vt:lpstr>
      <vt:lpstr>NN_m</vt:lpstr>
      <vt:lpstr>prop_imm</vt:lpstr>
      <vt:lpstr>prop_immune</vt:lpstr>
      <vt:lpstr>R_est</vt:lpstr>
      <vt:lpstr>R_mm</vt:lpstr>
      <vt:lpstr>R_mo</vt:lpstr>
      <vt:lpstr>R_my</vt:lpstr>
      <vt:lpstr>R_om</vt:lpstr>
      <vt:lpstr>'COMPLEX NGM'!R_oo</vt:lpstr>
      <vt:lpstr>R_oo</vt:lpstr>
      <vt:lpstr>'COMPLEX NGM'!R_oy</vt:lpstr>
      <vt:lpstr>R_oy</vt:lpstr>
      <vt:lpstr>R_ym</vt:lpstr>
      <vt:lpstr>'COMPLEX NGM'!R_yo</vt:lpstr>
      <vt:lpstr>R_yo</vt:lpstr>
      <vt:lpstr>'COMPLEX NGM'!R_yy</vt:lpstr>
      <vt:lpstr>R_yy</vt:lpstr>
      <vt:lpstr>R0_est</vt:lpstr>
      <vt:lpstr>Rn_yy</vt:lpstr>
      <vt:lpstr>RR_mm</vt:lpstr>
      <vt:lpstr>RR_mo</vt:lpstr>
      <vt:lpstr>RR_my</vt:lpstr>
      <vt:lpstr>RR_om</vt:lpstr>
      <vt:lpstr>RR_oo</vt:lpstr>
      <vt:lpstr>RR_oy</vt:lpstr>
      <vt:lpstr>RR_ym</vt:lpstr>
      <vt:lpstr>RR_yo</vt:lpstr>
      <vt:lpstr>S_m</vt:lpstr>
      <vt:lpstr>S_o</vt:lpstr>
      <vt:lpstr>S_y</vt:lpstr>
      <vt:lpstr>Sus_m</vt:lpstr>
      <vt:lpstr>Sus_o</vt:lpstr>
      <vt:lpstr>Sus_y</vt:lpstr>
      <vt:lpstr>w_</vt:lpstr>
      <vt:lpstr>ww_</vt:lpstr>
      <vt:lpstr>x_</vt:lpstr>
      <vt:lpstr>xx_</vt:lpstr>
      <vt:lpstr>z_</vt:lpstr>
      <vt:lpstr>zz_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Morris-Doty</dc:creator>
  <cp:lastModifiedBy>Shay Stabler-Morris</cp:lastModifiedBy>
  <dcterms:created xsi:type="dcterms:W3CDTF">2021-03-07T19:21:14Z</dcterms:created>
  <dcterms:modified xsi:type="dcterms:W3CDTF">2021-07-15T16:13:00Z</dcterms:modified>
</cp:coreProperties>
</file>