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codeName="ThisWorkbook" defaultThemeVersion="166925"/>
  <mc:AlternateContent xmlns:mc="http://schemas.openxmlformats.org/markup-compatibility/2006">
    <mc:Choice Requires="x15">
      <x15ac:absPath xmlns:x15ac="http://schemas.microsoft.com/office/spreadsheetml/2010/11/ac" url="/Users/shaystabler-morris/Desktop/"/>
    </mc:Choice>
  </mc:AlternateContent>
  <xr:revisionPtr revIDLastSave="0" documentId="13_ncr:1_{3C245937-98EC-6F44-809C-998351034084}" xr6:coauthVersionLast="47" xr6:coauthVersionMax="47" xr10:uidLastSave="{00000000-0000-0000-0000-000000000000}"/>
  <bookViews>
    <workbookView xWindow="300" yWindow="3800" windowWidth="20960" windowHeight="14760" firstSheet="3" activeTab="8" xr2:uid="{00000000-000D-0000-FFFF-FFFF00000000}"/>
  </bookViews>
  <sheets>
    <sheet name="Proportions and RR" sheetId="1" r:id="rId1"/>
    <sheet name="Risk Ratio" sheetId="2" r:id="rId2"/>
    <sheet name="Odds Ratio" sheetId="3" r:id="rId3"/>
    <sheet name="SE -&gt; SD" sheetId="4" r:id="rId4"/>
    <sheet name="95% CI -&gt; SD" sheetId="7" r:id="rId5"/>
    <sheet name="MD Change from Baseline" sheetId="9" r:id="rId6"/>
    <sheet name="MD Post-Tx" sheetId="8" r:id="rId7"/>
    <sheet name="Diagnostic Performance" sheetId="11" r:id="rId8"/>
    <sheet name="Chi2 Test" sheetId="10" r:id="rId9"/>
  </sheets>
  <definedNames>
    <definedName name="RHO">'MD Change from Baseline'!$C$1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E7" i="11" l="1"/>
  <c r="J4" i="11" s="1"/>
  <c r="D7" i="11"/>
  <c r="F6" i="11"/>
  <c r="J6" i="11" s="1"/>
  <c r="F5" i="11"/>
  <c r="J5" i="11" s="1"/>
  <c r="Q20" i="10"/>
  <c r="C8" i="10"/>
  <c r="D8" i="10"/>
  <c r="E7" i="10"/>
  <c r="E6" i="10"/>
  <c r="F7" i="11" l="1"/>
  <c r="J3" i="11"/>
  <c r="E8" i="10"/>
  <c r="C15" i="10" s="1"/>
  <c r="D15" i="10" l="1"/>
  <c r="E15" i="10" s="1"/>
  <c r="C14" i="10"/>
  <c r="D19" i="10" l="1"/>
  <c r="D14" i="10"/>
  <c r="D16" i="10" s="1"/>
  <c r="C16" i="10"/>
  <c r="E16" i="10" l="1"/>
  <c r="C9" i="10"/>
  <c r="E9" i="10" s="1"/>
  <c r="E14" i="10"/>
  <c r="D10" i="3" l="1"/>
  <c r="F30" i="1"/>
  <c r="F14" i="1"/>
  <c r="E10" i="8"/>
  <c r="C9" i="9"/>
  <c r="C11" i="9" s="1"/>
  <c r="C8" i="9"/>
  <c r="C10" i="9" s="1"/>
  <c r="C7" i="8"/>
  <c r="C8" i="8" s="1"/>
  <c r="C6" i="8"/>
  <c r="F9" i="9"/>
  <c r="F8" i="9"/>
  <c r="F7" i="7"/>
  <c r="F8" i="7" s="1"/>
  <c r="C7" i="7"/>
  <c r="C8" i="7" s="1"/>
  <c r="F6" i="4"/>
  <c r="C6" i="4"/>
  <c r="E18" i="3"/>
  <c r="D17" i="3"/>
  <c r="C17" i="3"/>
  <c r="E16" i="3"/>
  <c r="C9" i="3"/>
  <c r="F9" i="3" s="1"/>
  <c r="D8" i="3"/>
  <c r="C8" i="3"/>
  <c r="E7" i="3"/>
  <c r="E6" i="3"/>
  <c r="C8" i="2"/>
  <c r="E7" i="2"/>
  <c r="D6" i="2"/>
  <c r="C6" i="2"/>
  <c r="E5" i="2"/>
  <c r="C29" i="1"/>
  <c r="F28" i="1"/>
  <c r="E28" i="1"/>
  <c r="E27" i="1" s="1"/>
  <c r="C28" i="1"/>
  <c r="C27" i="1"/>
  <c r="F26" i="1"/>
  <c r="E26" i="1"/>
  <c r="C26" i="1"/>
  <c r="C25" i="1"/>
  <c r="H21" i="1"/>
  <c r="G21" i="1"/>
  <c r="F21" i="1"/>
  <c r="E21" i="1"/>
  <c r="D21" i="1"/>
  <c r="C21" i="1"/>
  <c r="F12" i="1"/>
  <c r="E12" i="1"/>
  <c r="L8" i="1"/>
  <c r="N7" i="1"/>
  <c r="M6" i="1"/>
  <c r="L6" i="1"/>
  <c r="N5" i="1"/>
  <c r="H4" i="1"/>
  <c r="G4" i="1"/>
  <c r="F4" i="1"/>
  <c r="E4" i="1"/>
  <c r="D4" i="1"/>
  <c r="F10" i="1" s="1"/>
  <c r="F11" i="1" s="1"/>
  <c r="C4" i="1"/>
  <c r="E10" i="1" s="1"/>
  <c r="N6" i="1" l="1"/>
  <c r="F27" i="1"/>
  <c r="G27" i="1"/>
  <c r="E29" i="1"/>
  <c r="G26" i="1"/>
  <c r="C13" i="1"/>
  <c r="G28" i="1"/>
  <c r="N8" i="1"/>
  <c r="C9" i="8"/>
  <c r="C10" i="8"/>
  <c r="C13" i="9"/>
  <c r="C12" i="9"/>
  <c r="E13" i="9" s="1"/>
  <c r="E6" i="2"/>
  <c r="E8" i="3"/>
  <c r="E13" i="1"/>
  <c r="G10" i="1"/>
  <c r="G12" i="1"/>
  <c r="E11" i="1"/>
  <c r="G11" i="1" s="1"/>
  <c r="H29" i="1"/>
  <c r="C10" i="1"/>
  <c r="C9" i="1"/>
  <c r="C11" i="1"/>
  <c r="O8" i="1"/>
  <c r="E17" i="3"/>
  <c r="C19" i="3"/>
  <c r="F8" i="2"/>
  <c r="E8" i="2"/>
  <c r="E9" i="3"/>
  <c r="C12" i="1"/>
  <c r="G29" i="1"/>
  <c r="D9" i="2" l="1"/>
  <c r="M9" i="1"/>
  <c r="H13" i="1"/>
  <c r="G13" i="1"/>
  <c r="F19" i="3"/>
  <c r="E19" i="3"/>
  <c r="D20" i="3" s="1"/>
</calcChain>
</file>

<file path=xl/sharedStrings.xml><?xml version="1.0" encoding="utf-8"?>
<sst xmlns="http://schemas.openxmlformats.org/spreadsheetml/2006/main" count="327" uniqueCount="126">
  <si>
    <t>When you have the Denominator (N) and %, but not the numerator (n)</t>
  </si>
  <si>
    <t>Groups</t>
  </si>
  <si>
    <t>When you have the numerator and denominator</t>
  </si>
  <si>
    <t>a</t>
  </si>
  <si>
    <t>b</t>
  </si>
  <si>
    <t>c</t>
  </si>
  <si>
    <t>d</t>
  </si>
  <si>
    <t>e</t>
  </si>
  <si>
    <t>f</t>
  </si>
  <si>
    <t>Two sample risk</t>
  </si>
  <si>
    <t>Numerator n=</t>
  </si>
  <si>
    <t>Exposed</t>
  </si>
  <si>
    <t>Unexposed</t>
  </si>
  <si>
    <t>Total</t>
  </si>
  <si>
    <t>Fill in only these -&gt;</t>
  </si>
  <si>
    <t>%</t>
  </si>
  <si>
    <t>Cases</t>
  </si>
  <si>
    <t>Denominator</t>
  </si>
  <si>
    <t>Non-cases</t>
  </si>
  <si>
    <t>Mean Proportions</t>
  </si>
  <si>
    <t>RR=</t>
  </si>
  <si>
    <t>95% CI:</t>
  </si>
  <si>
    <t>Two samples</t>
  </si>
  <si>
    <t>Three samples</t>
  </si>
  <si>
    <t>Four samples</t>
  </si>
  <si>
    <t>a+c</t>
  </si>
  <si>
    <t>Five samples</t>
  </si>
  <si>
    <t>b+d</t>
  </si>
  <si>
    <t>Six samples</t>
  </si>
  <si>
    <t>a+b</t>
  </si>
  <si>
    <t>c+d</t>
  </si>
  <si>
    <t>a+b+c+d</t>
  </si>
  <si>
    <t>When you have the numerator (n) and denominator (N), but not the %</t>
  </si>
  <si>
    <t>Denominator N=</t>
  </si>
  <si>
    <t>When you have the numbers of cases and non-cases</t>
  </si>
  <si>
    <t>OR=</t>
  </si>
  <si>
    <t>(a*d)/(b*c)</t>
  </si>
  <si>
    <t>SE =</t>
  </si>
  <si>
    <t>SQRT((1/a)+(1/b)+(1/c)+(1/d)</t>
  </si>
  <si>
    <t>EXP(ln(OR)+1.96*SE)</t>
  </si>
  <si>
    <t>EXP(ln(OR)-1.96*SE)</t>
  </si>
  <si>
    <t>When you have the numbers of cases denominator</t>
  </si>
  <si>
    <t>Group 1</t>
  </si>
  <si>
    <t>Group 2</t>
  </si>
  <si>
    <t>&lt;- Fill in only these</t>
  </si>
  <si>
    <t>n =</t>
  </si>
  <si>
    <t xml:space="preserve">SD = </t>
  </si>
  <si>
    <t>When making this transformation, standard errors must be of means calculated from within an intervention group and not standard errors of the difference in means computed between intervention groups</t>
  </si>
  <si>
    <t>RHO=</t>
  </si>
  <si>
    <t>SE of change</t>
  </si>
  <si>
    <t>MD</t>
  </si>
  <si>
    <t>SD</t>
  </si>
  <si>
    <t>SE</t>
  </si>
  <si>
    <t>MD [95% CI]</t>
  </si>
  <si>
    <t>95% CI lower</t>
  </si>
  <si>
    <t>95% CI upper</t>
  </si>
  <si>
    <t>n</t>
  </si>
  <si>
    <t>When making this transformation, be careful to use the correct lower and upper limits for the confidence intervals, and the correct n for the time point and outcome you are investigating.</t>
  </si>
  <si>
    <t>Pre-mean</t>
  </si>
  <si>
    <t>Pre-SD</t>
  </si>
  <si>
    <t>n at followup</t>
  </si>
  <si>
    <t>Post-mean</t>
  </si>
  <si>
    <t>Post-SD</t>
  </si>
  <si>
    <t>Change mean</t>
  </si>
  <si>
    <t>Change SD</t>
  </si>
  <si>
    <t>MD in change scores</t>
  </si>
  <si>
    <t>MD from Baseline [95% CI]</t>
  </si>
  <si>
    <t xml:space="preserve">RR = </t>
  </si>
  <si>
    <t>(a/(a+b))/(c/(c+d))</t>
  </si>
  <si>
    <t>95% CI lower =</t>
  </si>
  <si>
    <t>95% CI upper =</t>
  </si>
  <si>
    <t>EXP(LN(RR)-1.96*(SQRT(1/a+1/c-1/(a+b)-1/(c+d))))</t>
  </si>
  <si>
    <t>EXP(LN(RR)+1.96*(SQRT(1/a+1/C-1/(a+b)-1/(c+d))))</t>
  </si>
  <si>
    <t>EXP(LN(RR)+1.96*(SQRT(1/a+1/c-1/(a+b)-1/(c+d))))</t>
  </si>
  <si>
    <t>SE*SQRT(n)</t>
  </si>
  <si>
    <t xml:space="preserve">Change SD 1 = </t>
  </si>
  <si>
    <t>Change mean 1 =</t>
  </si>
  <si>
    <t>SQRT((Pre-SD_1^2+Post-SD_1^2)-(2*RHO*Pre-SD_1*Post-SD_1))</t>
  </si>
  <si>
    <t>Change mean 2 =</t>
  </si>
  <si>
    <t>(post_mean_2 - pre_mean_2)</t>
  </si>
  <si>
    <t>(post_mean_1 - pre_mean_1)</t>
  </si>
  <si>
    <t>SQRT((Pre-SD_2^2+Post-SD_2^2)-(2*RHO*Pre-SD_2*Post-SD_2))</t>
  </si>
  <si>
    <t>MD in change scores =</t>
  </si>
  <si>
    <t>Change_mean_1-Change_mean_2</t>
  </si>
  <si>
    <t>MD_in_change_scores-1.96*SE_of_change</t>
  </si>
  <si>
    <t>MD_in_change_scores+1.96*SE_of_change</t>
  </si>
  <si>
    <t xml:space="preserve">MD = </t>
  </si>
  <si>
    <t>Post-mean_1-Post-mean_2</t>
  </si>
  <si>
    <t>95% CI Lower</t>
  </si>
  <si>
    <t>95% CI Upper</t>
  </si>
  <si>
    <t>MD-1.96*SE</t>
  </si>
  <si>
    <t>MD+1.96*SE</t>
  </si>
  <si>
    <t>RR [95% CI]</t>
  </si>
  <si>
    <t>OR [95% CI]</t>
  </si>
  <si>
    <t>&lt;- Answer</t>
  </si>
  <si>
    <t>Use this when you have the SE and need the SD</t>
  </si>
  <si>
    <t>Use this when you have the 95% confidence interval and need the SD</t>
  </si>
  <si>
    <t>(95%_CI_upper - 95%_CI_lower)/(2*1.96)</t>
  </si>
  <si>
    <t xml:space="preserve">Pre-SD </t>
  </si>
  <si>
    <r>
      <t xml:space="preserve">This sheet gives several ways to calculate odds ratios and their associated 95% confidence intervals.
An odds ratio compares the odds of an event occurring in an exposed group to the odds of the same event occurring in an unexposed group.
</t>
    </r>
    <r>
      <rPr>
        <b/>
        <u/>
        <sz val="12"/>
        <color theme="1"/>
        <rFont val="Calibri (Body)"/>
      </rPr>
      <t>Tips in interpreting odds ratios</t>
    </r>
    <r>
      <rPr>
        <b/>
        <sz val="12"/>
        <color theme="1"/>
        <rFont val="Calibri"/>
        <family val="2"/>
        <scheme val="minor"/>
      </rPr>
      <t xml:space="preserve">
- An OR can range from 0 to +∞
- An OR of 1 indicates no difference in odds of experiencing the outcome between groups; there is no association between the exposure and the outcome.
- An OR greater than 1 indicates a positive association, or an increased risk of experiencing the outcome in the exposed group. An OR of 2 means the risk is twice as high in the exposed group.
- An OR less than 1 indicates a negative association, or a decreased risk of experiencing the outcome in the exposed group. An OR of 0.5 means the risk is half in the exposed group.
- If the 95% CIs cross 1, then there is no evidence that there is a difference in odds between groups. A narrow CI indicates a precise estimate of the OR; a wide CI suggests less precision.
- Consider the magnitude of effect, a large OR suggests a strong association. Is it plausible in the context given? Larger ORs should generally be scrutinized.
- In situations where an event is rare, an OR can approximate the RR, but they can differ substantially when the event is common.</t>
    </r>
  </si>
  <si>
    <r>
      <t xml:space="preserve">This sheet allows you to quickly calculate risk ratios and associated 95% confidence intervals
</t>
    </r>
    <r>
      <rPr>
        <b/>
        <sz val="12"/>
        <color theme="1"/>
        <rFont val="Calibri (Body)"/>
      </rPr>
      <t>A risk ratio compares the probability of an event occuring in an exposed group to the probability of the same event occuring in an unexposed group.</t>
    </r>
    <r>
      <rPr>
        <b/>
        <u/>
        <sz val="12"/>
        <color theme="1"/>
        <rFont val="Calibri (Body)"/>
      </rPr>
      <t xml:space="preserve">
Tips in interpreting risk ratios
</t>
    </r>
    <r>
      <rPr>
        <b/>
        <sz val="12"/>
        <color theme="1"/>
        <rFont val="Calibri (Body)"/>
      </rPr>
      <t>- A RR can range from 0 to +∞
- A RR of 1 indicates no difference in risk experiencing the outcome between groups; there is no association between the exposure and the outcome.
- A RR greater than 1 indicates a positive association, or an increased risk of experiencing the outcome in the exposed group. A RR of 2 means the risk is twice as high in the exposed group.
- A RR less than 1 indicates a negative association, or a decreased risk of experiencing the outcome in the exposed group. A RR of 0.5 means the risk is half in the exposed group.
- If the 95% CIs cross 1, then there may not be evidence that there is a difference between groups. A narrow CI indicates a precise estimate of the RR; a wide CI suggests less precision.
- Consider the magnitude of effect, a large RR suggests a strong association. Is it plausible in the context given?</t>
    </r>
  </si>
  <si>
    <r>
      <t xml:space="preserve">This sheet gives several ways to calculate risk ratios and their associated 95% confidence intervals. You can also use this sheet to calculate mean proportions across multiple groups. This can be helpful to average demographic data across multiple groups.
A risk ratio compares the probability of an event occuring in an exposed group to the probability of the same event occuring in an unexposed group.
</t>
    </r>
    <r>
      <rPr>
        <b/>
        <u/>
        <sz val="12"/>
        <color theme="1"/>
        <rFont val="Calibri (Body)"/>
      </rPr>
      <t xml:space="preserve">Tips in interpreting risk ratios
</t>
    </r>
    <r>
      <rPr>
        <b/>
        <sz val="12"/>
        <color theme="1"/>
        <rFont val="Calibri (Body)"/>
      </rPr>
      <t>- A RR can range from 0 to +∞</t>
    </r>
    <r>
      <rPr>
        <b/>
        <u/>
        <sz val="12"/>
        <color theme="1"/>
        <rFont val="Calibri (Body)"/>
      </rPr>
      <t xml:space="preserve">
</t>
    </r>
    <r>
      <rPr>
        <b/>
        <sz val="12"/>
        <color theme="1"/>
        <rFont val="Calibri (Body)"/>
      </rPr>
      <t>- A RR of 1 indicates no difference in risk experiencing the outcome between groups; there is no association between the exposure and the outcome.
- A RR greater than 1 indicates a positive association, or an increased risk of experiencing the outcome in the exposed group. A RR of 2 means the risk is twice as high in the exposed group.
- A RR less than 1 indicates a negative association, or a decreased risk of experiencing the outcome in the exposed group. A RR of 0.5 means the risk is half in the exposed group.</t>
    </r>
    <r>
      <rPr>
        <b/>
        <sz val="12"/>
        <color theme="1"/>
        <rFont val="Calibri"/>
        <family val="2"/>
        <scheme val="minor"/>
      </rPr>
      <t xml:space="preserve">
- If the 95% CIs cross 1, then there may not be evidence that there is a difference between groups. A narrow CI indicates a precise estimate of the RR; a wide CI suggests less precision.
- Consider the magnitude of effect, a large RR suggests a strong association. Is it plausible in the context given?
</t>
    </r>
  </si>
  <si>
    <t>Observed Data</t>
  </si>
  <si>
    <t>Expected Data under the null hypothesis</t>
  </si>
  <si>
    <t>Non-exposed</t>
  </si>
  <si>
    <t>Chi2 =</t>
  </si>
  <si>
    <t>p =</t>
  </si>
  <si>
    <t>When calculating a chi-squared test, if any of the expected frequencies are less than 5, the validity of the chi-squared test is called into question. The chi-squared test relies on the assumption that expected frequencies are sufficiently large, typically set at ≥5</t>
  </si>
  <si>
    <t>Adjusting for multiple comparisons</t>
  </si>
  <si>
    <t>n test =</t>
  </si>
  <si>
    <t>Bonferroni α =</t>
  </si>
  <si>
    <t>α =</t>
  </si>
  <si>
    <t>One simple, conservative, and widely used method is the Bonferroni Correction. To apply this, divide the significance level (α, typically set at 0.05) by the number of tests done - the new significance level for each individual test becomes α/n, where n = the number of comparisons being tested. So, if you are doing 5 tests with α=0.05, the bonferroni corrected significance level for each individual test is 0.05/10=0.005. So, only p≤0.005 would be considered significant. You can use the above to calculate.</t>
  </si>
  <si>
    <t>Small sample size consideration:</t>
  </si>
  <si>
    <r>
      <t xml:space="preserve">The Chi-squared test is a method to investigate whether there is a significant association between two categorical variables. It works by comparing the observed data to data we would expect to see under the null hypothesis (that there is no association between two categorical variables), and compare it to a critical value. At the most basic level, a significant test suggests an association between variables.
</t>
    </r>
    <r>
      <rPr>
        <u/>
        <sz val="12"/>
        <color theme="1"/>
        <rFont val="Calibri (Body)"/>
      </rPr>
      <t>Tips for interpreting</t>
    </r>
    <r>
      <rPr>
        <sz val="12"/>
        <color theme="1"/>
        <rFont val="Calibri"/>
        <family val="2"/>
        <scheme val="minor"/>
      </rPr>
      <t xml:space="preserve">
- Larger chi-2 statistics suggest a stronger deviation from expected counts - and therefore a difference between the null and alternative hypothesis - not explicitly that there is an association between variables.
- Consider the sample size: chi-squared tests assume that the number of expected values are greater than 5. If the data do not meet that assumption, consider using Fisher's Exact Test.
- The p-value is the probability of observing a chi-2 statistics as extreme as, or more extreme, than the one calculated, assuming the null hypothesis is true. This means that a small p-value suggests that the observed data are unlikely under the null hypothesis. 
- If performing multiple chi-squared tests, adjust for multiple comparisons to avoid inflating the type I error rate. </t>
    </r>
  </si>
  <si>
    <t>OR =</t>
  </si>
  <si>
    <t>Gold Standard</t>
  </si>
  <si>
    <t>+</t>
  </si>
  <si>
    <t>-</t>
  </si>
  <si>
    <t>Screening data</t>
  </si>
  <si>
    <t>Sensitivity =</t>
  </si>
  <si>
    <t>Specificity =</t>
  </si>
  <si>
    <t>PPV =</t>
  </si>
  <si>
    <t>NPV =</t>
  </si>
  <si>
    <r>
      <rPr>
        <b/>
        <sz val="12"/>
        <color theme="1"/>
        <rFont val="Calibri"/>
        <family val="2"/>
        <scheme val="minor"/>
      </rPr>
      <t>Sensitivity</t>
    </r>
    <r>
      <rPr>
        <sz val="12"/>
        <color theme="1"/>
        <rFont val="Calibri"/>
        <family val="2"/>
        <scheme val="minor"/>
      </rPr>
      <t xml:space="preserve">: The ability of a test to correctly identify those with the outcome (true positives) among all that actually have the outcome. Of all with the outcome, how many did the test correctly identify?
</t>
    </r>
    <r>
      <rPr>
        <b/>
        <sz val="12"/>
        <color theme="1"/>
        <rFont val="Calibri"/>
        <family val="2"/>
        <scheme val="minor"/>
      </rPr>
      <t>Specificity</t>
    </r>
    <r>
      <rPr>
        <sz val="12"/>
        <color theme="1"/>
        <rFont val="Calibri"/>
        <family val="2"/>
        <scheme val="minor"/>
      </rPr>
      <t xml:space="preserve">: The ability of a test to correctly identify those without the outcome (true negatives) among all that actually do not have the outcomes.
</t>
    </r>
    <r>
      <rPr>
        <b/>
        <sz val="12"/>
        <color theme="1"/>
        <rFont val="Calibri"/>
        <family val="2"/>
        <scheme val="minor"/>
      </rPr>
      <t>Positive Predictive Value (PPV)</t>
    </r>
    <r>
      <rPr>
        <sz val="12"/>
        <color theme="1"/>
        <rFont val="Calibri"/>
        <family val="2"/>
        <scheme val="minor"/>
      </rPr>
      <t xml:space="preserve">: The proportion of positive tests that are true positives, indicating the likelihood that a positive test is actually positive.
</t>
    </r>
    <r>
      <rPr>
        <b/>
        <sz val="12"/>
        <color theme="1"/>
        <rFont val="Calibri"/>
        <family val="2"/>
        <scheme val="minor"/>
      </rPr>
      <t>Negative Predictive Value (NPV)</t>
    </r>
    <r>
      <rPr>
        <sz val="12"/>
        <color theme="1"/>
        <rFont val="Calibri"/>
        <family val="2"/>
        <scheme val="minor"/>
      </rPr>
      <t>: The proportion of negative tests that are true negatives, indicating the likelihood that a negative test is actually negative.</t>
    </r>
  </si>
  <si>
    <t>&lt;- Answers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</si>
</sst>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
    <numFmt numFmtId="165" formatCode="0.0000%"/>
  </numFmts>
  <fonts count="10" x14ac:knownFonts="1">
    <font>
      <sz val="12"/>
      <color theme="1"/>
      <name val="Calibri"/>
      <family val="2"/>
      <scheme val="minor"/>
    </font>
    <font>
      <b/>
      <sz val="12"/>
      <color theme="0"/>
      <name val="Calibri"/>
      <family val="2"/>
      <scheme val="minor"/>
    </font>
    <font>
      <b/>
      <sz val="12"/>
      <color theme="1"/>
      <name val="Calibri"/>
      <family val="2"/>
      <scheme val="minor"/>
    </font>
    <font>
      <sz val="12"/>
      <color theme="1" tint="4.9989318521683403E-2"/>
      <name val="Calibri"/>
      <family val="2"/>
      <scheme val="minor"/>
    </font>
    <font>
      <sz val="16"/>
      <color theme="1"/>
      <name val="Calibri"/>
      <family val="2"/>
      <scheme val="minor"/>
    </font>
    <font>
      <sz val="10"/>
      <color rgb="FF000000"/>
      <name val="Arial"/>
      <family val="2"/>
    </font>
    <font>
      <b/>
      <u/>
      <sz val="12"/>
      <color theme="1"/>
      <name val="Calibri (Body)"/>
    </font>
    <font>
      <b/>
      <sz val="12"/>
      <color theme="1"/>
      <name val="Calibri (Body)"/>
    </font>
    <font>
      <b/>
      <sz val="12"/>
      <color rgb="FFFF0000"/>
      <name val="Calibri"/>
      <family val="2"/>
      <scheme val="minor"/>
    </font>
    <font>
      <u/>
      <sz val="12"/>
      <color theme="1"/>
      <name val="Calibri (Body)"/>
    </font>
  </fonts>
  <fills count="22">
    <fill>
      <patternFill patternType="none"/>
    </fill>
    <fill>
      <patternFill patternType="gray125"/>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theme="8" tint="0.59999389629810485"/>
        <bgColor indexed="64"/>
      </patternFill>
    </fill>
    <fill>
      <patternFill patternType="solid">
        <fgColor theme="3" tint="0.79998168889431442"/>
        <bgColor indexed="64"/>
      </patternFill>
    </fill>
    <fill>
      <patternFill patternType="solid">
        <fgColor theme="9" tint="0.59999389629810485"/>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rgb="FFB5C7E8"/>
        <bgColor indexed="64"/>
      </patternFill>
    </fill>
    <fill>
      <patternFill patternType="solid">
        <fgColor theme="5" tint="0.39997558519241921"/>
        <bgColor indexed="64"/>
      </patternFill>
    </fill>
    <fill>
      <patternFill patternType="solid">
        <fgColor theme="0"/>
        <bgColor indexed="64"/>
      </patternFill>
    </fill>
  </fills>
  <borders count="44">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bottom style="thin">
        <color indexed="64"/>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top style="medium">
        <color indexed="64"/>
      </top>
      <bottom style="medium">
        <color indexed="64"/>
      </bottom>
      <diagonal/>
    </border>
    <border>
      <left/>
      <right/>
      <top style="thin">
        <color indexed="64"/>
      </top>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style="medium">
        <color indexed="64"/>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style="thin">
        <color indexed="64"/>
      </left>
      <right/>
      <top style="medium">
        <color indexed="64"/>
      </top>
      <bottom/>
      <diagonal/>
    </border>
    <border>
      <left style="thin">
        <color indexed="64"/>
      </left>
      <right/>
      <top/>
      <bottom style="medium">
        <color indexed="64"/>
      </bottom>
      <diagonal/>
    </border>
  </borders>
  <cellStyleXfs count="1">
    <xf numFmtId="0" fontId="0" fillId="0" borderId="0"/>
  </cellStyleXfs>
  <cellXfs count="240">
    <xf numFmtId="0" fontId="0" fillId="0" borderId="0" xfId="0"/>
    <xf numFmtId="0" fontId="0" fillId="9" borderId="16" xfId="0" applyFill="1" applyBorder="1"/>
    <xf numFmtId="0" fontId="0" fillId="9" borderId="13" xfId="0" applyFill="1" applyBorder="1"/>
    <xf numFmtId="0" fontId="0" fillId="6" borderId="19" xfId="0" applyFill="1" applyBorder="1"/>
    <xf numFmtId="0" fontId="0" fillId="9" borderId="18" xfId="0" applyFill="1" applyBorder="1"/>
    <xf numFmtId="0" fontId="0" fillId="9" borderId="12" xfId="0" applyFill="1" applyBorder="1"/>
    <xf numFmtId="0" fontId="0" fillId="15" borderId="3" xfId="0" applyFill="1" applyBorder="1"/>
    <xf numFmtId="0" fontId="0" fillId="15" borderId="6" xfId="0" applyFill="1" applyBorder="1"/>
    <xf numFmtId="0" fontId="2" fillId="15" borderId="6" xfId="0" quotePrefix="1" applyFont="1" applyFill="1" applyBorder="1" applyAlignment="1">
      <alignment horizontal="right"/>
    </xf>
    <xf numFmtId="0" fontId="2" fillId="15" borderId="6" xfId="0" applyFont="1" applyFill="1" applyBorder="1" applyAlignment="1">
      <alignment horizontal="right"/>
    </xf>
    <xf numFmtId="0" fontId="2" fillId="15" borderId="6" xfId="0" applyFont="1" applyFill="1" applyBorder="1"/>
    <xf numFmtId="0" fontId="2" fillId="15" borderId="8" xfId="0" applyFont="1" applyFill="1" applyBorder="1" applyAlignment="1">
      <alignment horizontal="center"/>
    </xf>
    <xf numFmtId="0" fontId="0" fillId="15" borderId="4" xfId="0" applyFill="1" applyBorder="1"/>
    <xf numFmtId="0" fontId="0" fillId="15" borderId="5" xfId="0" applyFill="1" applyBorder="1"/>
    <xf numFmtId="0" fontId="0" fillId="15" borderId="7" xfId="0" applyFill="1" applyBorder="1"/>
    <xf numFmtId="0" fontId="2" fillId="15" borderId="9" xfId="0" applyFont="1" applyFill="1" applyBorder="1" applyAlignment="1">
      <alignment horizontal="right"/>
    </xf>
    <xf numFmtId="0" fontId="0" fillId="17" borderId="4" xfId="0" applyFill="1" applyBorder="1"/>
    <xf numFmtId="0" fontId="0" fillId="17" borderId="0" xfId="0" applyFill="1"/>
    <xf numFmtId="0" fontId="0" fillId="17" borderId="9" xfId="0" applyFill="1" applyBorder="1"/>
    <xf numFmtId="0" fontId="0" fillId="17" borderId="6" xfId="0" applyFill="1" applyBorder="1"/>
    <xf numFmtId="0" fontId="0" fillId="17" borderId="7" xfId="0" applyFill="1" applyBorder="1"/>
    <xf numFmtId="0" fontId="0" fillId="17" borderId="8" xfId="0" applyFill="1" applyBorder="1"/>
    <xf numFmtId="0" fontId="0" fillId="17" borderId="10" xfId="0" applyFill="1" applyBorder="1"/>
    <xf numFmtId="0" fontId="2" fillId="11" borderId="1" xfId="0" applyFont="1" applyFill="1" applyBorder="1"/>
    <xf numFmtId="0" fontId="2" fillId="11" borderId="1" xfId="0" quotePrefix="1" applyFont="1" applyFill="1" applyBorder="1"/>
    <xf numFmtId="0" fontId="2" fillId="11" borderId="17" xfId="0" applyFont="1" applyFill="1" applyBorder="1"/>
    <xf numFmtId="0" fontId="2" fillId="11" borderId="17" xfId="0" quotePrefix="1" applyFont="1" applyFill="1" applyBorder="1"/>
    <xf numFmtId="0" fontId="0" fillId="18" borderId="1" xfId="0" applyFill="1" applyBorder="1"/>
    <xf numFmtId="0" fontId="0" fillId="18" borderId="17" xfId="0" applyFill="1" applyBorder="1"/>
    <xf numFmtId="0" fontId="0" fillId="15" borderId="6" xfId="0" applyFill="1" applyBorder="1" applyAlignment="1">
      <alignment horizontal="right"/>
    </xf>
    <xf numFmtId="0" fontId="2" fillId="15" borderId="8" xfId="0" applyFont="1" applyFill="1" applyBorder="1" applyAlignment="1">
      <alignment horizontal="right"/>
    </xf>
    <xf numFmtId="0" fontId="3" fillId="10" borderId="1" xfId="0" applyFont="1" applyFill="1" applyBorder="1" applyProtection="1">
      <protection locked="0"/>
    </xf>
    <xf numFmtId="165" fontId="3" fillId="10" borderId="1" xfId="0" applyNumberFormat="1" applyFont="1" applyFill="1" applyBorder="1" applyProtection="1">
      <protection locked="0"/>
    </xf>
    <xf numFmtId="165" fontId="3" fillId="10" borderId="13" xfId="0" applyNumberFormat="1" applyFont="1" applyFill="1" applyBorder="1" applyProtection="1">
      <protection locked="0"/>
    </xf>
    <xf numFmtId="0" fontId="3" fillId="8" borderId="1" xfId="0" applyFont="1" applyFill="1" applyBorder="1"/>
    <xf numFmtId="0" fontId="0" fillId="10" borderId="1" xfId="0" applyFill="1" applyBorder="1" applyProtection="1">
      <protection locked="0"/>
    </xf>
    <xf numFmtId="0" fontId="0" fillId="10" borderId="13" xfId="0" applyFill="1" applyBorder="1" applyProtection="1">
      <protection locked="0"/>
    </xf>
    <xf numFmtId="165" fontId="0" fillId="8" borderId="1" xfId="0" applyNumberFormat="1" applyFill="1" applyBorder="1"/>
    <xf numFmtId="0" fontId="0" fillId="13" borderId="14" xfId="0" quotePrefix="1" applyFill="1" applyBorder="1"/>
    <xf numFmtId="0" fontId="0" fillId="14" borderId="17" xfId="0" quotePrefix="1" applyFill="1" applyBorder="1"/>
    <xf numFmtId="0" fontId="0" fillId="13" borderId="15" xfId="0" quotePrefix="1" applyFill="1" applyBorder="1"/>
    <xf numFmtId="0" fontId="0" fillId="14" borderId="1" xfId="0" quotePrefix="1" applyFill="1" applyBorder="1"/>
    <xf numFmtId="0" fontId="0" fillId="8" borderId="1" xfId="0" applyFill="1" applyBorder="1"/>
    <xf numFmtId="0" fontId="0" fillId="8" borderId="13" xfId="0" applyFill="1" applyBorder="1"/>
    <xf numFmtId="0" fontId="0" fillId="8" borderId="14" xfId="0" applyFill="1" applyBorder="1"/>
    <xf numFmtId="0" fontId="0" fillId="8" borderId="15" xfId="0" applyFill="1" applyBorder="1"/>
    <xf numFmtId="0" fontId="0" fillId="9" borderId="0" xfId="0" applyFill="1" applyAlignment="1">
      <alignment horizontal="right"/>
    </xf>
    <xf numFmtId="0" fontId="0" fillId="9" borderId="0" xfId="0" applyFill="1" applyAlignment="1">
      <alignment horizontal="left"/>
    </xf>
    <xf numFmtId="0" fontId="2" fillId="11" borderId="31" xfId="0" quotePrefix="1" applyFont="1" applyFill="1" applyBorder="1"/>
    <xf numFmtId="0" fontId="2" fillId="11" borderId="26" xfId="0" quotePrefix="1" applyFont="1" applyFill="1" applyBorder="1" applyAlignment="1">
      <alignment vertical="top" wrapText="1"/>
    </xf>
    <xf numFmtId="0" fontId="0" fillId="13" borderId="13" xfId="0" applyFill="1" applyBorder="1"/>
    <xf numFmtId="0" fontId="2" fillId="17" borderId="0" xfId="0" applyFont="1" applyFill="1"/>
    <xf numFmtId="0" fontId="2" fillId="11" borderId="18" xfId="0" quotePrefix="1" applyFont="1" applyFill="1" applyBorder="1"/>
    <xf numFmtId="0" fontId="0" fillId="13" borderId="19" xfId="0" applyFill="1" applyBorder="1"/>
    <xf numFmtId="0" fontId="0" fillId="17" borderId="5" xfId="0" applyFill="1" applyBorder="1"/>
    <xf numFmtId="0" fontId="0" fillId="14" borderId="28" xfId="0" applyFill="1" applyBorder="1"/>
    <xf numFmtId="0" fontId="0" fillId="13" borderId="27" xfId="0" applyFill="1" applyBorder="1"/>
    <xf numFmtId="0" fontId="0" fillId="16" borderId="1" xfId="0" applyFill="1" applyBorder="1"/>
    <xf numFmtId="0" fontId="0" fillId="16" borderId="11" xfId="0" applyFill="1" applyBorder="1"/>
    <xf numFmtId="0" fontId="0" fillId="16" borderId="13" xfId="0" applyFill="1" applyBorder="1"/>
    <xf numFmtId="0" fontId="0" fillId="16" borderId="32" xfId="0" applyFill="1" applyBorder="1"/>
    <xf numFmtId="0" fontId="0" fillId="10" borderId="11" xfId="0" applyFill="1" applyBorder="1" applyProtection="1">
      <protection locked="0"/>
    </xf>
    <xf numFmtId="0" fontId="0" fillId="10" borderId="32" xfId="0" applyFill="1" applyBorder="1" applyProtection="1">
      <protection locked="0"/>
    </xf>
    <xf numFmtId="0" fontId="0" fillId="14" borderId="33" xfId="0" applyFill="1" applyBorder="1"/>
    <xf numFmtId="0" fontId="0" fillId="10" borderId="0" xfId="0" applyFill="1" applyAlignment="1">
      <alignment horizontal="right"/>
    </xf>
    <xf numFmtId="0" fontId="0" fillId="10" borderId="0" xfId="0" applyFill="1"/>
    <xf numFmtId="0" fontId="4" fillId="10" borderId="0" xfId="0" quotePrefix="1" applyFont="1" applyFill="1" applyAlignment="1">
      <alignment horizontal="right"/>
    </xf>
    <xf numFmtId="164" fontId="2" fillId="10" borderId="0" xfId="0" applyNumberFormat="1" applyFont="1" applyFill="1"/>
    <xf numFmtId="0" fontId="2" fillId="15" borderId="0" xfId="0" applyFont="1" applyFill="1" applyAlignment="1">
      <alignment horizontal="right"/>
    </xf>
    <xf numFmtId="0" fontId="2" fillId="11" borderId="0" xfId="0" applyFont="1" applyFill="1" applyAlignment="1">
      <alignment horizontal="left"/>
    </xf>
    <xf numFmtId="0" fontId="2" fillId="11" borderId="0" xfId="0" applyFont="1" applyFill="1"/>
    <xf numFmtId="0" fontId="0" fillId="9" borderId="0" xfId="0" applyFill="1"/>
    <xf numFmtId="0" fontId="0" fillId="15" borderId="0" xfId="0" applyFill="1"/>
    <xf numFmtId="0" fontId="1" fillId="2" borderId="0" xfId="0" applyFont="1" applyFill="1"/>
    <xf numFmtId="0" fontId="1" fillId="3" borderId="0" xfId="0" applyFont="1" applyFill="1"/>
    <xf numFmtId="0" fontId="1" fillId="4" borderId="0" xfId="0" applyFont="1" applyFill="1"/>
    <xf numFmtId="0" fontId="1" fillId="5" borderId="0" xfId="0" applyFont="1" applyFill="1"/>
    <xf numFmtId="0" fontId="1" fillId="6" borderId="0" xfId="0" applyFont="1" applyFill="1"/>
    <xf numFmtId="164" fontId="2" fillId="11" borderId="0" xfId="0" applyNumberFormat="1" applyFont="1" applyFill="1"/>
    <xf numFmtId="164" fontId="2" fillId="12" borderId="0" xfId="0" applyNumberFormat="1" applyFont="1" applyFill="1"/>
    <xf numFmtId="0" fontId="0" fillId="15" borderId="0" xfId="0" applyFill="1" applyAlignment="1">
      <alignment horizontal="right"/>
    </xf>
    <xf numFmtId="0" fontId="0" fillId="13" borderId="0" xfId="0" applyFill="1"/>
    <xf numFmtId="164" fontId="2" fillId="9" borderId="0" xfId="0" applyNumberFormat="1" applyFont="1" applyFill="1"/>
    <xf numFmtId="0" fontId="0" fillId="14" borderId="0" xfId="0" applyFill="1"/>
    <xf numFmtId="164" fontId="2" fillId="13" borderId="0" xfId="0" applyNumberFormat="1" applyFont="1" applyFill="1"/>
    <xf numFmtId="0" fontId="0" fillId="6" borderId="0" xfId="0" applyFill="1"/>
    <xf numFmtId="0" fontId="1" fillId="7" borderId="7" xfId="0" applyFont="1" applyFill="1" applyBorder="1"/>
    <xf numFmtId="0" fontId="2" fillId="15" borderId="6" xfId="0" applyFont="1" applyFill="1" applyBorder="1" applyAlignment="1">
      <alignment horizontal="center"/>
    </xf>
    <xf numFmtId="0" fontId="2" fillId="11" borderId="7" xfId="0" applyFont="1" applyFill="1" applyBorder="1"/>
    <xf numFmtId="0" fontId="2" fillId="15" borderId="10" xfId="0" applyFont="1" applyFill="1" applyBorder="1" applyAlignment="1">
      <alignment horizontal="right"/>
    </xf>
    <xf numFmtId="0" fontId="0" fillId="9" borderId="31" xfId="0" applyFill="1" applyBorder="1"/>
    <xf numFmtId="0" fontId="0" fillId="9" borderId="11" xfId="0" applyFill="1" applyBorder="1"/>
    <xf numFmtId="0" fontId="0" fillId="19" borderId="0" xfId="0" applyFill="1"/>
    <xf numFmtId="0" fontId="2" fillId="11" borderId="23" xfId="0" quotePrefix="1" applyFont="1" applyFill="1" applyBorder="1"/>
    <xf numFmtId="0" fontId="2" fillId="11" borderId="9" xfId="0" applyFont="1" applyFill="1" applyBorder="1" applyAlignment="1">
      <alignment horizontal="right"/>
    </xf>
    <xf numFmtId="0" fontId="0" fillId="15" borderId="0" xfId="0" quotePrefix="1" applyFill="1" applyAlignment="1">
      <alignment horizontal="center"/>
    </xf>
    <xf numFmtId="0" fontId="0" fillId="15" borderId="6" xfId="0" quotePrefix="1" applyFill="1" applyBorder="1" applyAlignment="1">
      <alignment horizontal="right"/>
    </xf>
    <xf numFmtId="0" fontId="0" fillId="13" borderId="3" xfId="0" applyFill="1" applyBorder="1" applyAlignment="1">
      <alignment horizontal="right"/>
    </xf>
    <xf numFmtId="0" fontId="0" fillId="13" borderId="6" xfId="0" applyFill="1" applyBorder="1" applyAlignment="1">
      <alignment horizontal="right"/>
    </xf>
    <xf numFmtId="0" fontId="0" fillId="13" borderId="8" xfId="0" applyFill="1" applyBorder="1" applyAlignment="1">
      <alignment horizontal="right"/>
    </xf>
    <xf numFmtId="0" fontId="0" fillId="9" borderId="5" xfId="0" applyFill="1" applyBorder="1"/>
    <xf numFmtId="0" fontId="0" fillId="9" borderId="7" xfId="0" applyFill="1" applyBorder="1"/>
    <xf numFmtId="0" fontId="0" fillId="9" borderId="10" xfId="0" applyFill="1" applyBorder="1"/>
    <xf numFmtId="0" fontId="0" fillId="19" borderId="1" xfId="0" applyFill="1" applyBorder="1"/>
    <xf numFmtId="0" fontId="0" fillId="21" borderId="0" xfId="0" applyFill="1"/>
    <xf numFmtId="0" fontId="2" fillId="21" borderId="0" xfId="0" applyFont="1" applyFill="1"/>
    <xf numFmtId="0" fontId="3" fillId="8" borderId="13" xfId="0" applyFont="1" applyFill="1" applyBorder="1"/>
    <xf numFmtId="0" fontId="2" fillId="21" borderId="0" xfId="0" quotePrefix="1" applyFont="1" applyFill="1"/>
    <xf numFmtId="0" fontId="0" fillId="6" borderId="32" xfId="0" quotePrefix="1" applyFill="1" applyBorder="1"/>
    <xf numFmtId="0" fontId="4" fillId="10" borderId="36" xfId="0" quotePrefix="1" applyFont="1" applyFill="1" applyBorder="1" applyAlignment="1">
      <alignment horizontal="right"/>
    </xf>
    <xf numFmtId="0" fontId="4" fillId="10" borderId="34" xfId="0" quotePrefix="1" applyFont="1" applyFill="1" applyBorder="1"/>
    <xf numFmtId="0" fontId="0" fillId="10" borderId="37" xfId="0" applyFill="1" applyBorder="1"/>
    <xf numFmtId="0" fontId="0" fillId="10" borderId="30" xfId="0" applyFill="1" applyBorder="1"/>
    <xf numFmtId="0" fontId="4" fillId="10" borderId="38" xfId="0" quotePrefix="1" applyFont="1" applyFill="1" applyBorder="1"/>
    <xf numFmtId="0" fontId="0" fillId="10" borderId="2" xfId="0" applyFill="1" applyBorder="1"/>
    <xf numFmtId="0" fontId="4" fillId="10" borderId="35" xfId="0" quotePrefix="1" applyFont="1" applyFill="1" applyBorder="1" applyAlignment="1">
      <alignment horizontal="right"/>
    </xf>
    <xf numFmtId="0" fontId="4" fillId="10" borderId="29" xfId="0" quotePrefix="1" applyFont="1" applyFill="1" applyBorder="1"/>
    <xf numFmtId="0" fontId="4" fillId="10" borderId="36" xfId="0" quotePrefix="1" applyFont="1" applyFill="1" applyBorder="1"/>
    <xf numFmtId="0" fontId="4" fillId="10" borderId="37" xfId="0" quotePrefix="1" applyFont="1" applyFill="1" applyBorder="1"/>
    <xf numFmtId="0" fontId="4" fillId="10" borderId="2" xfId="0" quotePrefix="1" applyFont="1" applyFill="1" applyBorder="1"/>
    <xf numFmtId="0" fontId="4" fillId="10" borderId="35" xfId="0" quotePrefix="1" applyFont="1" applyFill="1" applyBorder="1"/>
    <xf numFmtId="0" fontId="2" fillId="9" borderId="23" xfId="0" applyFont="1" applyFill="1" applyBorder="1" applyAlignment="1">
      <alignment horizontal="center"/>
    </xf>
    <xf numFmtId="0" fontId="2" fillId="9" borderId="25" xfId="0" applyFont="1" applyFill="1" applyBorder="1" applyAlignment="1">
      <alignment horizontal="center"/>
    </xf>
    <xf numFmtId="0" fontId="2" fillId="9" borderId="24" xfId="0" applyFont="1" applyFill="1" applyBorder="1" applyAlignment="1">
      <alignment horizontal="center"/>
    </xf>
    <xf numFmtId="0" fontId="2" fillId="21" borderId="0" xfId="0" applyFont="1" applyFill="1" applyAlignment="1">
      <alignment horizontal="center"/>
    </xf>
    <xf numFmtId="0" fontId="0" fillId="21" borderId="0" xfId="0" applyFill="1"/>
    <xf numFmtId="0" fontId="0" fillId="15" borderId="4" xfId="0" applyFill="1" applyBorder="1" applyAlignment="1">
      <alignment horizontal="center"/>
    </xf>
    <xf numFmtId="0" fontId="0" fillId="0" borderId="4" xfId="0" applyBorder="1"/>
    <xf numFmtId="0" fontId="0" fillId="0" borderId="5" xfId="0" applyBorder="1"/>
    <xf numFmtId="0" fontId="2" fillId="15" borderId="0" xfId="0" applyFont="1" applyFill="1" applyAlignment="1">
      <alignment horizontal="center"/>
    </xf>
    <xf numFmtId="0" fontId="0" fillId="0" borderId="0" xfId="0"/>
    <xf numFmtId="0" fontId="2" fillId="13" borderId="3" xfId="0" applyFont="1" applyFill="1" applyBorder="1" applyAlignment="1">
      <alignment horizontal="left" vertical="top" wrapText="1"/>
    </xf>
    <xf numFmtId="0" fontId="2" fillId="13" borderId="4" xfId="0" applyFont="1" applyFill="1" applyBorder="1" applyAlignment="1">
      <alignment horizontal="left" vertical="top" wrapText="1"/>
    </xf>
    <xf numFmtId="0" fontId="2" fillId="13" borderId="5" xfId="0" applyFont="1" applyFill="1" applyBorder="1" applyAlignment="1">
      <alignment horizontal="left" vertical="top" wrapText="1"/>
    </xf>
    <xf numFmtId="0" fontId="2" fillId="13" borderId="6" xfId="0" applyFont="1" applyFill="1" applyBorder="1" applyAlignment="1">
      <alignment horizontal="left" vertical="top" wrapText="1"/>
    </xf>
    <xf numFmtId="0" fontId="2" fillId="13" borderId="0" xfId="0" applyFont="1" applyFill="1" applyAlignment="1">
      <alignment horizontal="left" vertical="top" wrapText="1"/>
    </xf>
    <xf numFmtId="0" fontId="2" fillId="13" borderId="7" xfId="0" applyFont="1" applyFill="1" applyBorder="1" applyAlignment="1">
      <alignment horizontal="left" vertical="top" wrapText="1"/>
    </xf>
    <xf numFmtId="0" fontId="2" fillId="13" borderId="8" xfId="0" applyFont="1" applyFill="1" applyBorder="1" applyAlignment="1">
      <alignment horizontal="left" vertical="top" wrapText="1"/>
    </xf>
    <xf numFmtId="0" fontId="2" fillId="13" borderId="9" xfId="0" applyFont="1" applyFill="1" applyBorder="1" applyAlignment="1">
      <alignment horizontal="left" vertical="top" wrapText="1"/>
    </xf>
    <xf numFmtId="0" fontId="2" fillId="13" borderId="10" xfId="0" applyFont="1" applyFill="1" applyBorder="1" applyAlignment="1">
      <alignment horizontal="left" vertical="top" wrapText="1"/>
    </xf>
    <xf numFmtId="0" fontId="2" fillId="17" borderId="20" xfId="0" applyFont="1" applyFill="1" applyBorder="1" applyAlignment="1">
      <alignment horizontal="center"/>
    </xf>
    <xf numFmtId="0" fontId="0" fillId="0" borderId="21" xfId="0" applyBorder="1"/>
    <xf numFmtId="0" fontId="2" fillId="17" borderId="22" xfId="0" applyFont="1" applyFill="1" applyBorder="1" applyAlignment="1">
      <alignment horizontal="center"/>
    </xf>
    <xf numFmtId="0" fontId="0" fillId="0" borderId="22" xfId="0" applyBorder="1"/>
    <xf numFmtId="0" fontId="5" fillId="13" borderId="3" xfId="0" applyFont="1" applyFill="1" applyBorder="1" applyAlignment="1">
      <alignment horizontal="left" vertical="top" wrapText="1"/>
    </xf>
    <xf numFmtId="0" fontId="0" fillId="13" borderId="4" xfId="0" applyFill="1" applyBorder="1"/>
    <xf numFmtId="0" fontId="0" fillId="13" borderId="5" xfId="0" applyFill="1" applyBorder="1"/>
    <xf numFmtId="0" fontId="0" fillId="13" borderId="6" xfId="0" applyFill="1" applyBorder="1"/>
    <xf numFmtId="0" fontId="0" fillId="13" borderId="0" xfId="0" applyFill="1"/>
    <xf numFmtId="0" fontId="0" fillId="13" borderId="7" xfId="0" applyFill="1" applyBorder="1"/>
    <xf numFmtId="0" fontId="0" fillId="13" borderId="8" xfId="0" applyFill="1" applyBorder="1"/>
    <xf numFmtId="0" fontId="0" fillId="13" borderId="9" xfId="0" applyFill="1" applyBorder="1"/>
    <xf numFmtId="0" fontId="0" fillId="13" borderId="10" xfId="0" applyFill="1" applyBorder="1"/>
    <xf numFmtId="0" fontId="0" fillId="9" borderId="23" xfId="0" applyFill="1" applyBorder="1" applyAlignment="1">
      <alignment horizontal="center"/>
    </xf>
    <xf numFmtId="0" fontId="0" fillId="9" borderId="24" xfId="0" applyFill="1" applyBorder="1" applyAlignment="1">
      <alignment horizontal="center"/>
    </xf>
    <xf numFmtId="0" fontId="0" fillId="13" borderId="3" xfId="0" applyFill="1" applyBorder="1" applyAlignment="1">
      <alignment horizontal="left" vertical="top" wrapText="1"/>
    </xf>
    <xf numFmtId="0" fontId="0" fillId="13" borderId="4" xfId="0" applyFill="1" applyBorder="1" applyAlignment="1">
      <alignment horizontal="left" vertical="top" wrapText="1"/>
    </xf>
    <xf numFmtId="0" fontId="0" fillId="13" borderId="5" xfId="0" applyFill="1" applyBorder="1" applyAlignment="1">
      <alignment horizontal="left" vertical="top" wrapText="1"/>
    </xf>
    <xf numFmtId="0" fontId="0" fillId="13" borderId="6" xfId="0" applyFill="1" applyBorder="1" applyAlignment="1">
      <alignment horizontal="left" vertical="top" wrapText="1"/>
    </xf>
    <xf numFmtId="0" fontId="0" fillId="13" borderId="0" xfId="0" applyFill="1" applyAlignment="1">
      <alignment horizontal="left" vertical="top" wrapText="1"/>
    </xf>
    <xf numFmtId="0" fontId="0" fillId="13" borderId="7" xfId="0" applyFill="1" applyBorder="1" applyAlignment="1">
      <alignment horizontal="left" vertical="top" wrapText="1"/>
    </xf>
    <xf numFmtId="0" fontId="0" fillId="13" borderId="8" xfId="0" applyFill="1" applyBorder="1" applyAlignment="1">
      <alignment horizontal="left" vertical="top" wrapText="1"/>
    </xf>
    <xf numFmtId="0" fontId="0" fillId="13" borderId="9" xfId="0" applyFill="1" applyBorder="1" applyAlignment="1">
      <alignment horizontal="left" vertical="top" wrapText="1"/>
    </xf>
    <xf numFmtId="0" fontId="0" fillId="13" borderId="10" xfId="0" applyFill="1" applyBorder="1" applyAlignment="1">
      <alignment horizontal="left" vertical="top" wrapText="1"/>
    </xf>
    <xf numFmtId="0" fontId="8" fillId="21" borderId="23" xfId="0" applyFont="1" applyFill="1" applyBorder="1" applyAlignment="1">
      <alignment horizontal="center"/>
    </xf>
    <xf numFmtId="0" fontId="8" fillId="21" borderId="25" xfId="0" applyFont="1" applyFill="1" applyBorder="1" applyAlignment="1">
      <alignment horizontal="center"/>
    </xf>
    <xf numFmtId="0" fontId="8" fillId="21" borderId="24" xfId="0" applyFont="1" applyFill="1" applyBorder="1" applyAlignment="1">
      <alignment horizontal="center"/>
    </xf>
    <xf numFmtId="0" fontId="2" fillId="20" borderId="23" xfId="0" applyFont="1" applyFill="1" applyBorder="1" applyAlignment="1">
      <alignment horizontal="center"/>
    </xf>
    <xf numFmtId="0" fontId="2" fillId="20" borderId="24" xfId="0" applyFont="1" applyFill="1" applyBorder="1" applyAlignment="1">
      <alignment horizontal="center"/>
    </xf>
    <xf numFmtId="0" fontId="2" fillId="13" borderId="0" xfId="0" applyFont="1" applyFill="1" applyBorder="1" applyAlignment="1">
      <alignment horizontal="left" vertical="top" wrapText="1"/>
    </xf>
    <xf numFmtId="0" fontId="4" fillId="10" borderId="0" xfId="0" quotePrefix="1" applyFont="1" applyFill="1" applyBorder="1" applyAlignment="1">
      <alignment horizontal="right"/>
    </xf>
    <xf numFmtId="0" fontId="2" fillId="21" borderId="0" xfId="0" applyFont="1" applyFill="1" applyAlignment="1">
      <alignment vertical="top" wrapText="1"/>
    </xf>
    <xf numFmtId="0" fontId="0" fillId="21" borderId="0" xfId="0" applyFill="1" applyAlignment="1">
      <alignment vertical="top" wrapText="1"/>
    </xf>
    <xf numFmtId="0" fontId="0" fillId="21" borderId="0" xfId="0" quotePrefix="1" applyFill="1"/>
    <xf numFmtId="0" fontId="0" fillId="10" borderId="33" xfId="0" applyFill="1" applyBorder="1" applyAlignment="1">
      <alignment horizontal="right"/>
    </xf>
    <xf numFmtId="0" fontId="0" fillId="10" borderId="39" xfId="0" quotePrefix="1" applyFill="1" applyBorder="1"/>
    <xf numFmtId="0" fontId="0" fillId="21" borderId="0" xfId="0" applyFill="1" applyAlignment="1">
      <alignment horizontal="right"/>
    </xf>
    <xf numFmtId="0" fontId="0" fillId="16" borderId="4" xfId="0" quotePrefix="1" applyFill="1" applyBorder="1"/>
    <xf numFmtId="0" fontId="0" fillId="16" borderId="4" xfId="0" applyFill="1" applyBorder="1" applyAlignment="1">
      <alignment wrapText="1"/>
    </xf>
    <xf numFmtId="0" fontId="0" fillId="16" borderId="40" xfId="0" applyFill="1" applyBorder="1" applyAlignment="1">
      <alignment wrapText="1"/>
    </xf>
    <xf numFmtId="0" fontId="0" fillId="16" borderId="9" xfId="0" applyFill="1" applyBorder="1"/>
    <xf numFmtId="0" fontId="0" fillId="16" borderId="9" xfId="0" applyFill="1" applyBorder="1" applyAlignment="1">
      <alignment wrapText="1"/>
    </xf>
    <xf numFmtId="0" fontId="0" fillId="16" borderId="41" xfId="0" applyFill="1" applyBorder="1" applyAlignment="1">
      <alignment wrapText="1"/>
    </xf>
    <xf numFmtId="0" fontId="0" fillId="16" borderId="42" xfId="0" applyFill="1" applyBorder="1" applyAlignment="1">
      <alignment horizontal="right"/>
    </xf>
    <xf numFmtId="0" fontId="0" fillId="16" borderId="43" xfId="0" applyFill="1" applyBorder="1" applyAlignment="1">
      <alignment horizontal="right"/>
    </xf>
    <xf numFmtId="0" fontId="0" fillId="10" borderId="42" xfId="0" applyFill="1" applyBorder="1"/>
    <xf numFmtId="0" fontId="0" fillId="10" borderId="4" xfId="0" applyFill="1" applyBorder="1"/>
    <xf numFmtId="0" fontId="0" fillId="10" borderId="0" xfId="0" applyFill="1" applyBorder="1"/>
    <xf numFmtId="0" fontId="0" fillId="10" borderId="30" xfId="0" applyFill="1" applyBorder="1" applyAlignment="1">
      <alignment horizontal="right"/>
    </xf>
    <xf numFmtId="0" fontId="0" fillId="10" borderId="0" xfId="0" quotePrefix="1" applyFill="1" applyBorder="1"/>
    <xf numFmtId="0" fontId="0" fillId="10" borderId="2" xfId="0" applyFill="1" applyBorder="1" applyAlignment="1">
      <alignment horizontal="right"/>
    </xf>
    <xf numFmtId="0" fontId="0" fillId="10" borderId="35" xfId="0" quotePrefix="1" applyFill="1" applyBorder="1"/>
    <xf numFmtId="0" fontId="0" fillId="10" borderId="35" xfId="0" applyFill="1" applyBorder="1"/>
    <xf numFmtId="0" fontId="0" fillId="10" borderId="40" xfId="0" applyFill="1" applyBorder="1"/>
    <xf numFmtId="0" fontId="0" fillId="10" borderId="38" xfId="0" applyFill="1" applyBorder="1"/>
    <xf numFmtId="0" fontId="0" fillId="10" borderId="29" xfId="0" applyFill="1" applyBorder="1"/>
    <xf numFmtId="0" fontId="0" fillId="10" borderId="36" xfId="0" applyFill="1" applyBorder="1" applyAlignment="1">
      <alignment horizontal="right"/>
    </xf>
    <xf numFmtId="0" fontId="0" fillId="10" borderId="34" xfId="0" applyFill="1" applyBorder="1" applyAlignment="1">
      <alignment horizontal="right"/>
    </xf>
    <xf numFmtId="0" fontId="0" fillId="10" borderId="34" xfId="0" quotePrefix="1" applyFill="1" applyBorder="1"/>
    <xf numFmtId="0" fontId="0" fillId="10" borderId="30" xfId="0" applyFill="1" applyBorder="1" applyAlignment="1">
      <alignment horizontal="right"/>
    </xf>
    <xf numFmtId="0" fontId="0" fillId="10" borderId="0" xfId="0" applyFill="1" applyBorder="1" applyAlignment="1">
      <alignment horizontal="right"/>
    </xf>
    <xf numFmtId="0" fontId="0" fillId="10" borderId="2" xfId="0" applyFill="1" applyBorder="1" applyAlignment="1">
      <alignment horizontal="right"/>
    </xf>
    <xf numFmtId="0" fontId="0" fillId="10" borderId="35" xfId="0" applyFill="1" applyBorder="1" applyAlignment="1">
      <alignment horizontal="right"/>
    </xf>
    <xf numFmtId="0" fontId="0" fillId="21" borderId="0" xfId="0" applyFill="1" applyAlignment="1">
      <alignment horizontal="left"/>
    </xf>
    <xf numFmtId="0" fontId="0" fillId="10" borderId="4" xfId="0" quotePrefix="1" applyFill="1" applyBorder="1"/>
    <xf numFmtId="0" fontId="0" fillId="10" borderId="42" xfId="0" applyFill="1" applyBorder="1" applyAlignment="1">
      <alignment horizontal="right"/>
    </xf>
    <xf numFmtId="0" fontId="2" fillId="21" borderId="6" xfId="0" applyFont="1" applyFill="1" applyBorder="1" applyAlignment="1">
      <alignment horizontal="center" vertical="center"/>
    </xf>
    <xf numFmtId="0" fontId="0" fillId="13" borderId="36" xfId="0" applyFill="1" applyBorder="1" applyAlignment="1">
      <alignment horizontal="left" vertical="top" wrapText="1"/>
    </xf>
    <xf numFmtId="0" fontId="0" fillId="13" borderId="34" xfId="0" applyFill="1" applyBorder="1" applyAlignment="1">
      <alignment horizontal="left" vertical="top" wrapText="1"/>
    </xf>
    <xf numFmtId="0" fontId="0" fillId="13" borderId="37" xfId="0" applyFill="1" applyBorder="1" applyAlignment="1">
      <alignment horizontal="left" vertical="top" wrapText="1"/>
    </xf>
    <xf numFmtId="0" fontId="0" fillId="13" borderId="30" xfId="0" applyFill="1" applyBorder="1" applyAlignment="1">
      <alignment horizontal="left" vertical="top" wrapText="1"/>
    </xf>
    <xf numFmtId="0" fontId="0" fillId="13" borderId="0" xfId="0" applyFill="1" applyBorder="1" applyAlignment="1">
      <alignment horizontal="left" vertical="top" wrapText="1"/>
    </xf>
    <xf numFmtId="0" fontId="0" fillId="13" borderId="38" xfId="0" applyFill="1" applyBorder="1" applyAlignment="1">
      <alignment horizontal="left" vertical="top" wrapText="1"/>
    </xf>
    <xf numFmtId="0" fontId="0" fillId="13" borderId="2" xfId="0" applyFill="1" applyBorder="1" applyAlignment="1">
      <alignment horizontal="left" vertical="top" wrapText="1"/>
    </xf>
    <xf numFmtId="0" fontId="0" fillId="13" borderId="35" xfId="0" applyFill="1" applyBorder="1" applyAlignment="1">
      <alignment horizontal="left" vertical="top" wrapText="1"/>
    </xf>
    <xf numFmtId="0" fontId="0" fillId="13" borderId="29" xfId="0" applyFill="1" applyBorder="1" applyAlignment="1">
      <alignment horizontal="left" vertical="top" wrapText="1"/>
    </xf>
    <xf numFmtId="0" fontId="0" fillId="21" borderId="8" xfId="0" applyFill="1" applyBorder="1" applyAlignment="1">
      <alignment horizontal="left" vertical="top" wrapText="1"/>
    </xf>
    <xf numFmtId="0" fontId="0" fillId="21" borderId="9" xfId="0" applyFill="1" applyBorder="1" applyAlignment="1">
      <alignment horizontal="left" vertical="top" wrapText="1"/>
    </xf>
    <xf numFmtId="0" fontId="0" fillId="21" borderId="10" xfId="0" applyFill="1" applyBorder="1" applyAlignment="1">
      <alignment horizontal="left" vertical="top" wrapText="1"/>
    </xf>
    <xf numFmtId="0" fontId="0" fillId="21" borderId="6" xfId="0" applyFill="1" applyBorder="1" applyAlignment="1">
      <alignment horizontal="left" vertical="top" wrapText="1"/>
    </xf>
    <xf numFmtId="0" fontId="0" fillId="21" borderId="0" xfId="0" applyFill="1" applyAlignment="1">
      <alignment horizontal="left" vertical="top" wrapText="1"/>
    </xf>
    <xf numFmtId="0" fontId="0" fillId="21" borderId="7" xfId="0" applyFill="1" applyBorder="1" applyAlignment="1">
      <alignment horizontal="left" vertical="top" wrapText="1"/>
    </xf>
    <xf numFmtId="0" fontId="0" fillId="21" borderId="0" xfId="0" applyFill="1" applyAlignment="1">
      <alignment horizontal="left" vertical="top" wrapText="1"/>
    </xf>
    <xf numFmtId="0" fontId="0" fillId="21" borderId="7" xfId="0" applyFill="1" applyBorder="1" applyAlignment="1">
      <alignment horizontal="left" vertical="top" wrapText="1"/>
    </xf>
    <xf numFmtId="0" fontId="0" fillId="21" borderId="0" xfId="0" applyFill="1" applyBorder="1" applyAlignment="1">
      <alignment horizontal="left" vertical="top" wrapText="1"/>
    </xf>
    <xf numFmtId="0" fontId="2" fillId="0" borderId="3" xfId="0" applyFont="1" applyBorder="1" applyAlignment="1">
      <alignment horizontal="center"/>
    </xf>
    <xf numFmtId="0" fontId="2" fillId="0" borderId="4" xfId="0" applyFont="1" applyBorder="1" applyAlignment="1">
      <alignment horizontal="center"/>
    </xf>
    <xf numFmtId="0" fontId="2" fillId="0" borderId="5" xfId="0" applyFont="1" applyBorder="1" applyAlignment="1">
      <alignment horizontal="center"/>
    </xf>
    <xf numFmtId="0" fontId="0" fillId="0" borderId="3" xfId="0" applyBorder="1" applyAlignment="1">
      <alignment horizontal="right"/>
    </xf>
    <xf numFmtId="0" fontId="0" fillId="10" borderId="4" xfId="0" applyFill="1" applyBorder="1" applyAlignment="1" applyProtection="1">
      <alignment horizontal="left"/>
      <protection locked="0"/>
    </xf>
    <xf numFmtId="0" fontId="0" fillId="0" borderId="4" xfId="0" applyBorder="1" applyAlignment="1">
      <alignment horizontal="right"/>
    </xf>
    <xf numFmtId="0" fontId="0" fillId="10" borderId="4" xfId="0" applyFill="1" applyBorder="1" applyAlignment="1" applyProtection="1">
      <alignment horizontal="left" vertical="top"/>
      <protection locked="0"/>
    </xf>
    <xf numFmtId="0" fontId="0" fillId="0" borderId="3" xfId="0" applyBorder="1" applyAlignment="1">
      <alignment horizontal="right"/>
    </xf>
    <xf numFmtId="0" fontId="0" fillId="0" borderId="4" xfId="0" applyBorder="1" applyAlignment="1">
      <alignment horizontal="right"/>
    </xf>
    <xf numFmtId="0" fontId="2" fillId="9" borderId="5" xfId="0" applyFont="1" applyFill="1" applyBorder="1" applyAlignment="1">
      <alignment horizontal="left"/>
    </xf>
    <xf numFmtId="0" fontId="0" fillId="21" borderId="0" xfId="0" applyFill="1" applyBorder="1"/>
    <xf numFmtId="0" fontId="0" fillId="15" borderId="0" xfId="0" applyFill="1" applyBorder="1"/>
    <xf numFmtId="0" fontId="0" fillId="9" borderId="0" xfId="0" applyFill="1" applyBorder="1"/>
    <xf numFmtId="0" fontId="0" fillId="19" borderId="0" xfId="0" applyFill="1" applyBorder="1"/>
    <xf numFmtId="0" fontId="0" fillId="6" borderId="0" xfId="0" applyFill="1" applyBorder="1"/>
  </cellXfs>
  <cellStyles count="1">
    <cellStyle name="Normal" xfId="0" builtinId="0"/>
  </cellStyles>
  <dxfs count="0"/>
  <tableStyles count="0" defaultTableStyle="TableStyleMedium2" defaultPivotStyle="PivotStyleLight16"/>
  <colors>
    <mruColors>
      <color rgb="FFEDEDED"/>
      <color rgb="FFFFF3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R37"/>
  <sheetViews>
    <sheetView zoomScale="75" zoomScaleNormal="90" workbookViewId="0">
      <selection activeCell="J14" sqref="J14"/>
    </sheetView>
  </sheetViews>
  <sheetFormatPr baseColWidth="10" defaultRowHeight="16" x14ac:dyDescent="0.2"/>
  <cols>
    <col min="1" max="1" width="17" style="104" bestFit="1" customWidth="1"/>
    <col min="2" max="2" width="15.33203125" style="104" customWidth="1"/>
    <col min="3" max="6" width="10.83203125" style="104"/>
    <col min="7" max="7" width="10.83203125" style="104" customWidth="1"/>
    <col min="8" max="9" width="10.83203125" style="104"/>
    <col min="10" max="10" width="17" style="104" bestFit="1" customWidth="1"/>
    <col min="11" max="16384" width="10.83203125" style="104"/>
  </cols>
  <sheetData>
    <row r="1" spans="1:18" ht="17" customHeight="1" thickBot="1" x14ac:dyDescent="0.25">
      <c r="B1" s="124" t="s">
        <v>0</v>
      </c>
      <c r="C1" s="125"/>
      <c r="D1" s="125"/>
      <c r="E1" s="125"/>
      <c r="F1" s="125"/>
      <c r="G1" s="125"/>
    </row>
    <row r="2" spans="1:18" ht="17" customHeight="1" thickBot="1" x14ac:dyDescent="0.25">
      <c r="B2" s="6"/>
      <c r="C2" s="126" t="s">
        <v>1</v>
      </c>
      <c r="D2" s="127"/>
      <c r="E2" s="127"/>
      <c r="F2" s="127"/>
      <c r="G2" s="127"/>
      <c r="H2" s="128"/>
      <c r="K2" s="124" t="s">
        <v>2</v>
      </c>
      <c r="L2" s="125"/>
      <c r="M2" s="125"/>
      <c r="N2" s="125"/>
    </row>
    <row r="3" spans="1:18" x14ac:dyDescent="0.2">
      <c r="B3" s="7"/>
      <c r="C3" s="73" t="s">
        <v>3</v>
      </c>
      <c r="D3" s="74" t="s">
        <v>4</v>
      </c>
      <c r="E3" s="75" t="s">
        <v>5</v>
      </c>
      <c r="F3" s="76" t="s">
        <v>6</v>
      </c>
      <c r="G3" s="77" t="s">
        <v>7</v>
      </c>
      <c r="H3" s="86" t="s">
        <v>8</v>
      </c>
      <c r="K3" s="6"/>
      <c r="L3" s="12" t="s">
        <v>9</v>
      </c>
      <c r="M3" s="12"/>
      <c r="N3" s="12"/>
      <c r="O3" s="13"/>
    </row>
    <row r="4" spans="1:18" ht="17" customHeight="1" x14ac:dyDescent="0.2">
      <c r="B4" s="8" t="s">
        <v>10</v>
      </c>
      <c r="C4" s="34">
        <f t="shared" ref="C4:H4" si="0">C6*C5</f>
        <v>7.5900000000000007</v>
      </c>
      <c r="D4" s="34">
        <f t="shared" si="0"/>
        <v>7.36</v>
      </c>
      <c r="E4" s="34">
        <f t="shared" si="0"/>
        <v>0</v>
      </c>
      <c r="F4" s="34">
        <f t="shared" si="0"/>
        <v>0</v>
      </c>
      <c r="G4" s="34">
        <f t="shared" si="0"/>
        <v>0</v>
      </c>
      <c r="H4" s="106">
        <f t="shared" si="0"/>
        <v>0</v>
      </c>
      <c r="K4" s="7"/>
      <c r="L4" s="72" t="s">
        <v>11</v>
      </c>
      <c r="M4" s="72" t="s">
        <v>12</v>
      </c>
      <c r="N4" s="72" t="s">
        <v>13</v>
      </c>
      <c r="O4" s="14"/>
    </row>
    <row r="5" spans="1:18" x14ac:dyDescent="0.2">
      <c r="A5" s="105" t="s">
        <v>14</v>
      </c>
      <c r="B5" s="9" t="s">
        <v>15</v>
      </c>
      <c r="C5" s="32">
        <v>0.23</v>
      </c>
      <c r="D5" s="32">
        <v>0.23</v>
      </c>
      <c r="E5" s="32">
        <v>0</v>
      </c>
      <c r="F5" s="32">
        <v>0</v>
      </c>
      <c r="G5" s="32">
        <v>0</v>
      </c>
      <c r="H5" s="33">
        <v>0</v>
      </c>
      <c r="J5" s="105" t="s">
        <v>14</v>
      </c>
      <c r="K5" s="29" t="s">
        <v>16</v>
      </c>
      <c r="L5" s="35">
        <v>8</v>
      </c>
      <c r="M5" s="35">
        <v>5</v>
      </c>
      <c r="N5" s="71">
        <f>L5+M5</f>
        <v>13</v>
      </c>
      <c r="O5" s="14"/>
    </row>
    <row r="6" spans="1:18" x14ac:dyDescent="0.2">
      <c r="A6" s="105" t="s">
        <v>14</v>
      </c>
      <c r="B6" s="8" t="s">
        <v>17</v>
      </c>
      <c r="C6" s="35">
        <v>33</v>
      </c>
      <c r="D6" s="35">
        <v>32</v>
      </c>
      <c r="E6" s="35">
        <v>100</v>
      </c>
      <c r="F6" s="35">
        <v>100</v>
      </c>
      <c r="G6" s="35">
        <v>100</v>
      </c>
      <c r="H6" s="36">
        <v>100</v>
      </c>
      <c r="K6" s="29" t="s">
        <v>18</v>
      </c>
      <c r="L6" s="27">
        <f>L7-L5</f>
        <v>98</v>
      </c>
      <c r="M6" s="27">
        <f>M7-M5</f>
        <v>115</v>
      </c>
      <c r="N6" s="71">
        <f>L6+M6</f>
        <v>213</v>
      </c>
      <c r="O6" s="14"/>
    </row>
    <row r="7" spans="1:18" ht="17" customHeight="1" x14ac:dyDescent="0.2">
      <c r="B7" s="7"/>
      <c r="C7" s="72"/>
      <c r="D7" s="72"/>
      <c r="E7" s="72"/>
      <c r="F7" s="72"/>
      <c r="G7" s="72"/>
      <c r="H7" s="14"/>
      <c r="J7" s="105" t="s">
        <v>14</v>
      </c>
      <c r="K7" s="29" t="s">
        <v>13</v>
      </c>
      <c r="L7" s="35">
        <v>106</v>
      </c>
      <c r="M7" s="35">
        <v>120</v>
      </c>
      <c r="N7" s="85">
        <f>L7+M7</f>
        <v>226</v>
      </c>
      <c r="O7" s="14"/>
    </row>
    <row r="8" spans="1:18" ht="17" customHeight="1" thickBot="1" x14ac:dyDescent="0.25">
      <c r="B8" s="10" t="s">
        <v>19</v>
      </c>
      <c r="C8" s="72"/>
      <c r="D8" s="72"/>
      <c r="E8" s="129" t="s">
        <v>9</v>
      </c>
      <c r="F8" s="130"/>
      <c r="G8" s="130"/>
      <c r="H8" s="14"/>
      <c r="K8" s="9" t="s">
        <v>20</v>
      </c>
      <c r="L8" s="69">
        <f>(L5/L7)/(M5/M7)</f>
        <v>1.8113207547169812</v>
      </c>
      <c r="M8" s="68" t="s">
        <v>21</v>
      </c>
      <c r="N8" s="70">
        <f>EXP(LN(L8)-1.96*(SQRT(1/L5+1/M5-1/(L5+L6)-1/(M5+M6))))</f>
        <v>0.6111921939697097</v>
      </c>
      <c r="O8" s="88">
        <f>EXP(LN(L8)+1.96*(SQRT(1/L5+1/M5-1/(L5+L6)-1/(M5+M6))))</f>
        <v>5.3680052017010746</v>
      </c>
    </row>
    <row r="9" spans="1:18" ht="17" customHeight="1" thickBot="1" x14ac:dyDescent="0.25">
      <c r="B9" s="87" t="s">
        <v>22</v>
      </c>
      <c r="C9" s="78">
        <f>((C4+D4)/(C6+D6))</f>
        <v>0.23</v>
      </c>
      <c r="D9" s="72"/>
      <c r="E9" s="72" t="s">
        <v>11</v>
      </c>
      <c r="F9" s="72" t="s">
        <v>12</v>
      </c>
      <c r="G9" s="72" t="s">
        <v>13</v>
      </c>
      <c r="H9" s="14"/>
      <c r="K9" s="30"/>
      <c r="L9" s="15" t="s">
        <v>92</v>
      </c>
      <c r="M9" s="121" t="str">
        <f>CONCATENATE(ROUND(L8,2)," (95% CI ",ROUND(N8,2)," to ",ROUND(O8,2),")")</f>
        <v>1.81 (95% CI 0.61 to 5.37)</v>
      </c>
      <c r="N9" s="122"/>
      <c r="O9" s="123"/>
      <c r="P9" s="107" t="s">
        <v>94</v>
      </c>
    </row>
    <row r="10" spans="1:18" ht="17" customHeight="1" thickBot="1" x14ac:dyDescent="0.25">
      <c r="B10" s="87" t="s">
        <v>23</v>
      </c>
      <c r="C10" s="79">
        <f>((C4+D4+E4)/(C6+D6+E6))</f>
        <v>9.0606060606060607E-2</v>
      </c>
      <c r="D10" s="80" t="s">
        <v>16</v>
      </c>
      <c r="E10" s="81">
        <f>C4</f>
        <v>7.5900000000000007</v>
      </c>
      <c r="F10" s="81">
        <f>D4</f>
        <v>7.36</v>
      </c>
      <c r="G10" s="71">
        <f>E10+F10</f>
        <v>14.950000000000001</v>
      </c>
      <c r="H10" s="14"/>
    </row>
    <row r="11" spans="1:18" x14ac:dyDescent="0.2">
      <c r="B11" s="87" t="s">
        <v>24</v>
      </c>
      <c r="C11" s="82">
        <f>((C4+D4+E4+F4)/(C6+D6+E6+F6))</f>
        <v>5.6415094339622648E-2</v>
      </c>
      <c r="D11" s="80" t="s">
        <v>18</v>
      </c>
      <c r="E11" s="83">
        <f>E12-E10</f>
        <v>25.41</v>
      </c>
      <c r="F11" s="83">
        <f>F12-F10</f>
        <v>24.64</v>
      </c>
      <c r="G11" s="71">
        <f>E11+F11</f>
        <v>50.05</v>
      </c>
      <c r="H11" s="14"/>
      <c r="K11" s="38" t="s">
        <v>3</v>
      </c>
      <c r="L11" s="40" t="s">
        <v>5</v>
      </c>
      <c r="M11" s="1" t="s">
        <v>25</v>
      </c>
    </row>
    <row r="12" spans="1:18" ht="17" customHeight="1" x14ac:dyDescent="0.2">
      <c r="B12" s="87" t="s">
        <v>26</v>
      </c>
      <c r="C12" s="84">
        <f>((C4+D4+E4+F4+G4)/(C6+D6+E6+F6+G6))</f>
        <v>4.0958904109589044E-2</v>
      </c>
      <c r="D12" s="80" t="s">
        <v>13</v>
      </c>
      <c r="E12" s="71">
        <f>C6</f>
        <v>33</v>
      </c>
      <c r="F12" s="71">
        <f>D6</f>
        <v>32</v>
      </c>
      <c r="G12" s="85">
        <f>E12+F12</f>
        <v>65</v>
      </c>
      <c r="H12" s="14"/>
      <c r="K12" s="39" t="s">
        <v>4</v>
      </c>
      <c r="L12" s="41" t="s">
        <v>6</v>
      </c>
      <c r="M12" s="2" t="s">
        <v>27</v>
      </c>
    </row>
    <row r="13" spans="1:18" ht="17" customHeight="1" thickBot="1" x14ac:dyDescent="0.25">
      <c r="B13" s="87" t="s">
        <v>28</v>
      </c>
      <c r="C13" s="67">
        <f>((C4+D4+E4+F4+G4+H4)/(C6+D6+E6+F6+G6+H6))</f>
        <v>3.2150537634408602E-2</v>
      </c>
      <c r="D13" s="68" t="s">
        <v>20</v>
      </c>
      <c r="E13" s="69">
        <f>(E10/E12)/(F10/F12)</f>
        <v>1</v>
      </c>
      <c r="F13" s="68" t="s">
        <v>21</v>
      </c>
      <c r="G13" s="70">
        <f>EXP(LN(E13)-1.96*(SQRT(1/E10+1/F10-1/(E10+E11)-1/(F10+F11))))</f>
        <v>0.41076327801882923</v>
      </c>
      <c r="H13" s="88">
        <f>EXP(LN(E13)+1.96*(SQRT(1/E10+1/F10-1/(E10+E11)-1/(F10+F11))))</f>
        <v>2.4344922088048979</v>
      </c>
      <c r="K13" s="90" t="s">
        <v>29</v>
      </c>
      <c r="L13" s="91" t="s">
        <v>30</v>
      </c>
      <c r="M13" s="108" t="s">
        <v>31</v>
      </c>
    </row>
    <row r="14" spans="1:18" ht="22" thickBot="1" x14ac:dyDescent="0.3">
      <c r="B14" s="11"/>
      <c r="C14" s="15"/>
      <c r="D14" s="15"/>
      <c r="E14" s="15" t="s">
        <v>92</v>
      </c>
      <c r="F14" s="121" t="str">
        <f>CONCATENATE(ROUND(E13,2)," (95% CI ",ROUND(G13,2)," to ",ROUND(H13,2),")")</f>
        <v>1 (95% CI 0.41 to 2.43)</v>
      </c>
      <c r="G14" s="122"/>
      <c r="H14" s="123"/>
      <c r="I14" s="107" t="s">
        <v>94</v>
      </c>
      <c r="K14" s="109" t="s">
        <v>67</v>
      </c>
      <c r="L14" s="110" t="s">
        <v>68</v>
      </c>
      <c r="M14" s="111"/>
    </row>
    <row r="15" spans="1:18" ht="21" customHeight="1" x14ac:dyDescent="0.25">
      <c r="K15" s="112"/>
      <c r="L15" s="66" t="s">
        <v>69</v>
      </c>
      <c r="M15" s="113" t="s">
        <v>71</v>
      </c>
      <c r="N15" s="117"/>
      <c r="O15" s="110"/>
      <c r="P15" s="110"/>
      <c r="Q15" s="110"/>
      <c r="R15" s="118"/>
    </row>
    <row r="16" spans="1:18" ht="21" x14ac:dyDescent="0.25">
      <c r="K16" s="114"/>
      <c r="L16" s="115" t="s">
        <v>70</v>
      </c>
      <c r="M16" s="116" t="s">
        <v>72</v>
      </c>
      <c r="N16" s="119"/>
      <c r="O16" s="120"/>
      <c r="P16" s="120"/>
      <c r="Q16" s="120"/>
      <c r="R16" s="116"/>
    </row>
    <row r="17" spans="1:17" ht="17" thickBot="1" x14ac:dyDescent="0.25">
      <c r="B17" s="124" t="s">
        <v>32</v>
      </c>
      <c r="C17" s="125"/>
      <c r="D17" s="125"/>
      <c r="E17" s="125"/>
      <c r="F17" s="125"/>
      <c r="G17" s="125"/>
    </row>
    <row r="18" spans="1:17" ht="17" thickBot="1" x14ac:dyDescent="0.25">
      <c r="B18" s="6"/>
      <c r="C18" s="126" t="s">
        <v>1</v>
      </c>
      <c r="D18" s="127"/>
      <c r="E18" s="127"/>
      <c r="F18" s="127"/>
      <c r="G18" s="127"/>
      <c r="H18" s="128"/>
    </row>
    <row r="19" spans="1:17" ht="16" customHeight="1" x14ac:dyDescent="0.2">
      <c r="B19" s="7"/>
      <c r="C19" s="73" t="s">
        <v>3</v>
      </c>
      <c r="D19" s="74" t="s">
        <v>4</v>
      </c>
      <c r="E19" s="75" t="s">
        <v>5</v>
      </c>
      <c r="F19" s="76" t="s">
        <v>6</v>
      </c>
      <c r="G19" s="77" t="s">
        <v>7</v>
      </c>
      <c r="H19" s="86" t="s">
        <v>8</v>
      </c>
      <c r="J19" s="131" t="s">
        <v>101</v>
      </c>
      <c r="K19" s="132"/>
      <c r="L19" s="132"/>
      <c r="M19" s="132"/>
      <c r="N19" s="132"/>
      <c r="O19" s="132"/>
      <c r="P19" s="132"/>
      <c r="Q19" s="133"/>
    </row>
    <row r="20" spans="1:17" x14ac:dyDescent="0.2">
      <c r="A20" s="105" t="s">
        <v>14</v>
      </c>
      <c r="B20" s="8" t="s">
        <v>10</v>
      </c>
      <c r="C20" s="31">
        <v>10</v>
      </c>
      <c r="D20" s="31">
        <v>80</v>
      </c>
      <c r="E20" s="31">
        <v>25</v>
      </c>
      <c r="F20" s="31">
        <v>29</v>
      </c>
      <c r="G20" s="31">
        <v>80</v>
      </c>
      <c r="H20" s="31">
        <v>1</v>
      </c>
      <c r="J20" s="134"/>
      <c r="K20" s="135"/>
      <c r="L20" s="135"/>
      <c r="M20" s="135"/>
      <c r="N20" s="135"/>
      <c r="O20" s="135"/>
      <c r="P20" s="135"/>
      <c r="Q20" s="136"/>
    </row>
    <row r="21" spans="1:17" x14ac:dyDescent="0.2">
      <c r="B21" s="9" t="s">
        <v>15</v>
      </c>
      <c r="C21" s="37">
        <f t="shared" ref="C21:H21" si="1">C20/C22</f>
        <v>0.1</v>
      </c>
      <c r="D21" s="37">
        <f t="shared" si="1"/>
        <v>0.8</v>
      </c>
      <c r="E21" s="37">
        <f t="shared" si="1"/>
        <v>0.25</v>
      </c>
      <c r="F21" s="37">
        <f t="shared" si="1"/>
        <v>0.28999999999999998</v>
      </c>
      <c r="G21" s="37">
        <f t="shared" si="1"/>
        <v>0.8</v>
      </c>
      <c r="H21" s="37">
        <f t="shared" si="1"/>
        <v>0.01</v>
      </c>
      <c r="J21" s="134"/>
      <c r="K21" s="135"/>
      <c r="L21" s="135"/>
      <c r="M21" s="135"/>
      <c r="N21" s="135"/>
      <c r="O21" s="135"/>
      <c r="P21" s="135"/>
      <c r="Q21" s="136"/>
    </row>
    <row r="22" spans="1:17" x14ac:dyDescent="0.2">
      <c r="A22" s="105" t="s">
        <v>14</v>
      </c>
      <c r="B22" s="8" t="s">
        <v>33</v>
      </c>
      <c r="C22" s="31">
        <v>100</v>
      </c>
      <c r="D22" s="31">
        <v>100</v>
      </c>
      <c r="E22" s="31">
        <v>100</v>
      </c>
      <c r="F22" s="31">
        <v>100</v>
      </c>
      <c r="G22" s="31">
        <v>100</v>
      </c>
      <c r="H22" s="31">
        <v>100</v>
      </c>
      <c r="J22" s="134"/>
      <c r="K22" s="135"/>
      <c r="L22" s="135"/>
      <c r="M22" s="135"/>
      <c r="N22" s="135"/>
      <c r="O22" s="135"/>
      <c r="P22" s="135"/>
      <c r="Q22" s="136"/>
    </row>
    <row r="23" spans="1:17" x14ac:dyDescent="0.2">
      <c r="B23" s="7"/>
      <c r="C23" s="72"/>
      <c r="D23" s="72"/>
      <c r="E23" s="72"/>
      <c r="F23" s="72"/>
      <c r="G23" s="72"/>
      <c r="H23" s="14"/>
      <c r="J23" s="134"/>
      <c r="K23" s="135"/>
      <c r="L23" s="135"/>
      <c r="M23" s="135"/>
      <c r="N23" s="135"/>
      <c r="O23" s="135"/>
      <c r="P23" s="135"/>
      <c r="Q23" s="136"/>
    </row>
    <row r="24" spans="1:17" ht="16" customHeight="1" x14ac:dyDescent="0.2">
      <c r="B24" s="10" t="s">
        <v>19</v>
      </c>
      <c r="C24" s="72"/>
      <c r="D24" s="72"/>
      <c r="E24" s="129" t="s">
        <v>9</v>
      </c>
      <c r="F24" s="130"/>
      <c r="G24" s="130"/>
      <c r="H24" s="14"/>
      <c r="J24" s="134"/>
      <c r="K24" s="135"/>
      <c r="L24" s="135"/>
      <c r="M24" s="135"/>
      <c r="N24" s="135"/>
      <c r="O24" s="135"/>
      <c r="P24" s="135"/>
      <c r="Q24" s="136"/>
    </row>
    <row r="25" spans="1:17" ht="17" customHeight="1" x14ac:dyDescent="0.2">
      <c r="B25" s="87" t="s">
        <v>22</v>
      </c>
      <c r="C25" s="78">
        <f>((C20+D20)/(C22+D22))</f>
        <v>0.45</v>
      </c>
      <c r="D25" s="72"/>
      <c r="E25" s="72" t="s">
        <v>11</v>
      </c>
      <c r="F25" s="72" t="s">
        <v>12</v>
      </c>
      <c r="G25" s="72" t="s">
        <v>13</v>
      </c>
      <c r="H25" s="14"/>
      <c r="J25" s="134"/>
      <c r="K25" s="135"/>
      <c r="L25" s="135"/>
      <c r="M25" s="135"/>
      <c r="N25" s="135"/>
      <c r="O25" s="135"/>
      <c r="P25" s="135"/>
      <c r="Q25" s="136"/>
    </row>
    <row r="26" spans="1:17" x14ac:dyDescent="0.2">
      <c r="B26" s="87" t="s">
        <v>23</v>
      </c>
      <c r="C26" s="79">
        <f>((C20+D20+E20)/(C22+D22+E22))</f>
        <v>0.38333333333333336</v>
      </c>
      <c r="D26" s="80" t="s">
        <v>16</v>
      </c>
      <c r="E26" s="81">
        <f>C20</f>
        <v>10</v>
      </c>
      <c r="F26" s="81">
        <f>D20</f>
        <v>80</v>
      </c>
      <c r="G26" s="71">
        <f>E26+F26</f>
        <v>90</v>
      </c>
      <c r="H26" s="14"/>
      <c r="J26" s="134"/>
      <c r="K26" s="135"/>
      <c r="L26" s="135"/>
      <c r="M26" s="135"/>
      <c r="N26" s="135"/>
      <c r="O26" s="135"/>
      <c r="P26" s="135"/>
      <c r="Q26" s="136"/>
    </row>
    <row r="27" spans="1:17" x14ac:dyDescent="0.2">
      <c r="B27" s="87" t="s">
        <v>24</v>
      </c>
      <c r="C27" s="82">
        <f>((C20+D20+E20+F20)/(C22+D22+E22+F22))</f>
        <v>0.36</v>
      </c>
      <c r="D27" s="80" t="s">
        <v>18</v>
      </c>
      <c r="E27" s="83">
        <f>E28-E26</f>
        <v>90</v>
      </c>
      <c r="F27" s="83">
        <f>F28-F26</f>
        <v>20</v>
      </c>
      <c r="G27" s="71">
        <f>E27+F27</f>
        <v>110</v>
      </c>
      <c r="H27" s="14"/>
      <c r="J27" s="134"/>
      <c r="K27" s="135"/>
      <c r="L27" s="135"/>
      <c r="M27" s="135"/>
      <c r="N27" s="135"/>
      <c r="O27" s="135"/>
      <c r="P27" s="135"/>
      <c r="Q27" s="136"/>
    </row>
    <row r="28" spans="1:17" ht="17" customHeight="1" x14ac:dyDescent="0.2">
      <c r="B28" s="87" t="s">
        <v>26</v>
      </c>
      <c r="C28" s="84">
        <f>((C20+D20+E20+F20+G20)/(C22+D22+E22+F22+G22))</f>
        <v>0.44800000000000001</v>
      </c>
      <c r="D28" s="80" t="s">
        <v>13</v>
      </c>
      <c r="E28" s="71">
        <f>C22</f>
        <v>100</v>
      </c>
      <c r="F28" s="71">
        <f>D22</f>
        <v>100</v>
      </c>
      <c r="G28" s="85">
        <f>E28+F28</f>
        <v>200</v>
      </c>
      <c r="H28" s="14"/>
      <c r="J28" s="134"/>
      <c r="K28" s="135"/>
      <c r="L28" s="135"/>
      <c r="M28" s="135"/>
      <c r="N28" s="135"/>
      <c r="O28" s="135"/>
      <c r="P28" s="135"/>
      <c r="Q28" s="136"/>
    </row>
    <row r="29" spans="1:17" ht="17" customHeight="1" thickBot="1" x14ac:dyDescent="0.25">
      <c r="B29" s="87" t="s">
        <v>28</v>
      </c>
      <c r="C29" s="67">
        <f>((C20+D20+E20+F20+G20+H20)/(C22+D22+E22+F22+G22+H22))</f>
        <v>0.375</v>
      </c>
      <c r="D29" s="68" t="s">
        <v>20</v>
      </c>
      <c r="E29" s="69">
        <f>(E26/E28)/(F26/F28)</f>
        <v>0.125</v>
      </c>
      <c r="F29" s="68" t="s">
        <v>21</v>
      </c>
      <c r="G29" s="70">
        <f>EXP(LN(E29)-1.96*(SQRT(1/E26+1/F26-1/(E26+E27)-1/(F26+F27))))</f>
        <v>6.8868783751145052E-2</v>
      </c>
      <c r="H29" s="88">
        <f>EXP(LN(E29)+1.96*(SQRT(1/E26+1/F26-1/(E26+E27)-1/(F26+F27))))</f>
        <v>0.22688073099214878</v>
      </c>
      <c r="J29" s="134"/>
      <c r="K29" s="135"/>
      <c r="L29" s="135"/>
      <c r="M29" s="135"/>
      <c r="N29" s="135"/>
      <c r="O29" s="135"/>
      <c r="P29" s="135"/>
      <c r="Q29" s="136"/>
    </row>
    <row r="30" spans="1:17" ht="17" customHeight="1" thickBot="1" x14ac:dyDescent="0.25">
      <c r="B30" s="11"/>
      <c r="C30" s="15"/>
      <c r="D30" s="15"/>
      <c r="E30" s="15" t="s">
        <v>92</v>
      </c>
      <c r="F30" s="121" t="str">
        <f>CONCATENATE(ROUND(E29,2)," (95% CI ",ROUND(G29,2)," to ",ROUND(H29,2),")")</f>
        <v>0.13 (95% CI 0.07 to 0.23)</v>
      </c>
      <c r="G30" s="122"/>
      <c r="H30" s="123"/>
      <c r="I30" s="107" t="s">
        <v>94</v>
      </c>
      <c r="J30" s="134"/>
      <c r="K30" s="135"/>
      <c r="L30" s="135"/>
      <c r="M30" s="135"/>
      <c r="N30" s="135"/>
      <c r="O30" s="135"/>
      <c r="P30" s="135"/>
      <c r="Q30" s="136"/>
    </row>
    <row r="31" spans="1:17" x14ac:dyDescent="0.2">
      <c r="J31" s="134"/>
      <c r="K31" s="135"/>
      <c r="L31" s="135"/>
      <c r="M31" s="135"/>
      <c r="N31" s="135"/>
      <c r="O31" s="135"/>
      <c r="P31" s="135"/>
      <c r="Q31" s="136"/>
    </row>
    <row r="32" spans="1:17" x14ac:dyDescent="0.2">
      <c r="J32" s="134"/>
      <c r="K32" s="135"/>
      <c r="L32" s="135"/>
      <c r="M32" s="135"/>
      <c r="N32" s="135"/>
      <c r="O32" s="135"/>
      <c r="P32" s="135"/>
      <c r="Q32" s="136"/>
    </row>
    <row r="33" spans="10:17" x14ac:dyDescent="0.2">
      <c r="J33" s="134"/>
      <c r="K33" s="135"/>
      <c r="L33" s="135"/>
      <c r="M33" s="135"/>
      <c r="N33" s="135"/>
      <c r="O33" s="135"/>
      <c r="P33" s="135"/>
      <c r="Q33" s="136"/>
    </row>
    <row r="34" spans="10:17" x14ac:dyDescent="0.2">
      <c r="J34" s="134"/>
      <c r="K34" s="135"/>
      <c r="L34" s="135"/>
      <c r="M34" s="135"/>
      <c r="N34" s="135"/>
      <c r="O34" s="135"/>
      <c r="P34" s="135"/>
      <c r="Q34" s="136"/>
    </row>
    <row r="35" spans="10:17" x14ac:dyDescent="0.2">
      <c r="J35" s="134"/>
      <c r="K35" s="135"/>
      <c r="L35" s="135"/>
      <c r="M35" s="135"/>
      <c r="N35" s="135"/>
      <c r="O35" s="135"/>
      <c r="P35" s="135"/>
      <c r="Q35" s="136"/>
    </row>
    <row r="36" spans="10:17" x14ac:dyDescent="0.2">
      <c r="J36" s="134"/>
      <c r="K36" s="135"/>
      <c r="L36" s="135"/>
      <c r="M36" s="135"/>
      <c r="N36" s="135"/>
      <c r="O36" s="135"/>
      <c r="P36" s="135"/>
      <c r="Q36" s="136"/>
    </row>
    <row r="37" spans="10:17" ht="17" thickBot="1" x14ac:dyDescent="0.25">
      <c r="J37" s="137"/>
      <c r="K37" s="138"/>
      <c r="L37" s="138"/>
      <c r="M37" s="138"/>
      <c r="N37" s="138"/>
      <c r="O37" s="138"/>
      <c r="P37" s="138"/>
      <c r="Q37" s="139"/>
    </row>
  </sheetData>
  <sheetProtection sheet="1" objects="1" scenarios="1"/>
  <mergeCells count="11">
    <mergeCell ref="F30:H30"/>
    <mergeCell ref="M9:O9"/>
    <mergeCell ref="J19:Q37"/>
    <mergeCell ref="B1:G1"/>
    <mergeCell ref="K2:N2"/>
    <mergeCell ref="C18:H18"/>
    <mergeCell ref="E24:G24"/>
    <mergeCell ref="C2:H2"/>
    <mergeCell ref="E8:G8"/>
    <mergeCell ref="B17:G17"/>
    <mergeCell ref="F14:H14"/>
  </mergeCells>
  <pageMargins left="0.7" right="0.7" top="0.75" bottom="0.75" header="0.3" footer="0.3"/>
  <ignoredErrors>
    <ignoredError sqref="E11:F11" formula="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7"/>
  <sheetViews>
    <sheetView zoomScale="93" zoomScaleNormal="120" workbookViewId="0">
      <selection activeCell="H21" sqref="H21"/>
    </sheetView>
  </sheetViews>
  <sheetFormatPr baseColWidth="10" defaultRowHeight="16" x14ac:dyDescent="0.2"/>
  <cols>
    <col min="1" max="1" width="17" style="104" bestFit="1" customWidth="1"/>
    <col min="2" max="8" width="10.83203125" style="104"/>
    <col min="9" max="9" width="12.5" style="104" customWidth="1"/>
    <col min="10" max="10" width="11.1640625" style="104" customWidth="1"/>
    <col min="11" max="16384" width="10.83203125" style="104"/>
  </cols>
  <sheetData>
    <row r="1" spans="1:19" ht="17" thickBot="1" x14ac:dyDescent="0.25"/>
    <row r="2" spans="1:19" ht="17" customHeight="1" thickBot="1" x14ac:dyDescent="0.25">
      <c r="B2" s="124" t="s">
        <v>2</v>
      </c>
      <c r="C2" s="125"/>
      <c r="D2" s="125"/>
      <c r="E2" s="125"/>
      <c r="H2" s="131" t="s">
        <v>100</v>
      </c>
      <c r="I2" s="132"/>
      <c r="J2" s="132"/>
      <c r="K2" s="132"/>
      <c r="L2" s="132"/>
      <c r="M2" s="132"/>
      <c r="N2" s="132"/>
      <c r="O2" s="132"/>
      <c r="P2" s="132"/>
      <c r="Q2" s="132"/>
      <c r="R2" s="132"/>
      <c r="S2" s="133"/>
    </row>
    <row r="3" spans="1:19" x14ac:dyDescent="0.2">
      <c r="B3" s="6"/>
      <c r="C3" s="12" t="s">
        <v>9</v>
      </c>
      <c r="D3" s="12"/>
      <c r="E3" s="12"/>
      <c r="F3" s="13"/>
      <c r="H3" s="134"/>
      <c r="I3" s="135"/>
      <c r="J3" s="135"/>
      <c r="K3" s="135"/>
      <c r="L3" s="135"/>
      <c r="M3" s="135"/>
      <c r="N3" s="135"/>
      <c r="O3" s="135"/>
      <c r="P3" s="135"/>
      <c r="Q3" s="135"/>
      <c r="R3" s="135"/>
      <c r="S3" s="136"/>
    </row>
    <row r="4" spans="1:19" ht="17" customHeight="1" x14ac:dyDescent="0.2">
      <c r="B4" s="7"/>
      <c r="C4" s="72" t="s">
        <v>11</v>
      </c>
      <c r="D4" s="72" t="s">
        <v>12</v>
      </c>
      <c r="E4" s="72" t="s">
        <v>13</v>
      </c>
      <c r="F4" s="14"/>
      <c r="H4" s="134"/>
      <c r="I4" s="135"/>
      <c r="J4" s="135"/>
      <c r="K4" s="135"/>
      <c r="L4" s="135"/>
      <c r="M4" s="135"/>
      <c r="N4" s="135"/>
      <c r="O4" s="135"/>
      <c r="P4" s="135"/>
      <c r="Q4" s="135"/>
      <c r="R4" s="135"/>
      <c r="S4" s="136"/>
    </row>
    <row r="5" spans="1:19" x14ac:dyDescent="0.2">
      <c r="A5" s="105" t="s">
        <v>14</v>
      </c>
      <c r="B5" s="29" t="s">
        <v>16</v>
      </c>
      <c r="C5" s="35">
        <v>8</v>
      </c>
      <c r="D5" s="35">
        <v>5</v>
      </c>
      <c r="E5" s="71">
        <f>C5+D5</f>
        <v>13</v>
      </c>
      <c r="F5" s="14"/>
      <c r="H5" s="134"/>
      <c r="I5" s="135"/>
      <c r="J5" s="135"/>
      <c r="K5" s="135"/>
      <c r="L5" s="135"/>
      <c r="M5" s="135"/>
      <c r="N5" s="135"/>
      <c r="O5" s="135"/>
      <c r="P5" s="135"/>
      <c r="Q5" s="135"/>
      <c r="R5" s="135"/>
      <c r="S5" s="136"/>
    </row>
    <row r="6" spans="1:19" x14ac:dyDescent="0.2">
      <c r="B6" s="29" t="s">
        <v>18</v>
      </c>
      <c r="C6" s="27">
        <f>C7-C5</f>
        <v>98</v>
      </c>
      <c r="D6" s="27">
        <f>D7-D5</f>
        <v>115</v>
      </c>
      <c r="E6" s="71">
        <f>C6+D6</f>
        <v>213</v>
      </c>
      <c r="F6" s="14"/>
      <c r="H6" s="134"/>
      <c r="I6" s="135"/>
      <c r="J6" s="135"/>
      <c r="K6" s="135"/>
      <c r="L6" s="135"/>
      <c r="M6" s="135"/>
      <c r="N6" s="135"/>
      <c r="O6" s="135"/>
      <c r="P6" s="135"/>
      <c r="Q6" s="135"/>
      <c r="R6" s="135"/>
      <c r="S6" s="136"/>
    </row>
    <row r="7" spans="1:19" ht="17" customHeight="1" x14ac:dyDescent="0.2">
      <c r="A7" s="105" t="s">
        <v>14</v>
      </c>
      <c r="B7" s="29" t="s">
        <v>13</v>
      </c>
      <c r="C7" s="35">
        <v>106</v>
      </c>
      <c r="D7" s="35">
        <v>120</v>
      </c>
      <c r="E7" s="85">
        <f>C7+D7</f>
        <v>226</v>
      </c>
      <c r="F7" s="14"/>
      <c r="H7" s="134"/>
      <c r="I7" s="135"/>
      <c r="J7" s="135"/>
      <c r="K7" s="135"/>
      <c r="L7" s="135"/>
      <c r="M7" s="135"/>
      <c r="N7" s="135"/>
      <c r="O7" s="135"/>
      <c r="P7" s="135"/>
      <c r="Q7" s="135"/>
      <c r="R7" s="135"/>
      <c r="S7" s="136"/>
    </row>
    <row r="8" spans="1:19" ht="17" customHeight="1" thickBot="1" x14ac:dyDescent="0.25">
      <c r="B8" s="9" t="s">
        <v>20</v>
      </c>
      <c r="C8" s="69">
        <f>(C5/C7)/(D5/D7)</f>
        <v>1.8113207547169812</v>
      </c>
      <c r="D8" s="68" t="s">
        <v>21</v>
      </c>
      <c r="E8" s="70">
        <f>EXP(LN(C8)-1.96*(SQRT(1/C5+1/D5-1/(C5+C6)-1/(D5+D6))))</f>
        <v>0.6111921939697097</v>
      </c>
      <c r="F8" s="88">
        <f>EXP(LN(C8)+1.96*(SQRT(1/C5+1/D5-1/(C5+C6)-1/(D5+D6))))</f>
        <v>5.3680052017010746</v>
      </c>
      <c r="H8" s="134"/>
      <c r="I8" s="135"/>
      <c r="J8" s="135"/>
      <c r="K8" s="135"/>
      <c r="L8" s="135"/>
      <c r="M8" s="135"/>
      <c r="N8" s="135"/>
      <c r="O8" s="135"/>
      <c r="P8" s="135"/>
      <c r="Q8" s="135"/>
      <c r="R8" s="135"/>
      <c r="S8" s="136"/>
    </row>
    <row r="9" spans="1:19" ht="17" customHeight="1" thickBot="1" x14ac:dyDescent="0.25">
      <c r="B9" s="30"/>
      <c r="C9" s="15" t="s">
        <v>92</v>
      </c>
      <c r="D9" s="121" t="str">
        <f>CONCATENATE(ROUND(C8,2)," (95% CI ",ROUND(E8,2)," to ",ROUND(F8,2),")")</f>
        <v>1.81 (95% CI 0.61 to 5.37)</v>
      </c>
      <c r="E9" s="122"/>
      <c r="F9" s="123"/>
      <c r="G9" s="105" t="s">
        <v>94</v>
      </c>
      <c r="H9" s="134"/>
      <c r="I9" s="135"/>
      <c r="J9" s="135"/>
      <c r="K9" s="135"/>
      <c r="L9" s="135"/>
      <c r="M9" s="135"/>
      <c r="N9" s="135"/>
      <c r="O9" s="135"/>
      <c r="P9" s="135"/>
      <c r="Q9" s="135"/>
      <c r="R9" s="135"/>
      <c r="S9" s="136"/>
    </row>
    <row r="10" spans="1:19" x14ac:dyDescent="0.2">
      <c r="H10" s="134"/>
      <c r="I10" s="135"/>
      <c r="J10" s="135"/>
      <c r="K10" s="135"/>
      <c r="L10" s="135"/>
      <c r="M10" s="135"/>
      <c r="N10" s="135"/>
      <c r="O10" s="135"/>
      <c r="P10" s="135"/>
      <c r="Q10" s="135"/>
      <c r="R10" s="135"/>
      <c r="S10" s="136"/>
    </row>
    <row r="11" spans="1:19" ht="17" customHeight="1" thickBot="1" x14ac:dyDescent="0.25">
      <c r="H11" s="134"/>
      <c r="I11" s="135"/>
      <c r="J11" s="135"/>
      <c r="K11" s="135"/>
      <c r="L11" s="135"/>
      <c r="M11" s="135"/>
      <c r="N11" s="135"/>
      <c r="O11" s="135"/>
      <c r="P11" s="135"/>
      <c r="Q11" s="135"/>
      <c r="R11" s="135"/>
      <c r="S11" s="136"/>
    </row>
    <row r="12" spans="1:19" x14ac:dyDescent="0.2">
      <c r="B12" s="38" t="s">
        <v>3</v>
      </c>
      <c r="C12" s="40" t="s">
        <v>5</v>
      </c>
      <c r="D12" s="1" t="s">
        <v>25</v>
      </c>
      <c r="H12" s="134"/>
      <c r="I12" s="135"/>
      <c r="J12" s="135"/>
      <c r="K12" s="135"/>
      <c r="L12" s="135"/>
      <c r="M12" s="135"/>
      <c r="N12" s="135"/>
      <c r="O12" s="135"/>
      <c r="P12" s="135"/>
      <c r="Q12" s="135"/>
      <c r="R12" s="135"/>
      <c r="S12" s="136"/>
    </row>
    <row r="13" spans="1:19" x14ac:dyDescent="0.2">
      <c r="B13" s="39" t="s">
        <v>4</v>
      </c>
      <c r="C13" s="41" t="s">
        <v>6</v>
      </c>
      <c r="D13" s="2" t="s">
        <v>27</v>
      </c>
      <c r="H13" s="134"/>
      <c r="I13" s="135"/>
      <c r="J13" s="135"/>
      <c r="K13" s="135"/>
      <c r="L13" s="135"/>
      <c r="M13" s="135"/>
      <c r="N13" s="135"/>
      <c r="O13" s="135"/>
      <c r="P13" s="135"/>
      <c r="Q13" s="135"/>
      <c r="R13" s="135"/>
      <c r="S13" s="136"/>
    </row>
    <row r="14" spans="1:19" ht="17" customHeight="1" x14ac:dyDescent="0.2">
      <c r="B14" s="90" t="s">
        <v>29</v>
      </c>
      <c r="C14" s="91" t="s">
        <v>30</v>
      </c>
      <c r="D14" s="108" t="s">
        <v>31</v>
      </c>
      <c r="H14" s="134"/>
      <c r="I14" s="135"/>
      <c r="J14" s="135"/>
      <c r="K14" s="135"/>
      <c r="L14" s="135"/>
      <c r="M14" s="135"/>
      <c r="N14" s="135"/>
      <c r="O14" s="135"/>
      <c r="P14" s="135"/>
      <c r="Q14" s="135"/>
      <c r="R14" s="135"/>
      <c r="S14" s="136"/>
    </row>
    <row r="15" spans="1:19" ht="21" customHeight="1" thickBot="1" x14ac:dyDescent="0.3">
      <c r="B15" s="109" t="s">
        <v>67</v>
      </c>
      <c r="C15" s="110" t="s">
        <v>68</v>
      </c>
      <c r="D15" s="118"/>
      <c r="H15" s="134"/>
      <c r="I15" s="169"/>
      <c r="J15" s="138"/>
      <c r="K15" s="138"/>
      <c r="L15" s="138"/>
      <c r="M15" s="138"/>
      <c r="N15" s="138"/>
      <c r="O15" s="138"/>
      <c r="P15" s="138"/>
      <c r="Q15" s="138"/>
      <c r="R15" s="138"/>
      <c r="S15" s="139"/>
    </row>
    <row r="16" spans="1:19" ht="21" customHeight="1" x14ac:dyDescent="0.25">
      <c r="B16" s="112"/>
      <c r="C16" s="170" t="s">
        <v>69</v>
      </c>
      <c r="D16" s="113" t="s">
        <v>71</v>
      </c>
      <c r="E16" s="117"/>
      <c r="F16" s="110"/>
      <c r="G16" s="110"/>
      <c r="H16" s="110"/>
      <c r="I16" s="118"/>
    </row>
    <row r="17" spans="2:9" ht="21" x14ac:dyDescent="0.25">
      <c r="B17" s="119"/>
      <c r="C17" s="115" t="s">
        <v>70</v>
      </c>
      <c r="D17" s="116" t="s">
        <v>73</v>
      </c>
      <c r="E17" s="119"/>
      <c r="F17" s="120"/>
      <c r="G17" s="120"/>
      <c r="H17" s="120"/>
      <c r="I17" s="116"/>
    </row>
  </sheetData>
  <sheetProtection sheet="1" objects="1" scenarios="1"/>
  <mergeCells count="3">
    <mergeCell ref="H2:S15"/>
    <mergeCell ref="D9:F9"/>
    <mergeCell ref="B2:E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Q32"/>
  <sheetViews>
    <sheetView zoomScale="86" zoomScaleNormal="110" workbookViewId="0">
      <selection activeCell="K6" sqref="K6"/>
    </sheetView>
  </sheetViews>
  <sheetFormatPr baseColWidth="10" defaultRowHeight="16" x14ac:dyDescent="0.2"/>
  <cols>
    <col min="1" max="1" width="17.5" style="104" bestFit="1" customWidth="1"/>
    <col min="2" max="7" width="10.83203125" style="104"/>
    <col min="8" max="9" width="13" style="104" bestFit="1" customWidth="1"/>
    <col min="10" max="16384" width="10.83203125" style="104"/>
  </cols>
  <sheetData>
    <row r="3" spans="1:17" ht="17" customHeight="1" thickBot="1" x14ac:dyDescent="0.25">
      <c r="B3" s="105" t="s">
        <v>34</v>
      </c>
      <c r="C3" s="105"/>
      <c r="D3" s="105"/>
      <c r="E3" s="105"/>
    </row>
    <row r="4" spans="1:17" x14ac:dyDescent="0.2">
      <c r="B4" s="6"/>
      <c r="C4" s="12" t="s">
        <v>9</v>
      </c>
      <c r="D4" s="12"/>
      <c r="E4" s="12"/>
      <c r="F4" s="13"/>
      <c r="H4" s="44" t="s">
        <v>3</v>
      </c>
      <c r="I4" s="45" t="s">
        <v>5</v>
      </c>
      <c r="J4" s="1" t="s">
        <v>25</v>
      </c>
    </row>
    <row r="5" spans="1:17" ht="17" customHeight="1" x14ac:dyDescent="0.2">
      <c r="B5" s="7"/>
      <c r="C5" s="72" t="s">
        <v>11</v>
      </c>
      <c r="D5" s="72" t="s">
        <v>12</v>
      </c>
      <c r="E5" s="72" t="s">
        <v>13</v>
      </c>
      <c r="F5" s="14"/>
      <c r="H5" s="28" t="s">
        <v>4</v>
      </c>
      <c r="I5" s="27" t="s">
        <v>6</v>
      </c>
      <c r="J5" s="2" t="s">
        <v>27</v>
      </c>
    </row>
    <row r="6" spans="1:17" ht="17" customHeight="1" thickBot="1" x14ac:dyDescent="0.25">
      <c r="A6" s="105" t="s">
        <v>14</v>
      </c>
      <c r="B6" s="29" t="s">
        <v>16</v>
      </c>
      <c r="C6" s="35">
        <v>4</v>
      </c>
      <c r="D6" s="35">
        <v>386</v>
      </c>
      <c r="E6" s="71">
        <f>C6+D6</f>
        <v>390</v>
      </c>
      <c r="F6" s="14"/>
      <c r="H6" s="4" t="s">
        <v>29</v>
      </c>
      <c r="I6" s="5" t="s">
        <v>30</v>
      </c>
      <c r="J6" s="3" t="s">
        <v>31</v>
      </c>
    </row>
    <row r="7" spans="1:17" x14ac:dyDescent="0.2">
      <c r="A7" s="105" t="s">
        <v>14</v>
      </c>
      <c r="B7" s="29" t="s">
        <v>18</v>
      </c>
      <c r="C7" s="35">
        <v>4</v>
      </c>
      <c r="D7" s="35">
        <v>1250</v>
      </c>
      <c r="E7" s="71">
        <f>C7+D7</f>
        <v>1254</v>
      </c>
      <c r="F7" s="14"/>
      <c r="H7" s="64" t="s">
        <v>115</v>
      </c>
      <c r="I7" s="65" t="s">
        <v>36</v>
      </c>
      <c r="J7" s="65"/>
    </row>
    <row r="8" spans="1:17" ht="17" customHeight="1" x14ac:dyDescent="0.2">
      <c r="B8" s="29" t="s">
        <v>13</v>
      </c>
      <c r="C8" s="103">
        <f>C6+C7</f>
        <v>8</v>
      </c>
      <c r="D8" s="103">
        <f>D6+D7</f>
        <v>1636</v>
      </c>
      <c r="E8" s="85">
        <f>C8+D8</f>
        <v>1644</v>
      </c>
      <c r="F8" s="14"/>
      <c r="H8" s="64" t="s">
        <v>37</v>
      </c>
      <c r="I8" s="65" t="s">
        <v>38</v>
      </c>
      <c r="J8" s="65"/>
    </row>
    <row r="9" spans="1:17" ht="17" customHeight="1" thickBot="1" x14ac:dyDescent="0.25">
      <c r="B9" s="9" t="s">
        <v>35</v>
      </c>
      <c r="C9" s="69">
        <f>(C6*D7)/(C7*D6)</f>
        <v>3.2383419689119171</v>
      </c>
      <c r="D9" s="68" t="s">
        <v>21</v>
      </c>
      <c r="E9" s="70">
        <f>EXP(LN(C9)-1.96*(SQRT((1/C6)+(1/C7)+(1/D6)+(1/D7))))</f>
        <v>0.80609060935986565</v>
      </c>
      <c r="F9" s="88">
        <f>EXP(LN(C9)+1.96*(SQRT((1/C6)+(1/C7)+(1/D6)+(1/D7))))</f>
        <v>13.009528439915906</v>
      </c>
      <c r="H9" s="64" t="s">
        <v>69</v>
      </c>
      <c r="I9" s="65" t="s">
        <v>40</v>
      </c>
      <c r="J9" s="65"/>
    </row>
    <row r="10" spans="1:17" ht="17" customHeight="1" thickBot="1" x14ac:dyDescent="0.25">
      <c r="B10" s="30"/>
      <c r="C10" s="15" t="s">
        <v>93</v>
      </c>
      <c r="D10" s="121" t="str">
        <f>CONCATENATE(ROUND(C9,2)," (95% CI ",ROUND(E9,2)," to ",ROUND(F9,2),")")</f>
        <v>3.24 (95% CI 0.81 to 13.01)</v>
      </c>
      <c r="E10" s="122"/>
      <c r="F10" s="123"/>
      <c r="G10" s="105" t="s">
        <v>94</v>
      </c>
      <c r="H10" s="64" t="s">
        <v>70</v>
      </c>
      <c r="I10" s="65" t="s">
        <v>39</v>
      </c>
      <c r="J10" s="65"/>
    </row>
    <row r="12" spans="1:17" ht="17" thickBot="1" x14ac:dyDescent="0.25"/>
    <row r="13" spans="1:17" ht="17" customHeight="1" thickBot="1" x14ac:dyDescent="0.25">
      <c r="B13" s="105" t="s">
        <v>41</v>
      </c>
      <c r="C13" s="105"/>
      <c r="D13" s="105"/>
      <c r="E13" s="105"/>
      <c r="I13" s="131" t="s">
        <v>99</v>
      </c>
      <c r="J13" s="132"/>
      <c r="K13" s="132"/>
      <c r="L13" s="132"/>
      <c r="M13" s="132"/>
      <c r="N13" s="132"/>
      <c r="O13" s="132"/>
      <c r="P13" s="132"/>
      <c r="Q13" s="133"/>
    </row>
    <row r="14" spans="1:17" x14ac:dyDescent="0.2">
      <c r="B14" s="6"/>
      <c r="C14" s="12" t="s">
        <v>9</v>
      </c>
      <c r="D14" s="12"/>
      <c r="E14" s="12"/>
      <c r="F14" s="13"/>
      <c r="H14" s="171"/>
      <c r="I14" s="134"/>
      <c r="J14" s="135"/>
      <c r="K14" s="135"/>
      <c r="L14" s="135"/>
      <c r="M14" s="135"/>
      <c r="N14" s="135"/>
      <c r="O14" s="135"/>
      <c r="P14" s="135"/>
      <c r="Q14" s="136"/>
    </row>
    <row r="15" spans="1:17" ht="17" customHeight="1" x14ac:dyDescent="0.2">
      <c r="B15" s="7"/>
      <c r="C15" s="72" t="s">
        <v>11</v>
      </c>
      <c r="D15" s="72" t="s">
        <v>12</v>
      </c>
      <c r="E15" s="72" t="s">
        <v>13</v>
      </c>
      <c r="F15" s="14"/>
      <c r="H15" s="172"/>
      <c r="I15" s="134"/>
      <c r="J15" s="135"/>
      <c r="K15" s="135"/>
      <c r="L15" s="135"/>
      <c r="M15" s="135"/>
      <c r="N15" s="135"/>
      <c r="O15" s="135"/>
      <c r="P15" s="135"/>
      <c r="Q15" s="136"/>
    </row>
    <row r="16" spans="1:17" x14ac:dyDescent="0.2">
      <c r="A16" s="105" t="s">
        <v>14</v>
      </c>
      <c r="B16" s="29" t="s">
        <v>16</v>
      </c>
      <c r="C16" s="35">
        <v>2</v>
      </c>
      <c r="D16" s="35">
        <v>53</v>
      </c>
      <c r="E16" s="71">
        <f>C16+D16</f>
        <v>55</v>
      </c>
      <c r="F16" s="14"/>
      <c r="I16" s="134"/>
      <c r="J16" s="135"/>
      <c r="K16" s="135"/>
      <c r="L16" s="135"/>
      <c r="M16" s="135"/>
      <c r="N16" s="135"/>
      <c r="O16" s="135"/>
      <c r="P16" s="135"/>
      <c r="Q16" s="136"/>
    </row>
    <row r="17" spans="1:17" x14ac:dyDescent="0.2">
      <c r="B17" s="29" t="s">
        <v>18</v>
      </c>
      <c r="C17" s="27">
        <f>C18-C16</f>
        <v>255</v>
      </c>
      <c r="D17" s="27">
        <f>D18-D16</f>
        <v>271</v>
      </c>
      <c r="E17" s="71">
        <f>C17+D17</f>
        <v>526</v>
      </c>
      <c r="F17" s="14"/>
      <c r="I17" s="134"/>
      <c r="J17" s="135"/>
      <c r="K17" s="135"/>
      <c r="L17" s="135"/>
      <c r="M17" s="135"/>
      <c r="N17" s="135"/>
      <c r="O17" s="135"/>
      <c r="P17" s="135"/>
      <c r="Q17" s="136"/>
    </row>
    <row r="18" spans="1:17" ht="17" customHeight="1" x14ac:dyDescent="0.2">
      <c r="A18" s="105" t="s">
        <v>14</v>
      </c>
      <c r="B18" s="29" t="s">
        <v>13</v>
      </c>
      <c r="C18" s="35">
        <v>257</v>
      </c>
      <c r="D18" s="35">
        <v>324</v>
      </c>
      <c r="E18" s="85">
        <f>C18+D18</f>
        <v>581</v>
      </c>
      <c r="F18" s="14"/>
      <c r="I18" s="134"/>
      <c r="J18" s="135"/>
      <c r="K18" s="135"/>
      <c r="L18" s="135"/>
      <c r="M18" s="135"/>
      <c r="N18" s="135"/>
      <c r="O18" s="135"/>
      <c r="P18" s="135"/>
      <c r="Q18" s="136"/>
    </row>
    <row r="19" spans="1:17" ht="17" customHeight="1" thickBot="1" x14ac:dyDescent="0.25">
      <c r="B19" s="9" t="s">
        <v>35</v>
      </c>
      <c r="C19" s="69">
        <f>(C16*D17)/(C17*D16)</f>
        <v>4.0103588605253419E-2</v>
      </c>
      <c r="D19" s="68" t="s">
        <v>21</v>
      </c>
      <c r="E19" s="70">
        <f>EXP(LN(C19)-1.96*(SQRT((1/C16)+(1/C17)+(1/D16)+(1/D17))))</f>
        <v>9.6727359567722344E-3</v>
      </c>
      <c r="F19" s="88">
        <f>EXP(LN(C19)+1.96*(SQRT((1/C16)+(1/C17)+(1/D16)+(1/D17))))</f>
        <v>0.16627124178794356</v>
      </c>
      <c r="I19" s="134"/>
      <c r="J19" s="135"/>
      <c r="K19" s="135"/>
      <c r="L19" s="135"/>
      <c r="M19" s="135"/>
      <c r="N19" s="135"/>
      <c r="O19" s="135"/>
      <c r="P19" s="135"/>
      <c r="Q19" s="136"/>
    </row>
    <row r="20" spans="1:17" ht="17" customHeight="1" thickBot="1" x14ac:dyDescent="0.25">
      <c r="B20" s="30"/>
      <c r="C20" s="15" t="s">
        <v>93</v>
      </c>
      <c r="D20" s="121" t="str">
        <f>CONCATENATE(ROUND(C19,2)," (95% CI ",ROUND(E19,2)," to ",ROUND(F19,2),")")</f>
        <v>0.04 (95% CI 0.01 to 0.17)</v>
      </c>
      <c r="E20" s="122"/>
      <c r="F20" s="123"/>
      <c r="G20" s="105" t="s">
        <v>94</v>
      </c>
      <c r="I20" s="134"/>
      <c r="J20" s="135"/>
      <c r="K20" s="135"/>
      <c r="L20" s="135"/>
      <c r="M20" s="135"/>
      <c r="N20" s="135"/>
      <c r="O20" s="135"/>
      <c r="P20" s="135"/>
      <c r="Q20" s="136"/>
    </row>
    <row r="21" spans="1:17" x14ac:dyDescent="0.2">
      <c r="I21" s="134"/>
      <c r="J21" s="135"/>
      <c r="K21" s="135"/>
      <c r="L21" s="135"/>
      <c r="M21" s="135"/>
      <c r="N21" s="135"/>
      <c r="O21" s="135"/>
      <c r="P21" s="135"/>
      <c r="Q21" s="136"/>
    </row>
    <row r="22" spans="1:17" x14ac:dyDescent="0.2">
      <c r="I22" s="134"/>
      <c r="J22" s="135"/>
      <c r="K22" s="135"/>
      <c r="L22" s="135"/>
      <c r="M22" s="135"/>
      <c r="N22" s="135"/>
      <c r="O22" s="135"/>
      <c r="P22" s="135"/>
      <c r="Q22" s="136"/>
    </row>
    <row r="23" spans="1:17" x14ac:dyDescent="0.2">
      <c r="I23" s="134"/>
      <c r="J23" s="135"/>
      <c r="K23" s="135"/>
      <c r="L23" s="135"/>
      <c r="M23" s="135"/>
      <c r="N23" s="135"/>
      <c r="O23" s="135"/>
      <c r="P23" s="135"/>
      <c r="Q23" s="136"/>
    </row>
    <row r="24" spans="1:17" x14ac:dyDescent="0.2">
      <c r="I24" s="134"/>
      <c r="J24" s="135"/>
      <c r="K24" s="135"/>
      <c r="L24" s="135"/>
      <c r="M24" s="135"/>
      <c r="N24" s="135"/>
      <c r="O24" s="135"/>
      <c r="P24" s="135"/>
      <c r="Q24" s="136"/>
    </row>
    <row r="25" spans="1:17" x14ac:dyDescent="0.2">
      <c r="I25" s="134"/>
      <c r="J25" s="135"/>
      <c r="K25" s="135"/>
      <c r="L25" s="135"/>
      <c r="M25" s="135"/>
      <c r="N25" s="135"/>
      <c r="O25" s="135"/>
      <c r="P25" s="135"/>
      <c r="Q25" s="136"/>
    </row>
    <row r="26" spans="1:17" x14ac:dyDescent="0.2">
      <c r="I26" s="134"/>
      <c r="J26" s="135"/>
      <c r="K26" s="135"/>
      <c r="L26" s="135"/>
      <c r="M26" s="135"/>
      <c r="N26" s="135"/>
      <c r="O26" s="135"/>
      <c r="P26" s="135"/>
      <c r="Q26" s="136"/>
    </row>
    <row r="27" spans="1:17" x14ac:dyDescent="0.2">
      <c r="I27" s="134"/>
      <c r="J27" s="135"/>
      <c r="K27" s="135"/>
      <c r="L27" s="135"/>
      <c r="M27" s="135"/>
      <c r="N27" s="135"/>
      <c r="O27" s="135"/>
      <c r="P27" s="135"/>
      <c r="Q27" s="136"/>
    </row>
    <row r="28" spans="1:17" x14ac:dyDescent="0.2">
      <c r="I28" s="134"/>
      <c r="J28" s="135"/>
      <c r="K28" s="135"/>
      <c r="L28" s="135"/>
      <c r="M28" s="135"/>
      <c r="N28" s="135"/>
      <c r="O28" s="135"/>
      <c r="P28" s="135"/>
      <c r="Q28" s="136"/>
    </row>
    <row r="29" spans="1:17" x14ac:dyDescent="0.2">
      <c r="I29" s="134"/>
      <c r="J29" s="135"/>
      <c r="K29" s="135"/>
      <c r="L29" s="135"/>
      <c r="M29" s="135"/>
      <c r="N29" s="135"/>
      <c r="O29" s="135"/>
      <c r="P29" s="135"/>
      <c r="Q29" s="136"/>
    </row>
    <row r="30" spans="1:17" x14ac:dyDescent="0.2">
      <c r="I30" s="134"/>
      <c r="J30" s="135"/>
      <c r="K30" s="135"/>
      <c r="L30" s="135"/>
      <c r="M30" s="135"/>
      <c r="N30" s="135"/>
      <c r="O30" s="135"/>
      <c r="P30" s="135"/>
      <c r="Q30" s="136"/>
    </row>
    <row r="31" spans="1:17" x14ac:dyDescent="0.2">
      <c r="I31" s="134"/>
      <c r="J31" s="135"/>
      <c r="K31" s="135"/>
      <c r="L31" s="135"/>
      <c r="M31" s="135"/>
      <c r="N31" s="135"/>
      <c r="O31" s="135"/>
      <c r="P31" s="135"/>
      <c r="Q31" s="136"/>
    </row>
    <row r="32" spans="1:17" ht="17" thickBot="1" x14ac:dyDescent="0.25">
      <c r="I32" s="137"/>
      <c r="J32" s="138"/>
      <c r="K32" s="138"/>
      <c r="L32" s="138"/>
      <c r="M32" s="138"/>
      <c r="N32" s="138"/>
      <c r="O32" s="138"/>
      <c r="P32" s="138"/>
      <c r="Q32" s="139"/>
    </row>
  </sheetData>
  <sheetProtection sheet="1" objects="1" scenarios="1"/>
  <mergeCells count="3">
    <mergeCell ref="D10:F10"/>
    <mergeCell ref="D20:F20"/>
    <mergeCell ref="I13:Q3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G24"/>
  <sheetViews>
    <sheetView zoomScale="160" zoomScaleNormal="160" workbookViewId="0">
      <selection activeCell="B10" sqref="B10:E14"/>
    </sheetView>
  </sheetViews>
  <sheetFormatPr baseColWidth="10" defaultRowHeight="16" x14ac:dyDescent="0.2"/>
  <cols>
    <col min="1" max="1" width="16.83203125" style="104" bestFit="1" customWidth="1"/>
    <col min="2" max="6" width="10.83203125" style="104"/>
    <col min="7" max="7" width="16.83203125" style="104" bestFit="1" customWidth="1"/>
    <col min="8" max="16384" width="10.83203125" style="104"/>
  </cols>
  <sheetData>
    <row r="2" spans="1:7" ht="17" customHeight="1" thickBot="1" x14ac:dyDescent="0.25">
      <c r="B2" s="104" t="s">
        <v>95</v>
      </c>
    </row>
    <row r="3" spans="1:7" x14ac:dyDescent="0.2">
      <c r="B3" s="140" t="s">
        <v>42</v>
      </c>
      <c r="C3" s="141"/>
      <c r="D3" s="16"/>
      <c r="E3" s="142" t="s">
        <v>43</v>
      </c>
      <c r="F3" s="143"/>
    </row>
    <row r="4" spans="1:7" x14ac:dyDescent="0.2">
      <c r="A4" s="105" t="s">
        <v>14</v>
      </c>
      <c r="B4" s="25" t="s">
        <v>37</v>
      </c>
      <c r="C4" s="35">
        <v>0.17199999999999999</v>
      </c>
      <c r="D4" s="17"/>
      <c r="E4" s="23" t="s">
        <v>37</v>
      </c>
      <c r="F4" s="36">
        <v>0.13300000000000001</v>
      </c>
      <c r="G4" s="105" t="s">
        <v>44</v>
      </c>
    </row>
    <row r="5" spans="1:7" x14ac:dyDescent="0.2">
      <c r="A5" s="105" t="s">
        <v>14</v>
      </c>
      <c r="B5" s="26" t="s">
        <v>45</v>
      </c>
      <c r="C5" s="35">
        <v>109</v>
      </c>
      <c r="D5" s="17"/>
      <c r="E5" s="24" t="s">
        <v>45</v>
      </c>
      <c r="F5" s="36">
        <v>122</v>
      </c>
      <c r="G5" s="105" t="s">
        <v>44</v>
      </c>
    </row>
    <row r="6" spans="1:7" x14ac:dyDescent="0.2">
      <c r="B6" s="25" t="s">
        <v>46</v>
      </c>
      <c r="C6" s="42">
        <f>C4*SQRT(C5)</f>
        <v>1.7957327195326145</v>
      </c>
      <c r="D6" s="17"/>
      <c r="E6" s="23" t="s">
        <v>46</v>
      </c>
      <c r="F6" s="43">
        <f>F4*SQRT(F5)</f>
        <v>1.4690330152859059</v>
      </c>
    </row>
    <row r="7" spans="1:7" x14ac:dyDescent="0.2">
      <c r="B7" s="19"/>
      <c r="C7" s="17"/>
      <c r="D7" s="17"/>
      <c r="E7" s="17"/>
      <c r="F7" s="20"/>
    </row>
    <row r="8" spans="1:7" ht="17" customHeight="1" thickBot="1" x14ac:dyDescent="0.25">
      <c r="B8" s="21"/>
      <c r="C8" s="18"/>
      <c r="D8" s="18"/>
      <c r="E8" s="18"/>
      <c r="F8" s="22"/>
    </row>
    <row r="9" spans="1:7" ht="17" thickBot="1" x14ac:dyDescent="0.25">
      <c r="B9" s="174" t="s">
        <v>46</v>
      </c>
      <c r="C9" s="175" t="s">
        <v>74</v>
      </c>
    </row>
    <row r="10" spans="1:7" x14ac:dyDescent="0.2">
      <c r="B10" s="144" t="s">
        <v>47</v>
      </c>
      <c r="C10" s="145"/>
      <c r="D10" s="145"/>
      <c r="E10" s="146"/>
    </row>
    <row r="11" spans="1:7" x14ac:dyDescent="0.2">
      <c r="B11" s="147"/>
      <c r="C11" s="148"/>
      <c r="D11" s="148"/>
      <c r="E11" s="149"/>
    </row>
    <row r="12" spans="1:7" x14ac:dyDescent="0.2">
      <c r="B12" s="147"/>
      <c r="C12" s="148"/>
      <c r="D12" s="148"/>
      <c r="E12" s="149"/>
    </row>
    <row r="13" spans="1:7" x14ac:dyDescent="0.2">
      <c r="B13" s="147"/>
      <c r="C13" s="148"/>
      <c r="D13" s="148"/>
      <c r="E13" s="149"/>
    </row>
    <row r="14" spans="1:7" ht="17" thickBot="1" x14ac:dyDescent="0.25">
      <c r="B14" s="150"/>
      <c r="C14" s="151"/>
      <c r="D14" s="151"/>
      <c r="E14" s="152"/>
    </row>
    <row r="24" spans="7:7" x14ac:dyDescent="0.2">
      <c r="G24" s="173"/>
    </row>
  </sheetData>
  <sheetProtection sheet="1" objects="1" scenarios="1"/>
  <mergeCells count="3">
    <mergeCell ref="B3:C3"/>
    <mergeCell ref="E3:F3"/>
    <mergeCell ref="B10:E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90E547-89A5-D540-B0AE-73E6CAF90809}">
  <dimension ref="A2:G17"/>
  <sheetViews>
    <sheetView zoomScale="140" zoomScaleNormal="140" workbookViewId="0">
      <selection activeCell="G13" sqref="G13"/>
    </sheetView>
  </sheetViews>
  <sheetFormatPr baseColWidth="10" defaultRowHeight="16" x14ac:dyDescent="0.2"/>
  <cols>
    <col min="1" max="1" width="17" style="104" bestFit="1" customWidth="1"/>
    <col min="2" max="2" width="11.83203125" style="104" bestFit="1" customWidth="1"/>
    <col min="3" max="4" width="10.83203125" style="104"/>
    <col min="5" max="5" width="12.83203125" style="104" customWidth="1"/>
    <col min="6" max="16384" width="10.83203125" style="104"/>
  </cols>
  <sheetData>
    <row r="2" spans="1:7" ht="17" thickBot="1" x14ac:dyDescent="0.25">
      <c r="B2" s="104" t="s">
        <v>96</v>
      </c>
    </row>
    <row r="3" spans="1:7" x14ac:dyDescent="0.2">
      <c r="B3" s="140" t="s">
        <v>42</v>
      </c>
      <c r="C3" s="141"/>
      <c r="D3" s="16"/>
      <c r="E3" s="142" t="s">
        <v>43</v>
      </c>
      <c r="F3" s="143"/>
    </row>
    <row r="4" spans="1:7" x14ac:dyDescent="0.2">
      <c r="A4" s="105" t="s">
        <v>14</v>
      </c>
      <c r="B4" s="25" t="s">
        <v>54</v>
      </c>
      <c r="C4" s="35">
        <v>3.2</v>
      </c>
      <c r="D4" s="17"/>
      <c r="E4" s="25" t="s">
        <v>54</v>
      </c>
      <c r="F4" s="36">
        <v>5.0999999999999996</v>
      </c>
      <c r="G4" s="105" t="s">
        <v>44</v>
      </c>
    </row>
    <row r="5" spans="1:7" x14ac:dyDescent="0.2">
      <c r="A5" s="105" t="s">
        <v>14</v>
      </c>
      <c r="B5" s="25" t="s">
        <v>55</v>
      </c>
      <c r="C5" s="35">
        <v>4.8</v>
      </c>
      <c r="D5" s="17"/>
      <c r="E5" s="25" t="s">
        <v>55</v>
      </c>
      <c r="F5" s="36">
        <v>6.7</v>
      </c>
      <c r="G5" s="105" t="s">
        <v>44</v>
      </c>
    </row>
    <row r="6" spans="1:7" x14ac:dyDescent="0.2">
      <c r="A6" s="105" t="s">
        <v>14</v>
      </c>
      <c r="B6" s="26" t="s">
        <v>56</v>
      </c>
      <c r="C6" s="35">
        <v>80</v>
      </c>
      <c r="D6" s="17"/>
      <c r="E6" s="24" t="s">
        <v>56</v>
      </c>
      <c r="F6" s="36">
        <v>75</v>
      </c>
      <c r="G6" s="105" t="s">
        <v>44</v>
      </c>
    </row>
    <row r="7" spans="1:7" x14ac:dyDescent="0.2">
      <c r="A7" s="105"/>
      <c r="B7" s="26" t="s">
        <v>37</v>
      </c>
      <c r="C7" s="57">
        <f>(C5-C4)/(2*1.96)</f>
        <v>0.40816326530612235</v>
      </c>
      <c r="D7" s="17"/>
      <c r="E7" s="24" t="s">
        <v>37</v>
      </c>
      <c r="F7" s="59">
        <f>(F5-F4)/(2*1.96)</f>
        <v>0.40816326530612257</v>
      </c>
      <c r="G7" s="105"/>
    </row>
    <row r="8" spans="1:7" x14ac:dyDescent="0.2">
      <c r="B8" s="25" t="s">
        <v>46</v>
      </c>
      <c r="C8" s="42">
        <f>C7*SQRT(C6)</f>
        <v>3.6507232285710844</v>
      </c>
      <c r="D8" s="17"/>
      <c r="E8" s="23" t="s">
        <v>46</v>
      </c>
      <c r="F8" s="43">
        <f>F7*SQRT(F6)</f>
        <v>3.5347975664670979</v>
      </c>
    </row>
    <row r="9" spans="1:7" x14ac:dyDescent="0.2">
      <c r="B9" s="19"/>
      <c r="C9" s="17"/>
      <c r="D9" s="17"/>
      <c r="E9" s="17"/>
      <c r="F9" s="20"/>
    </row>
    <row r="10" spans="1:7" ht="17" thickBot="1" x14ac:dyDescent="0.25">
      <c r="B10" s="21"/>
      <c r="C10" s="18"/>
      <c r="D10" s="18"/>
      <c r="E10" s="18"/>
      <c r="F10" s="22"/>
    </row>
    <row r="11" spans="1:7" ht="16" customHeight="1" x14ac:dyDescent="0.2">
      <c r="B11" s="183" t="s">
        <v>37</v>
      </c>
      <c r="C11" s="177" t="s">
        <v>97</v>
      </c>
      <c r="D11" s="178"/>
      <c r="E11" s="179"/>
    </row>
    <row r="12" spans="1:7" ht="17" thickBot="1" x14ac:dyDescent="0.25">
      <c r="B12" s="184" t="s">
        <v>46</v>
      </c>
      <c r="C12" s="180" t="s">
        <v>74</v>
      </c>
      <c r="D12" s="181"/>
      <c r="E12" s="182"/>
    </row>
    <row r="13" spans="1:7" x14ac:dyDescent="0.2">
      <c r="B13" s="144" t="s">
        <v>57</v>
      </c>
      <c r="C13" s="145"/>
      <c r="D13" s="145"/>
      <c r="E13" s="146"/>
    </row>
    <row r="14" spans="1:7" x14ac:dyDescent="0.2">
      <c r="B14" s="147"/>
      <c r="C14" s="148"/>
      <c r="D14" s="148"/>
      <c r="E14" s="149"/>
    </row>
    <row r="15" spans="1:7" x14ac:dyDescent="0.2">
      <c r="B15" s="147"/>
      <c r="C15" s="148"/>
      <c r="D15" s="148"/>
      <c r="E15" s="149"/>
    </row>
    <row r="16" spans="1:7" x14ac:dyDescent="0.2">
      <c r="B16" s="147"/>
      <c r="C16" s="148"/>
      <c r="D16" s="148"/>
      <c r="E16" s="149"/>
    </row>
    <row r="17" spans="2:5" ht="17" thickBot="1" x14ac:dyDescent="0.25">
      <c r="B17" s="150"/>
      <c r="C17" s="151"/>
      <c r="D17" s="151"/>
      <c r="E17" s="152"/>
    </row>
  </sheetData>
  <sheetProtection sheet="1" objects="1" scenarios="1"/>
  <mergeCells count="3">
    <mergeCell ref="B3:C3"/>
    <mergeCell ref="E3:F3"/>
    <mergeCell ref="B13:E1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5C7A39-A3D6-BE42-8023-1E21B87D245C}">
  <dimension ref="A1:G25"/>
  <sheetViews>
    <sheetView zoomScale="108" zoomScaleNormal="140" workbookViewId="0">
      <selection activeCell="H19" sqref="H19"/>
    </sheetView>
  </sheetViews>
  <sheetFormatPr baseColWidth="10" defaultRowHeight="16" x14ac:dyDescent="0.2"/>
  <cols>
    <col min="1" max="1" width="17" style="104" bestFit="1" customWidth="1"/>
    <col min="2" max="2" width="14.83203125" style="104" bestFit="1" customWidth="1"/>
    <col min="3" max="3" width="10.83203125" style="104"/>
    <col min="4" max="4" width="23.6640625" style="104" bestFit="1" customWidth="1"/>
    <col min="5" max="5" width="13.6640625" style="104" bestFit="1" customWidth="1"/>
    <col min="6" max="6" width="10.83203125" style="104"/>
    <col min="7" max="7" width="17" style="104" bestFit="1" customWidth="1"/>
    <col min="8" max="16384" width="10.83203125" style="104"/>
  </cols>
  <sheetData>
    <row r="1" spans="1:7" ht="17" thickBot="1" x14ac:dyDescent="0.25">
      <c r="B1" s="46" t="s">
        <v>48</v>
      </c>
      <c r="C1" s="47">
        <v>0.8</v>
      </c>
    </row>
    <row r="2" spans="1:7" x14ac:dyDescent="0.2">
      <c r="B2" s="140" t="s">
        <v>42</v>
      </c>
      <c r="C2" s="141"/>
      <c r="D2" s="16"/>
      <c r="E2" s="142" t="s">
        <v>43</v>
      </c>
      <c r="F2" s="143"/>
    </row>
    <row r="3" spans="1:7" x14ac:dyDescent="0.2">
      <c r="A3" s="105" t="s">
        <v>14</v>
      </c>
      <c r="B3" s="25" t="s">
        <v>58</v>
      </c>
      <c r="C3" s="35">
        <v>7</v>
      </c>
      <c r="D3" s="17"/>
      <c r="E3" s="25" t="s">
        <v>58</v>
      </c>
      <c r="F3" s="36">
        <v>9</v>
      </c>
      <c r="G3" s="105" t="s">
        <v>44</v>
      </c>
    </row>
    <row r="4" spans="1:7" x14ac:dyDescent="0.2">
      <c r="A4" s="105" t="s">
        <v>14</v>
      </c>
      <c r="B4" s="26" t="s">
        <v>98</v>
      </c>
      <c r="C4" s="35">
        <v>0.5</v>
      </c>
      <c r="D4" s="17"/>
      <c r="E4" s="26" t="s">
        <v>59</v>
      </c>
      <c r="F4" s="36">
        <v>0.4</v>
      </c>
      <c r="G4" s="105" t="s">
        <v>44</v>
      </c>
    </row>
    <row r="5" spans="1:7" x14ac:dyDescent="0.2">
      <c r="A5" s="105" t="s">
        <v>14</v>
      </c>
      <c r="B5" s="26" t="s">
        <v>60</v>
      </c>
      <c r="C5" s="35">
        <v>121</v>
      </c>
      <c r="D5" s="17"/>
      <c r="E5" s="26" t="s">
        <v>60</v>
      </c>
      <c r="F5" s="36">
        <v>118</v>
      </c>
      <c r="G5" s="105" t="s">
        <v>44</v>
      </c>
    </row>
    <row r="6" spans="1:7" x14ac:dyDescent="0.2">
      <c r="A6" s="105" t="s">
        <v>14</v>
      </c>
      <c r="B6" s="26" t="s">
        <v>61</v>
      </c>
      <c r="C6" s="35">
        <v>4</v>
      </c>
      <c r="D6" s="17"/>
      <c r="E6" s="26" t="s">
        <v>61</v>
      </c>
      <c r="F6" s="36">
        <v>4</v>
      </c>
      <c r="G6" s="105" t="s">
        <v>44</v>
      </c>
    </row>
    <row r="7" spans="1:7" x14ac:dyDescent="0.2">
      <c r="A7" s="105" t="s">
        <v>14</v>
      </c>
      <c r="B7" s="26" t="s">
        <v>62</v>
      </c>
      <c r="C7" s="35">
        <v>0.3</v>
      </c>
      <c r="D7" s="17"/>
      <c r="E7" s="26" t="s">
        <v>62</v>
      </c>
      <c r="F7" s="36">
        <v>0.3</v>
      </c>
      <c r="G7" s="105" t="s">
        <v>44</v>
      </c>
    </row>
    <row r="8" spans="1:7" x14ac:dyDescent="0.2">
      <c r="A8" s="105"/>
      <c r="B8" s="26" t="s">
        <v>63</v>
      </c>
      <c r="C8" s="57">
        <f>C6-C3</f>
        <v>-3</v>
      </c>
      <c r="D8" s="17"/>
      <c r="E8" s="26" t="s">
        <v>63</v>
      </c>
      <c r="F8" s="59">
        <f>F6-F3</f>
        <v>-5</v>
      </c>
      <c r="G8" s="105"/>
    </row>
    <row r="9" spans="1:7" ht="17" thickBot="1" x14ac:dyDescent="0.25">
      <c r="A9" s="105"/>
      <c r="B9" s="48" t="s">
        <v>64</v>
      </c>
      <c r="C9" s="58">
        <f>SQRT((C4^2+C7^2)-(2*RHO*C4*C7))</f>
        <v>0.31622776601683789</v>
      </c>
      <c r="D9" s="17"/>
      <c r="E9" s="48" t="s">
        <v>64</v>
      </c>
      <c r="F9" s="60">
        <f>SQRT((F4^2+F7^2)-(2*RHO*F4*F7))</f>
        <v>0.24083189157584584</v>
      </c>
      <c r="G9" s="105"/>
    </row>
    <row r="10" spans="1:7" ht="35" thickBot="1" x14ac:dyDescent="0.25">
      <c r="A10" s="105"/>
      <c r="B10" s="49" t="s">
        <v>65</v>
      </c>
      <c r="C10" s="56">
        <f>C8-F8</f>
        <v>2</v>
      </c>
      <c r="D10" s="16"/>
      <c r="E10" s="16"/>
      <c r="F10" s="54"/>
      <c r="G10" s="105"/>
    </row>
    <row r="11" spans="1:7" ht="18" thickBot="1" x14ac:dyDescent="0.25">
      <c r="A11" s="105"/>
      <c r="B11" s="49" t="s">
        <v>49</v>
      </c>
      <c r="C11" s="55">
        <f>SQRT((C9^2/C5)+(F9^2/F5))</f>
        <v>3.6303880022947252E-2</v>
      </c>
      <c r="D11" s="17"/>
      <c r="E11" s="17"/>
      <c r="F11" s="20"/>
      <c r="G11" s="105"/>
    </row>
    <row r="12" spans="1:7" ht="17" thickBot="1" x14ac:dyDescent="0.25">
      <c r="A12" s="105"/>
      <c r="B12" s="26" t="s">
        <v>88</v>
      </c>
      <c r="C12" s="50">
        <f>C10-1.96*C11</f>
        <v>1.9288443951550234</v>
      </c>
      <c r="D12" s="51" t="s">
        <v>13</v>
      </c>
      <c r="E12" s="17"/>
      <c r="F12" s="20"/>
      <c r="G12" s="105"/>
    </row>
    <row r="13" spans="1:7" ht="17" thickBot="1" x14ac:dyDescent="0.25">
      <c r="A13" s="105"/>
      <c r="B13" s="52" t="s">
        <v>89</v>
      </c>
      <c r="C13" s="53">
        <f>C10+1.96*C11</f>
        <v>2.0711556048449764</v>
      </c>
      <c r="D13" s="93" t="s">
        <v>66</v>
      </c>
      <c r="E13" s="153" t="str">
        <f>CONCATENATE(ROUND(C10,2)," (95% CI ",ROUND(C12,2)," to ",ROUND(C13,2),")")</f>
        <v>2 (95% CI 1.93 to 2.07)</v>
      </c>
      <c r="F13" s="154"/>
      <c r="G13" s="105" t="s">
        <v>94</v>
      </c>
    </row>
    <row r="14" spans="1:7" x14ac:dyDescent="0.2">
      <c r="B14" s="19"/>
      <c r="C14" s="17"/>
      <c r="D14" s="17"/>
      <c r="E14" s="17"/>
      <c r="F14" s="20"/>
    </row>
    <row r="15" spans="1:7" ht="17" thickBot="1" x14ac:dyDescent="0.25">
      <c r="B15" s="21"/>
      <c r="C15" s="18"/>
      <c r="D15" s="18"/>
      <c r="E15" s="18"/>
      <c r="F15" s="22"/>
    </row>
    <row r="16" spans="1:7" x14ac:dyDescent="0.2">
      <c r="B16" s="185" t="s">
        <v>42</v>
      </c>
      <c r="C16" s="186"/>
      <c r="D16" s="186"/>
      <c r="E16" s="186"/>
      <c r="F16" s="193"/>
    </row>
    <row r="17" spans="2:6" x14ac:dyDescent="0.2">
      <c r="B17" s="112" t="s">
        <v>76</v>
      </c>
      <c r="C17" s="187" t="s">
        <v>80</v>
      </c>
      <c r="D17" s="187"/>
      <c r="E17" s="187"/>
      <c r="F17" s="194"/>
    </row>
    <row r="18" spans="2:6" x14ac:dyDescent="0.2">
      <c r="B18" s="188" t="s">
        <v>75</v>
      </c>
      <c r="C18" s="189" t="s">
        <v>77</v>
      </c>
      <c r="D18" s="187"/>
      <c r="E18" s="187"/>
      <c r="F18" s="194"/>
    </row>
    <row r="19" spans="2:6" x14ac:dyDescent="0.2">
      <c r="B19" s="112" t="s">
        <v>43</v>
      </c>
      <c r="C19" s="187"/>
      <c r="D19" s="187"/>
      <c r="E19" s="187"/>
      <c r="F19" s="194"/>
    </row>
    <row r="20" spans="2:6" x14ac:dyDescent="0.2">
      <c r="B20" s="112" t="s">
        <v>78</v>
      </c>
      <c r="C20" s="187" t="s">
        <v>79</v>
      </c>
      <c r="D20" s="187"/>
      <c r="E20" s="187"/>
      <c r="F20" s="194"/>
    </row>
    <row r="21" spans="2:6" x14ac:dyDescent="0.2">
      <c r="B21" s="190" t="s">
        <v>75</v>
      </c>
      <c r="C21" s="191" t="s">
        <v>81</v>
      </c>
      <c r="D21" s="192"/>
      <c r="E21" s="192"/>
      <c r="F21" s="195"/>
    </row>
    <row r="23" spans="2:6" x14ac:dyDescent="0.2">
      <c r="B23" s="196" t="s">
        <v>82</v>
      </c>
      <c r="C23" s="197"/>
      <c r="D23" s="198" t="s">
        <v>83</v>
      </c>
      <c r="E23" s="111"/>
    </row>
    <row r="24" spans="2:6" x14ac:dyDescent="0.2">
      <c r="B24" s="199" t="s">
        <v>69</v>
      </c>
      <c r="C24" s="200"/>
      <c r="D24" s="187" t="s">
        <v>84</v>
      </c>
      <c r="E24" s="194"/>
    </row>
    <row r="25" spans="2:6" x14ac:dyDescent="0.2">
      <c r="B25" s="201" t="s">
        <v>70</v>
      </c>
      <c r="C25" s="202"/>
      <c r="D25" s="192" t="s">
        <v>85</v>
      </c>
      <c r="E25" s="195"/>
    </row>
  </sheetData>
  <sheetProtection sheet="1" objects="1" scenarios="1"/>
  <mergeCells count="6">
    <mergeCell ref="B25:C25"/>
    <mergeCell ref="B2:C2"/>
    <mergeCell ref="E2:F2"/>
    <mergeCell ref="E13:F13"/>
    <mergeCell ref="B23:C23"/>
    <mergeCell ref="B24:C2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5FD3CB-70AE-E042-8584-E94A2CBFDB69}">
  <dimension ref="A1:G15"/>
  <sheetViews>
    <sheetView zoomScale="143" zoomScaleNormal="170" workbookViewId="0">
      <selection activeCell="F15" sqref="F15"/>
    </sheetView>
  </sheetViews>
  <sheetFormatPr baseColWidth="10" defaultRowHeight="16" x14ac:dyDescent="0.2"/>
  <cols>
    <col min="1" max="1" width="17" style="104" bestFit="1" customWidth="1"/>
    <col min="2" max="2" width="13.5" style="104" bestFit="1" customWidth="1"/>
    <col min="3" max="3" width="10.83203125" style="104"/>
    <col min="4" max="4" width="11.6640625" style="104" bestFit="1" customWidth="1"/>
    <col min="5" max="5" width="13.5" style="104" bestFit="1" customWidth="1"/>
    <col min="6" max="6" width="10.83203125" style="104"/>
    <col min="7" max="7" width="17" style="104" bestFit="1" customWidth="1"/>
    <col min="8" max="16384" width="10.83203125" style="104"/>
  </cols>
  <sheetData>
    <row r="1" spans="1:7" ht="17" thickBot="1" x14ac:dyDescent="0.25">
      <c r="B1" s="176"/>
      <c r="C1" s="203"/>
    </row>
    <row r="2" spans="1:7" x14ac:dyDescent="0.2">
      <c r="B2" s="140" t="s">
        <v>42</v>
      </c>
      <c r="C2" s="141"/>
      <c r="D2" s="16"/>
      <c r="E2" s="142" t="s">
        <v>43</v>
      </c>
      <c r="F2" s="143"/>
    </row>
    <row r="3" spans="1:7" x14ac:dyDescent="0.2">
      <c r="A3" s="105" t="s">
        <v>14</v>
      </c>
      <c r="B3" s="26" t="s">
        <v>60</v>
      </c>
      <c r="C3" s="35">
        <v>64</v>
      </c>
      <c r="D3" s="17"/>
      <c r="E3" s="26" t="s">
        <v>60</v>
      </c>
      <c r="F3" s="36">
        <v>50</v>
      </c>
      <c r="G3" s="105" t="s">
        <v>44</v>
      </c>
    </row>
    <row r="4" spans="1:7" x14ac:dyDescent="0.2">
      <c r="A4" s="105" t="s">
        <v>14</v>
      </c>
      <c r="B4" s="26" t="s">
        <v>61</v>
      </c>
      <c r="C4" s="35">
        <v>3.3</v>
      </c>
      <c r="D4" s="17"/>
      <c r="E4" s="26" t="s">
        <v>61</v>
      </c>
      <c r="F4" s="36">
        <v>6.8</v>
      </c>
      <c r="G4" s="105" t="s">
        <v>44</v>
      </c>
    </row>
    <row r="5" spans="1:7" ht="17" thickBot="1" x14ac:dyDescent="0.25">
      <c r="A5" s="105" t="s">
        <v>14</v>
      </c>
      <c r="B5" s="48" t="s">
        <v>62</v>
      </c>
      <c r="C5" s="61">
        <v>2.9</v>
      </c>
      <c r="D5" s="17"/>
      <c r="E5" s="48" t="s">
        <v>62</v>
      </c>
      <c r="F5" s="62">
        <v>1.4</v>
      </c>
      <c r="G5" s="105" t="s">
        <v>44</v>
      </c>
    </row>
    <row r="6" spans="1:7" ht="18" thickBot="1" x14ac:dyDescent="0.25">
      <c r="A6" s="105"/>
      <c r="B6" s="49" t="s">
        <v>50</v>
      </c>
      <c r="C6" s="56">
        <f>C4-F4</f>
        <v>-3.5</v>
      </c>
      <c r="D6" s="16"/>
      <c r="E6" s="16"/>
      <c r="F6" s="54"/>
      <c r="G6" s="105"/>
    </row>
    <row r="7" spans="1:7" ht="18" thickBot="1" x14ac:dyDescent="0.25">
      <c r="A7" s="105"/>
      <c r="B7" s="49" t="s">
        <v>51</v>
      </c>
      <c r="C7" s="63">
        <f>SQRT((((C3-1)*C5^2)+((F3-1)*F5^2))/(C3+F3-2))</f>
        <v>2.3639215300005203</v>
      </c>
      <c r="D7" s="17"/>
      <c r="E7" s="17"/>
      <c r="F7" s="20"/>
      <c r="G7" s="105"/>
    </row>
    <row r="8" spans="1:7" ht="18" thickBot="1" x14ac:dyDescent="0.25">
      <c r="A8" s="105"/>
      <c r="B8" s="49" t="s">
        <v>52</v>
      </c>
      <c r="C8" s="55">
        <f>C7*SQRT((1/C3)+(1/F3))</f>
        <v>0.44618040423689614</v>
      </c>
      <c r="D8" s="17"/>
      <c r="E8" s="17"/>
      <c r="F8" s="20"/>
      <c r="G8" s="105"/>
    </row>
    <row r="9" spans="1:7" ht="17" thickBot="1" x14ac:dyDescent="0.25">
      <c r="A9" s="105"/>
      <c r="B9" s="26" t="s">
        <v>88</v>
      </c>
      <c r="C9" s="50">
        <f>C6-1.96*C8</f>
        <v>-4.3745135923043161</v>
      </c>
      <c r="D9" s="51" t="s">
        <v>13</v>
      </c>
      <c r="E9" s="17"/>
      <c r="F9" s="20"/>
      <c r="G9" s="105"/>
    </row>
    <row r="10" spans="1:7" ht="17" thickBot="1" x14ac:dyDescent="0.25">
      <c r="A10" s="105"/>
      <c r="B10" s="52" t="s">
        <v>89</v>
      </c>
      <c r="C10" s="53">
        <f>C6+1.96*C8</f>
        <v>-2.6254864076956834</v>
      </c>
      <c r="D10" s="93" t="s">
        <v>53</v>
      </c>
      <c r="E10" s="153" t="str">
        <f>CONCATENATE(ROUND(C6,2)," (95% CI ",ROUND(C9,2)," to ",ROUND(C10,2),")")</f>
        <v>-3.5 (95% CI -4.37 to -2.63)</v>
      </c>
      <c r="F10" s="154"/>
      <c r="G10" s="105" t="s">
        <v>94</v>
      </c>
    </row>
    <row r="11" spans="1:7" x14ac:dyDescent="0.2">
      <c r="B11" s="19"/>
      <c r="C11" s="17"/>
      <c r="D11" s="17"/>
      <c r="E11" s="17"/>
      <c r="F11" s="20"/>
    </row>
    <row r="12" spans="1:7" ht="17" thickBot="1" x14ac:dyDescent="0.25">
      <c r="B12" s="21"/>
      <c r="C12" s="18"/>
      <c r="D12" s="18"/>
      <c r="E12" s="18"/>
      <c r="F12" s="22"/>
    </row>
    <row r="13" spans="1:7" x14ac:dyDescent="0.2">
      <c r="B13" s="205" t="s">
        <v>86</v>
      </c>
      <c r="C13" s="204" t="s">
        <v>87</v>
      </c>
      <c r="D13" s="193"/>
    </row>
    <row r="14" spans="1:7" x14ac:dyDescent="0.2">
      <c r="B14" s="188" t="s">
        <v>69</v>
      </c>
      <c r="C14" s="189" t="s">
        <v>90</v>
      </c>
      <c r="D14" s="194"/>
    </row>
    <row r="15" spans="1:7" x14ac:dyDescent="0.2">
      <c r="B15" s="190" t="s">
        <v>70</v>
      </c>
      <c r="C15" s="191" t="s">
        <v>91</v>
      </c>
      <c r="D15" s="195"/>
    </row>
  </sheetData>
  <sheetProtection sheet="1" objects="1" scenarios="1"/>
  <mergeCells count="3">
    <mergeCell ref="B2:C2"/>
    <mergeCell ref="E2:F2"/>
    <mergeCell ref="E10:F10"/>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877B8D-2CD6-F040-956A-3C4101B180D1}">
  <dimension ref="B2:K17"/>
  <sheetViews>
    <sheetView topLeftCell="B1" zoomScale="132" workbookViewId="0">
      <selection activeCell="K14" sqref="K14"/>
    </sheetView>
  </sheetViews>
  <sheetFormatPr baseColWidth="10" defaultRowHeight="16" x14ac:dyDescent="0.2"/>
  <cols>
    <col min="1" max="1" width="10.83203125" style="104"/>
    <col min="2" max="2" width="17" style="104" bestFit="1" customWidth="1"/>
    <col min="3" max="16384" width="10.83203125" style="104"/>
  </cols>
  <sheetData>
    <row r="2" spans="2:11" ht="17" thickBot="1" x14ac:dyDescent="0.25">
      <c r="C2" s="105" t="s">
        <v>119</v>
      </c>
      <c r="D2" s="105"/>
      <c r="E2" s="105"/>
      <c r="F2" s="105"/>
    </row>
    <row r="3" spans="2:11" x14ac:dyDescent="0.2">
      <c r="C3" s="6"/>
      <c r="D3" s="12" t="s">
        <v>116</v>
      </c>
      <c r="E3" s="12"/>
      <c r="F3" s="12"/>
      <c r="G3" s="13"/>
      <c r="I3" s="97" t="s">
        <v>120</v>
      </c>
      <c r="J3" s="100">
        <f>D5/D7</f>
        <v>0.38636363636363635</v>
      </c>
      <c r="K3" s="206" t="s">
        <v>125</v>
      </c>
    </row>
    <row r="4" spans="2:11" x14ac:dyDescent="0.2">
      <c r="C4" s="7"/>
      <c r="D4" s="95" t="s">
        <v>117</v>
      </c>
      <c r="E4" s="95" t="s">
        <v>118</v>
      </c>
      <c r="F4" s="72" t="s">
        <v>13</v>
      </c>
      <c r="G4" s="14"/>
      <c r="I4" s="98" t="s">
        <v>121</v>
      </c>
      <c r="J4" s="101">
        <f>E6/E7</f>
        <v>0.26136363636363635</v>
      </c>
      <c r="K4" s="206"/>
    </row>
    <row r="5" spans="2:11" x14ac:dyDescent="0.2">
      <c r="B5" s="105" t="s">
        <v>14</v>
      </c>
      <c r="C5" s="96" t="s">
        <v>117</v>
      </c>
      <c r="D5" s="35">
        <v>34</v>
      </c>
      <c r="E5" s="35">
        <v>65</v>
      </c>
      <c r="F5" s="71">
        <f>D5+E5</f>
        <v>99</v>
      </c>
      <c r="G5" s="14"/>
      <c r="I5" s="98" t="s">
        <v>122</v>
      </c>
      <c r="J5" s="101">
        <f>D5/F5</f>
        <v>0.34343434343434343</v>
      </c>
      <c r="K5" s="206"/>
    </row>
    <row r="6" spans="2:11" ht="17" thickBot="1" x14ac:dyDescent="0.25">
      <c r="B6" s="105" t="s">
        <v>14</v>
      </c>
      <c r="C6" s="96" t="s">
        <v>118</v>
      </c>
      <c r="D6" s="35">
        <v>54</v>
      </c>
      <c r="E6" s="35">
        <v>23</v>
      </c>
      <c r="F6" s="71">
        <f>D6+E6</f>
        <v>77</v>
      </c>
      <c r="G6" s="14"/>
      <c r="I6" s="99" t="s">
        <v>123</v>
      </c>
      <c r="J6" s="102">
        <f>E6/F6</f>
        <v>0.29870129870129869</v>
      </c>
      <c r="K6" s="206"/>
    </row>
    <row r="7" spans="2:11" x14ac:dyDescent="0.2">
      <c r="C7" s="29" t="s">
        <v>13</v>
      </c>
      <c r="D7" s="92">
        <f>D5+D6</f>
        <v>88</v>
      </c>
      <c r="E7" s="92">
        <f>E5+E6</f>
        <v>88</v>
      </c>
      <c r="F7" s="85">
        <f>D7+E7</f>
        <v>176</v>
      </c>
      <c r="G7" s="14"/>
    </row>
    <row r="8" spans="2:11" ht="17" thickBot="1" x14ac:dyDescent="0.25">
      <c r="C8" s="30"/>
      <c r="D8" s="15"/>
      <c r="E8" s="15"/>
      <c r="F8" s="15"/>
      <c r="G8" s="89"/>
      <c r="H8" s="105"/>
    </row>
    <row r="10" spans="2:11" x14ac:dyDescent="0.2">
      <c r="C10" s="207" t="s">
        <v>124</v>
      </c>
      <c r="D10" s="208"/>
      <c r="E10" s="208"/>
      <c r="F10" s="208"/>
      <c r="G10" s="208"/>
      <c r="H10" s="208"/>
      <c r="I10" s="208"/>
      <c r="J10" s="209"/>
    </row>
    <row r="11" spans="2:11" x14ac:dyDescent="0.2">
      <c r="C11" s="210"/>
      <c r="D11" s="211"/>
      <c r="E11" s="211"/>
      <c r="F11" s="211"/>
      <c r="G11" s="211"/>
      <c r="H11" s="211"/>
      <c r="I11" s="211"/>
      <c r="J11" s="212"/>
    </row>
    <row r="12" spans="2:11" x14ac:dyDescent="0.2">
      <c r="C12" s="210"/>
      <c r="D12" s="211"/>
      <c r="E12" s="211"/>
      <c r="F12" s="211"/>
      <c r="G12" s="211"/>
      <c r="H12" s="211"/>
      <c r="I12" s="211"/>
      <c r="J12" s="212"/>
    </row>
    <row r="13" spans="2:11" x14ac:dyDescent="0.2">
      <c r="C13" s="210"/>
      <c r="D13" s="211"/>
      <c r="E13" s="211"/>
      <c r="F13" s="211"/>
      <c r="G13" s="211"/>
      <c r="H13" s="211"/>
      <c r="I13" s="211"/>
      <c r="J13" s="212"/>
    </row>
    <row r="14" spans="2:11" x14ac:dyDescent="0.2">
      <c r="C14" s="210"/>
      <c r="D14" s="211"/>
      <c r="E14" s="211"/>
      <c r="F14" s="211"/>
      <c r="G14" s="211"/>
      <c r="H14" s="211"/>
      <c r="I14" s="211"/>
      <c r="J14" s="212"/>
    </row>
    <row r="15" spans="2:11" x14ac:dyDescent="0.2">
      <c r="C15" s="210"/>
      <c r="D15" s="211"/>
      <c r="E15" s="211"/>
      <c r="F15" s="211"/>
      <c r="G15" s="211"/>
      <c r="H15" s="211"/>
      <c r="I15" s="211"/>
      <c r="J15" s="212"/>
    </row>
    <row r="16" spans="2:11" x14ac:dyDescent="0.2">
      <c r="C16" s="210"/>
      <c r="D16" s="211"/>
      <c r="E16" s="211"/>
      <c r="F16" s="211"/>
      <c r="G16" s="211"/>
      <c r="H16" s="211"/>
      <c r="I16" s="211"/>
      <c r="J16" s="212"/>
    </row>
    <row r="17" spans="3:10" x14ac:dyDescent="0.2">
      <c r="C17" s="213"/>
      <c r="D17" s="214"/>
      <c r="E17" s="214"/>
      <c r="F17" s="214"/>
      <c r="G17" s="214"/>
      <c r="H17" s="214"/>
      <c r="I17" s="214"/>
      <c r="J17" s="215"/>
    </row>
  </sheetData>
  <sheetProtection sheet="1" objects="1" scenarios="1"/>
  <mergeCells count="2">
    <mergeCell ref="C10:J17"/>
    <mergeCell ref="K3:K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5E0305-1F81-CF48-B16E-AA7F28496645}">
  <dimension ref="A3:Q27"/>
  <sheetViews>
    <sheetView tabSelected="1" zoomScale="93" zoomScaleNormal="122" workbookViewId="0">
      <selection activeCell="K27" sqref="K27"/>
    </sheetView>
  </sheetViews>
  <sheetFormatPr baseColWidth="10" defaultRowHeight="16" x14ac:dyDescent="0.2"/>
  <cols>
    <col min="1" max="1" width="17" style="104" bestFit="1" customWidth="1"/>
    <col min="2" max="2" width="15" style="104" customWidth="1"/>
    <col min="3" max="3" width="12.6640625" style="104" bestFit="1" customWidth="1"/>
    <col min="4" max="4" width="10.83203125" style="104"/>
    <col min="5" max="5" width="10.33203125" style="104" customWidth="1"/>
    <col min="6" max="16384" width="10.83203125" style="104"/>
  </cols>
  <sheetData>
    <row r="3" spans="1:17" ht="17" thickBot="1" x14ac:dyDescent="0.25">
      <c r="B3" s="105" t="s">
        <v>102</v>
      </c>
      <c r="C3" s="105"/>
      <c r="D3" s="105"/>
      <c r="E3" s="105"/>
    </row>
    <row r="4" spans="1:17" ht="16" customHeight="1" x14ac:dyDescent="0.2">
      <c r="B4" s="6"/>
      <c r="C4" s="12"/>
      <c r="D4" s="12"/>
      <c r="E4" s="12"/>
      <c r="F4" s="13"/>
      <c r="H4" s="155" t="s">
        <v>114</v>
      </c>
      <c r="I4" s="156"/>
      <c r="J4" s="156"/>
      <c r="K4" s="156"/>
      <c r="L4" s="156"/>
      <c r="M4" s="156"/>
      <c r="N4" s="156"/>
      <c r="O4" s="156"/>
      <c r="P4" s="156"/>
      <c r="Q4" s="157"/>
    </row>
    <row r="5" spans="1:17" x14ac:dyDescent="0.2">
      <c r="B5" s="7"/>
      <c r="C5" s="236" t="s">
        <v>16</v>
      </c>
      <c r="D5" s="236" t="s">
        <v>18</v>
      </c>
      <c r="E5" s="236" t="s">
        <v>13</v>
      </c>
      <c r="F5" s="14"/>
      <c r="H5" s="158"/>
      <c r="I5" s="159"/>
      <c r="J5" s="159"/>
      <c r="K5" s="159"/>
      <c r="L5" s="159"/>
      <c r="M5" s="159"/>
      <c r="N5" s="159"/>
      <c r="O5" s="159"/>
      <c r="P5" s="159"/>
      <c r="Q5" s="160"/>
    </row>
    <row r="6" spans="1:17" x14ac:dyDescent="0.2">
      <c r="A6" s="105" t="s">
        <v>14</v>
      </c>
      <c r="B6" s="29" t="s">
        <v>11</v>
      </c>
      <c r="C6" s="35">
        <v>10</v>
      </c>
      <c r="D6" s="35">
        <v>13</v>
      </c>
      <c r="E6" s="237">
        <f>C6+D6</f>
        <v>23</v>
      </c>
      <c r="F6" s="14"/>
      <c r="H6" s="158"/>
      <c r="I6" s="159"/>
      <c r="J6" s="159"/>
      <c r="K6" s="159"/>
      <c r="L6" s="159"/>
      <c r="M6" s="159"/>
      <c r="N6" s="159"/>
      <c r="O6" s="159"/>
      <c r="P6" s="159"/>
      <c r="Q6" s="160"/>
    </row>
    <row r="7" spans="1:17" x14ac:dyDescent="0.2">
      <c r="A7" s="105" t="s">
        <v>14</v>
      </c>
      <c r="B7" s="29" t="s">
        <v>104</v>
      </c>
      <c r="C7" s="35">
        <v>23</v>
      </c>
      <c r="D7" s="35">
        <v>10</v>
      </c>
      <c r="E7" s="237">
        <f>C7+D7</f>
        <v>33</v>
      </c>
      <c r="F7" s="14"/>
      <c r="H7" s="158"/>
      <c r="I7" s="159"/>
      <c r="J7" s="159"/>
      <c r="K7" s="159"/>
      <c r="L7" s="159"/>
      <c r="M7" s="159"/>
      <c r="N7" s="159"/>
      <c r="O7" s="159"/>
      <c r="P7" s="159"/>
      <c r="Q7" s="160"/>
    </row>
    <row r="8" spans="1:17" x14ac:dyDescent="0.2">
      <c r="B8" s="29" t="s">
        <v>13</v>
      </c>
      <c r="C8" s="238">
        <f>C6+C7</f>
        <v>33</v>
      </c>
      <c r="D8" s="238">
        <f>D6+D7</f>
        <v>23</v>
      </c>
      <c r="E8" s="239">
        <f>C8+D8</f>
        <v>56</v>
      </c>
      <c r="F8" s="14"/>
      <c r="H8" s="158"/>
      <c r="I8" s="159"/>
      <c r="J8" s="159"/>
      <c r="K8" s="159"/>
      <c r="L8" s="159"/>
      <c r="M8" s="159"/>
      <c r="N8" s="159"/>
      <c r="O8" s="159"/>
      <c r="P8" s="159"/>
      <c r="Q8" s="160"/>
    </row>
    <row r="9" spans="1:17" ht="17" thickBot="1" x14ac:dyDescent="0.25">
      <c r="B9" s="30" t="s">
        <v>105</v>
      </c>
      <c r="C9" s="94">
        <f>POWER(C6-C14,2)/C14+POWER(D6-D14,2)/D14+POWER(C7-C15,2)/C15+POWER(D7-D15,2)/D15</f>
        <v>3.8495558784268171</v>
      </c>
      <c r="D9" s="15" t="s">
        <v>106</v>
      </c>
      <c r="E9" s="94">
        <f>CHIDIST(C9,1)</f>
        <v>4.9759164957513154E-2</v>
      </c>
      <c r="F9" s="89"/>
      <c r="G9" s="105" t="s">
        <v>94</v>
      </c>
      <c r="H9" s="158"/>
      <c r="I9" s="159"/>
      <c r="J9" s="159"/>
      <c r="K9" s="159"/>
      <c r="L9" s="159"/>
      <c r="M9" s="159"/>
      <c r="N9" s="159"/>
      <c r="O9" s="159"/>
      <c r="P9" s="159"/>
      <c r="Q9" s="160"/>
    </row>
    <row r="10" spans="1:17" s="220" customFormat="1" x14ac:dyDescent="0.2">
      <c r="A10" s="104"/>
      <c r="B10" s="104"/>
      <c r="C10" s="104"/>
      <c r="D10" s="104"/>
      <c r="E10" s="235"/>
      <c r="F10" s="224"/>
      <c r="G10" s="222"/>
      <c r="H10" s="219"/>
      <c r="Q10" s="221"/>
    </row>
    <row r="11" spans="1:17" ht="17" thickBot="1" x14ac:dyDescent="0.25">
      <c r="A11" s="222"/>
      <c r="B11" s="222" t="s">
        <v>103</v>
      </c>
      <c r="C11" s="220"/>
      <c r="D11" s="222"/>
      <c r="E11" s="222"/>
      <c r="F11" s="222"/>
      <c r="G11" s="223"/>
      <c r="H11" s="219"/>
      <c r="I11" s="220"/>
      <c r="J11" s="220"/>
      <c r="K11" s="220"/>
      <c r="L11" s="220"/>
      <c r="M11" s="220"/>
      <c r="N11" s="220"/>
      <c r="O11" s="220"/>
      <c r="P11" s="220"/>
      <c r="Q11" s="221"/>
    </row>
    <row r="12" spans="1:17" x14ac:dyDescent="0.2">
      <c r="B12" s="6"/>
      <c r="C12" s="12"/>
      <c r="D12" s="12"/>
      <c r="E12" s="12"/>
      <c r="F12" s="13"/>
      <c r="H12" s="158"/>
      <c r="I12" s="159"/>
      <c r="J12" s="159"/>
      <c r="K12" s="159"/>
      <c r="L12" s="159"/>
      <c r="M12" s="159"/>
      <c r="N12" s="159"/>
      <c r="O12" s="159"/>
      <c r="P12" s="159"/>
      <c r="Q12" s="160"/>
    </row>
    <row r="13" spans="1:17" x14ac:dyDescent="0.2">
      <c r="B13" s="7"/>
      <c r="C13" s="72" t="s">
        <v>16</v>
      </c>
      <c r="D13" s="72" t="s">
        <v>18</v>
      </c>
      <c r="E13" s="72" t="s">
        <v>13</v>
      </c>
      <c r="F13" s="14"/>
      <c r="H13" s="158"/>
      <c r="I13" s="159"/>
      <c r="J13" s="159"/>
      <c r="K13" s="159"/>
      <c r="L13" s="159"/>
      <c r="M13" s="159"/>
      <c r="N13" s="159"/>
      <c r="O13" s="159"/>
      <c r="P13" s="159"/>
      <c r="Q13" s="160"/>
    </row>
    <row r="14" spans="1:17" x14ac:dyDescent="0.2">
      <c r="B14" s="29" t="s">
        <v>11</v>
      </c>
      <c r="C14" s="81">
        <f>(C8/E8)*E6</f>
        <v>13.553571428571429</v>
      </c>
      <c r="D14" s="81">
        <f>E6-C14</f>
        <v>9.4464285714285712</v>
      </c>
      <c r="E14" s="71">
        <f>C14+D14</f>
        <v>23</v>
      </c>
      <c r="F14" s="14"/>
      <c r="H14" s="158"/>
      <c r="I14" s="159"/>
      <c r="J14" s="159"/>
      <c r="K14" s="159"/>
      <c r="L14" s="159"/>
      <c r="M14" s="159"/>
      <c r="N14" s="159"/>
      <c r="O14" s="159"/>
      <c r="P14" s="159"/>
      <c r="Q14" s="160"/>
    </row>
    <row r="15" spans="1:17" x14ac:dyDescent="0.2">
      <c r="B15" s="29" t="s">
        <v>104</v>
      </c>
      <c r="C15" s="81">
        <f>(C8/E8)*E7</f>
        <v>19.446428571428573</v>
      </c>
      <c r="D15" s="81">
        <f>E7-C15</f>
        <v>13.553571428571427</v>
      </c>
      <c r="E15" s="71">
        <f>C15+D15</f>
        <v>33</v>
      </c>
      <c r="F15" s="14"/>
      <c r="H15" s="158"/>
      <c r="I15" s="159"/>
      <c r="J15" s="159"/>
      <c r="K15" s="159"/>
      <c r="L15" s="159"/>
      <c r="M15" s="159"/>
      <c r="N15" s="159"/>
      <c r="O15" s="159"/>
      <c r="P15" s="159"/>
      <c r="Q15" s="160"/>
    </row>
    <row r="16" spans="1:17" x14ac:dyDescent="0.2">
      <c r="B16" s="29" t="s">
        <v>13</v>
      </c>
      <c r="C16" s="92">
        <f>C14+C15</f>
        <v>33</v>
      </c>
      <c r="D16" s="92">
        <f>D14+D15</f>
        <v>23</v>
      </c>
      <c r="E16" s="85">
        <f>C16+D16</f>
        <v>56</v>
      </c>
      <c r="F16" s="14"/>
      <c r="H16" s="158"/>
      <c r="I16" s="159"/>
      <c r="J16" s="159"/>
      <c r="K16" s="159"/>
      <c r="L16" s="159"/>
      <c r="M16" s="159"/>
      <c r="N16" s="159"/>
      <c r="O16" s="159"/>
      <c r="P16" s="159"/>
      <c r="Q16" s="160"/>
    </row>
    <row r="17" spans="2:17" ht="17" thickBot="1" x14ac:dyDescent="0.25">
      <c r="B17" s="30"/>
      <c r="C17" s="15"/>
      <c r="D17" s="15"/>
      <c r="E17" s="15"/>
      <c r="F17" s="89"/>
      <c r="H17" s="161"/>
      <c r="I17" s="162"/>
      <c r="J17" s="162"/>
      <c r="K17" s="162"/>
      <c r="L17" s="162"/>
      <c r="M17" s="162"/>
      <c r="N17" s="162"/>
      <c r="O17" s="162"/>
      <c r="P17" s="162"/>
      <c r="Q17" s="163"/>
    </row>
    <row r="18" spans="2:17" ht="17" thickBot="1" x14ac:dyDescent="0.25"/>
    <row r="19" spans="2:17" ht="17" thickBot="1" x14ac:dyDescent="0.25">
      <c r="B19" s="167" t="s">
        <v>113</v>
      </c>
      <c r="C19" s="168"/>
      <c r="D19" s="164" t="str">
        <f>IF(C14&lt;5,"Chi2 invalid, an expecred cell is &lt;5.", IF(D14&lt;5,"Chi2 invalid, an expecred cell is &lt;5.",IF(C15&lt;5,"Chi2 invalid, an expecred cell is &lt;5.",IF(D15&lt;5,"Chi2 invalid, an expecred cell is &lt;5.",""))))</f>
        <v/>
      </c>
      <c r="E19" s="165"/>
      <c r="F19" s="166"/>
    </row>
    <row r="20" spans="2:17" ht="16" customHeight="1" thickBot="1" x14ac:dyDescent="0.25">
      <c r="B20" s="155" t="s">
        <v>107</v>
      </c>
      <c r="C20" s="156"/>
      <c r="D20" s="156"/>
      <c r="E20" s="156"/>
      <c r="F20" s="157"/>
      <c r="H20" s="225" t="s">
        <v>108</v>
      </c>
      <c r="I20" s="226"/>
      <c r="J20" s="227"/>
      <c r="K20" s="228" t="s">
        <v>109</v>
      </c>
      <c r="L20" s="229">
        <v>2</v>
      </c>
      <c r="M20" s="230" t="s">
        <v>111</v>
      </c>
      <c r="N20" s="231">
        <v>0.05</v>
      </c>
      <c r="O20" s="232" t="s">
        <v>110</v>
      </c>
      <c r="P20" s="233"/>
      <c r="Q20" s="234">
        <f>N20/L20</f>
        <v>2.5000000000000001E-2</v>
      </c>
    </row>
    <row r="21" spans="2:17" ht="16" customHeight="1" x14ac:dyDescent="0.2">
      <c r="B21" s="158"/>
      <c r="C21" s="211"/>
      <c r="D21" s="211"/>
      <c r="E21" s="211"/>
      <c r="F21" s="160"/>
      <c r="H21" s="155" t="s">
        <v>112</v>
      </c>
      <c r="I21" s="156"/>
      <c r="J21" s="156"/>
      <c r="K21" s="156"/>
      <c r="L21" s="156"/>
      <c r="M21" s="156"/>
      <c r="N21" s="156"/>
      <c r="O21" s="156"/>
      <c r="P21" s="156"/>
      <c r="Q21" s="157"/>
    </row>
    <row r="22" spans="2:17" x14ac:dyDescent="0.2">
      <c r="B22" s="158"/>
      <c r="C22" s="211"/>
      <c r="D22" s="211"/>
      <c r="E22" s="211"/>
      <c r="F22" s="160"/>
      <c r="H22" s="158"/>
      <c r="I22" s="211"/>
      <c r="J22" s="211"/>
      <c r="K22" s="211"/>
      <c r="L22" s="211"/>
      <c r="M22" s="211"/>
      <c r="N22" s="211"/>
      <c r="O22" s="211"/>
      <c r="P22" s="211"/>
      <c r="Q22" s="160"/>
    </row>
    <row r="23" spans="2:17" ht="17" thickBot="1" x14ac:dyDescent="0.25">
      <c r="B23" s="161"/>
      <c r="C23" s="162"/>
      <c r="D23" s="162"/>
      <c r="E23" s="162"/>
      <c r="F23" s="163"/>
      <c r="H23" s="158"/>
      <c r="I23" s="211"/>
      <c r="J23" s="211"/>
      <c r="K23" s="211"/>
      <c r="L23" s="211"/>
      <c r="M23" s="211"/>
      <c r="N23" s="211"/>
      <c r="O23" s="211"/>
      <c r="P23" s="211"/>
      <c r="Q23" s="160"/>
    </row>
    <row r="24" spans="2:17" ht="17" thickBot="1" x14ac:dyDescent="0.25">
      <c r="B24" s="224"/>
      <c r="C24" s="224"/>
      <c r="D24" s="224"/>
      <c r="E24" s="224"/>
      <c r="F24" s="224"/>
      <c r="G24" s="224"/>
      <c r="H24" s="216"/>
      <c r="I24" s="217"/>
      <c r="J24" s="217"/>
      <c r="K24" s="217"/>
      <c r="L24" s="217"/>
      <c r="M24" s="217"/>
      <c r="N24" s="217"/>
      <c r="O24" s="217"/>
      <c r="P24" s="217"/>
      <c r="Q24" s="218"/>
    </row>
    <row r="25" spans="2:17" x14ac:dyDescent="0.2">
      <c r="H25" s="172"/>
      <c r="I25" s="172"/>
      <c r="J25" s="172"/>
      <c r="K25" s="172"/>
      <c r="L25" s="172"/>
      <c r="M25" s="172"/>
      <c r="N25" s="172"/>
      <c r="O25" s="172"/>
    </row>
    <row r="26" spans="2:17" x14ac:dyDescent="0.2">
      <c r="H26" s="172"/>
      <c r="I26" s="172"/>
      <c r="J26" s="172"/>
      <c r="K26" s="172"/>
      <c r="L26" s="172"/>
      <c r="M26" s="172"/>
    </row>
    <row r="27" spans="2:17" x14ac:dyDescent="0.2">
      <c r="H27" s="172"/>
      <c r="I27" s="172"/>
      <c r="J27" s="172"/>
      <c r="K27" s="172"/>
      <c r="L27" s="172"/>
      <c r="M27" s="172"/>
    </row>
  </sheetData>
  <sheetProtection sheet="1" objects="1" scenarios="1"/>
  <mergeCells count="7">
    <mergeCell ref="H4:Q17"/>
    <mergeCell ref="B19:C19"/>
    <mergeCell ref="H21:Q24"/>
    <mergeCell ref="O20:P20"/>
    <mergeCell ref="H20:J20"/>
    <mergeCell ref="B20:F23"/>
    <mergeCell ref="D19:F1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Proportions and RR</vt:lpstr>
      <vt:lpstr>Risk Ratio</vt:lpstr>
      <vt:lpstr>Odds Ratio</vt:lpstr>
      <vt:lpstr>SE -&gt; SD</vt:lpstr>
      <vt:lpstr>95% CI -&gt; SD</vt:lpstr>
      <vt:lpstr>MD Change from Baseline</vt:lpstr>
      <vt:lpstr>MD Post-Tx</vt:lpstr>
      <vt:lpstr>Diagnostic Performance</vt:lpstr>
      <vt:lpstr>Chi2 Test</vt:lpstr>
      <vt:lpstr>RHO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Shay Stabler-Morris</dc:creator>
  <cp:lastModifiedBy>Shay Stabler-Morris</cp:lastModifiedBy>
  <dcterms:created xsi:type="dcterms:W3CDTF">2024-01-02T21:47:26Z</dcterms:created>
  <dcterms:modified xsi:type="dcterms:W3CDTF">2024-07-14T15:23:19Z</dcterms:modified>
</cp:coreProperties>
</file>