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3"/>
  </bookViews>
  <sheets>
    <sheet name="Info" sheetId="1" r:id="rId1"/>
    <sheet name="Alocacao" sheetId="2" r:id="rId2"/>
    <sheet name="Estorias" sheetId="4" r:id="rId3"/>
    <sheet name="Burndown" sheetId="5" r:id="rId4"/>
    <sheet name="Acompanhamento Estórias" sheetId="16" state="hidden" r:id="rId5"/>
    <sheet name="Acompanhamento" sheetId="17" r:id="rId6"/>
    <sheet name="Pendências" sheetId="12" r:id="rId7"/>
    <sheet name="Impactos" sheetId="15" r:id="rId8"/>
    <sheet name="Risco" sheetId="6" r:id="rId9"/>
    <sheet name="Criterios Risco" sheetId="7" r:id="rId10"/>
    <sheet name="Util" sheetId="14" r:id="rId11"/>
  </sheets>
  <definedNames>
    <definedName name="_xlnm._FilterDatabase" localSheetId="2" hidden="1">Estorias!$B$4:$J$10</definedName>
    <definedName name="_xlnm._FilterDatabase" localSheetId="8" hidden="1">Risco!$B$2:$O$8</definedName>
    <definedName name="Alocação">Alocacao!$D$5:$M$13</definedName>
    <definedName name="TamanhoSprint">Info!$F$10</definedName>
    <definedName name="Time">Info!$F$12:$F$16</definedName>
    <definedName name="Velocidade">Info!$F$11</definedName>
  </definedNames>
  <calcPr calcId="144525"/>
</workbook>
</file>

<file path=xl/sharedStrings.xml><?xml version="1.0" encoding="utf-8"?>
<sst xmlns="http://schemas.openxmlformats.org/spreadsheetml/2006/main" count="327" uniqueCount="163">
  <si>
    <t>Informações básicas projeto</t>
  </si>
  <si>
    <t>Cliente</t>
  </si>
  <si>
    <t>Localiza</t>
  </si>
  <si>
    <t>Projeto</t>
  </si>
  <si>
    <t>Canais Digitais - Web</t>
  </si>
  <si>
    <t>No Sprint</t>
  </si>
  <si>
    <t>Líder</t>
  </si>
  <si>
    <t>Marcus Tavares</t>
  </si>
  <si>
    <t>Gerente</t>
  </si>
  <si>
    <t>Gustavo Silva</t>
  </si>
  <si>
    <t>Data Início</t>
  </si>
  <si>
    <t>Data Fim</t>
  </si>
  <si>
    <t>Tamanho (Pontos)</t>
  </si>
  <si>
    <t>Velocidade</t>
  </si>
  <si>
    <t>Time</t>
  </si>
  <si>
    <t>Vitor Decimo</t>
  </si>
  <si>
    <t>Bruno Brandes</t>
  </si>
  <si>
    <t>Gabriel Azevedo</t>
  </si>
  <si>
    <t>Luiz Carneiro</t>
  </si>
  <si>
    <t>SEMANA 1</t>
  </si>
  <si>
    <t>SEMANA 2</t>
  </si>
  <si>
    <t>Recurso</t>
  </si>
  <si>
    <t>Dia Semana</t>
  </si>
  <si>
    <t>SEG</t>
  </si>
  <si>
    <t>Atividade</t>
  </si>
  <si>
    <t>BU</t>
  </si>
  <si>
    <t>FE</t>
  </si>
  <si>
    <t>Função / Dia Mês</t>
  </si>
  <si>
    <t>Luiz</t>
  </si>
  <si>
    <t>Desenvolvedor</t>
  </si>
  <si>
    <t>Gabriel</t>
  </si>
  <si>
    <t>Vitor</t>
  </si>
  <si>
    <t>Bruno</t>
  </si>
  <si>
    <t>Total HH (Build)</t>
  </si>
  <si>
    <t>Pontos</t>
  </si>
  <si>
    <t>TOTAL PONTOS</t>
  </si>
  <si>
    <t>Legenda</t>
  </si>
  <si>
    <t>AD - GROOMING</t>
  </si>
  <si>
    <t>FE - FERIADO</t>
  </si>
  <si>
    <t>BU - BUILD</t>
  </si>
  <si>
    <t>TT - TESTE INTEGRADO</t>
  </si>
  <si>
    <t>HO - HOMOLOGAÇÃO</t>
  </si>
  <si>
    <t>Total pontos concluídos:</t>
  </si>
  <si>
    <t>Estória</t>
  </si>
  <si>
    <t>Descrição</t>
  </si>
  <si>
    <t>Horas Totais</t>
  </si>
  <si>
    <t>Horas Restantes</t>
  </si>
  <si>
    <t>% Concl.</t>
  </si>
  <si>
    <t>Pontos Cocluídos</t>
  </si>
  <si>
    <t>Status</t>
  </si>
  <si>
    <t>ESP001.1</t>
  </si>
  <si>
    <t>Componentes Fundamentais</t>
  </si>
  <si>
    <t>Em Andamento</t>
  </si>
  <si>
    <t>ESP001.2</t>
  </si>
  <si>
    <t>Seleção de agencias</t>
  </si>
  <si>
    <t>ESP001.3</t>
  </si>
  <si>
    <t>Seleção de Datas</t>
  </si>
  <si>
    <t>Não Iniciado</t>
  </si>
  <si>
    <t>ESP001.4</t>
  </si>
  <si>
    <t>Seleção de Horas</t>
  </si>
  <si>
    <t>ESP002</t>
  </si>
  <si>
    <t>Substituição do carousel</t>
  </si>
  <si>
    <t>ESP003</t>
  </si>
  <si>
    <t>Banner da página de confirmação da reserva</t>
  </si>
  <si>
    <t>Dia #</t>
  </si>
  <si>
    <t>Dia</t>
  </si>
  <si>
    <t>Produzido / Dia (Horas)</t>
  </si>
  <si>
    <t>Produzido Acumulado (Horas)</t>
  </si>
  <si>
    <t>Produzido Previsto</t>
  </si>
  <si>
    <t>Restante Previsto</t>
  </si>
  <si>
    <t>Atraso</t>
  </si>
  <si>
    <t>Produzido Real</t>
  </si>
  <si>
    <t>Ajuste</t>
  </si>
  <si>
    <t>Restante Real</t>
  </si>
  <si>
    <t>Real + Ajuste</t>
  </si>
  <si>
    <t>Burndown</t>
  </si>
  <si>
    <t>Nome Estória</t>
  </si>
  <si>
    <t>Dia de Inicio</t>
  </si>
  <si>
    <t>Histórisco Andamento</t>
  </si>
  <si>
    <t>Dia Término</t>
  </si>
  <si>
    <t>Pendências</t>
  </si>
  <si>
    <t>Data</t>
  </si>
  <si>
    <t>Data Limite</t>
  </si>
  <si>
    <t>Data de conclusão</t>
  </si>
  <si>
    <t>Responsável</t>
  </si>
  <si>
    <t>Observação</t>
  </si>
  <si>
    <t>Acesso ao SP do Ride Sharing pela rede da Dti</t>
  </si>
  <si>
    <t>17/03/0218</t>
  </si>
  <si>
    <t>Glaydersen</t>
  </si>
  <si>
    <t>Concluído</t>
  </si>
  <si>
    <t>Indisponibilidade do ambiente de dev para rede de terceiros.</t>
  </si>
  <si>
    <t>Marcus/Bruno/Paiva</t>
  </si>
  <si>
    <t>Em andamento</t>
  </si>
  <si>
    <t>Impactos</t>
  </si>
  <si>
    <t>Horas</t>
  </si>
  <si>
    <t>Correção de Bug - Luiz Carneiro</t>
  </si>
  <si>
    <t>Correção de Bug - Vitor Décimo</t>
  </si>
  <si>
    <t>Atuação no pacote final de Prod - Bruno / Marcus</t>
  </si>
  <si>
    <t>Nível Risco</t>
  </si>
  <si>
    <t>Nível Detalhamento Funcional</t>
  </si>
  <si>
    <t>Definição Requisitos NÃO Funcionais</t>
  </si>
  <si>
    <t>Nível Detalhamento Técnico</t>
  </si>
  <si>
    <t>Nível de Quebra</t>
  </si>
  <si>
    <t>Protótipos</t>
  </si>
  <si>
    <t>Branches</t>
  </si>
  <si>
    <t>Ambiente Desenvolvimento</t>
  </si>
  <si>
    <t>Complexidade Requisito</t>
  </si>
  <si>
    <t>Deixar para o Final do Sprint?</t>
  </si>
  <si>
    <t>Peso Risco</t>
  </si>
  <si>
    <t>Alto</t>
  </si>
  <si>
    <t>Sim</t>
  </si>
  <si>
    <t>Criados</t>
  </si>
  <si>
    <t>Montado e Funcional</t>
  </si>
  <si>
    <t>Baixa</t>
  </si>
  <si>
    <t>Média</t>
  </si>
  <si>
    <t>Boa</t>
  </si>
  <si>
    <t>Critérios de Risco</t>
  </si>
  <si>
    <t>Dimensão</t>
  </si>
  <si>
    <t>Valor</t>
  </si>
  <si>
    <t>Critérios</t>
  </si>
  <si>
    <t>- Regras identificadas e bem detalhadas</t>
  </si>
  <si>
    <t>Médio</t>
  </si>
  <si>
    <t>- Regras identificadas</t>
  </si>
  <si>
    <t>Baixo</t>
  </si>
  <si>
    <t>- Apenas uma descrição macro, no nível de requisito</t>
  </si>
  <si>
    <t>- Descrição de apectos não funcionais da estória, tais como:
* Browsers / Aparelhos (no caso de mobile)
* Internacionalização
* Tempo de resposta</t>
  </si>
  <si>
    <t>- Definição, porém qualitativa ou vinculada a uma definição mais geral para todo o sistema</t>
  </si>
  <si>
    <t>- Não definido</t>
  </si>
  <si>
    <t>- Regras descritas na parte funcional desdobradas em uma visão macro do código a ser alterado
- Identificação das principais entidades de banco envolvidas
- Identificação das principais telas, controladores, métodos e entidades de negócio envolvidos
- Detalhamento das principais queries envolvidas
- NÃO ter frases soltas do tipo "fazer igual a..." sem um maior detalhamento
- Diagramas de estado para entidades complexas. Ex.: Contrato, Fatura</t>
  </si>
  <si>
    <t>- Similar ao alto, porém com um menor nível de detalhamento</t>
  </si>
  <si>
    <t>- Respaldado praticamente pela parte funcional, sem detalhes de código / entidades técnicas</t>
  </si>
  <si>
    <t>- Existência de protótipo, seja em paint, draft na mão ou ferramenta mais elaborada</t>
  </si>
  <si>
    <t>Não</t>
  </si>
  <si>
    <t>- Sem protótipo</t>
  </si>
  <si>
    <t>N/A</t>
  </si>
  <si>
    <t>- Não há necessidade de protótipo, já que é uma estória que não faz sentido. Ex.: Integração</t>
  </si>
  <si>
    <t>- Branch já criado e compilando</t>
  </si>
  <si>
    <t>Não Criados</t>
  </si>
  <si>
    <t>- Não criado</t>
  </si>
  <si>
    <t>Ambiente de Desenvolvimento</t>
  </si>
  <si>
    <t>- Ambiente montado
- Testes básicos de funcionamento executados
- Ambiente populado com uma carga razoável de dados</t>
  </si>
  <si>
    <t>Não Montado</t>
  </si>
  <si>
    <t>- Não montado ou com problemas de funcionamento</t>
  </si>
  <si>
    <t>Alta</t>
  </si>
  <si>
    <t>- Requisito muito complexo, envolvendo diversas heurísicas
- Requisito muito complexo, envolvendo diversas integrações
- Requisito muito complexo, envolvendo comportamentos de tela com diversas operações dependentes</t>
  </si>
  <si>
    <t>- Similar ao "Alta", porém em menor nível</t>
  </si>
  <si>
    <t>- Normalmente, monolítico, sem dependências externas e de fácil descrição e detalhamento</t>
  </si>
  <si>
    <t>Bom</t>
  </si>
  <si>
    <t>&lt;= 3 - Estórias com baixa granularidade tendem a ser mais assertivas quanto à estimativa</t>
  </si>
  <si>
    <t>Preocupante</t>
  </si>
  <si>
    <t>&lt;= 5</t>
  </si>
  <si>
    <t>Ruim</t>
  </si>
  <si>
    <t>&gt;5 Neste caso, é muito importante tentar quebrar a estória</t>
  </si>
  <si>
    <t>Dia da semana</t>
  </si>
  <si>
    <t>Ambiente</t>
  </si>
  <si>
    <t>Quebra</t>
  </si>
  <si>
    <t>Peso</t>
  </si>
  <si>
    <t>TER</t>
  </si>
  <si>
    <t>QUA</t>
  </si>
  <si>
    <t>Parcialmente Criados</t>
  </si>
  <si>
    <t>QUI</t>
  </si>
  <si>
    <t>SEX</t>
  </si>
  <si>
    <t>SAB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</si>
</sst>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-* #,##0.00_-;\-* #,##0.00_-;_-* &quot;-&quot;??_-;_-@_-"/>
    <numFmt numFmtId="178" formatCode="_(&quot;$&quot;* #,##0_);_(&quot;$&quot;* \(#,##0\);_(&quot;$&quot;* &quot;-&quot;_);_(@_)"/>
    <numFmt numFmtId="179" formatCode="00000"/>
    <numFmt numFmtId="180" formatCode="_(&quot;$&quot;* #,##0.00_);_(&quot;$&quot;* \(#,##0.00\);_(&quot;$&quot;* &quot;-&quot;??_);_(@_)"/>
    <numFmt numFmtId="181" formatCode="d/m;@"/>
  </numFmts>
  <fonts count="3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theme="1" tint="0.149998474074526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FD6FF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theme="0"/>
      </bottom>
      <diagonal/>
    </border>
    <border>
      <left/>
      <right style="thin">
        <color rgb="FFFFFFFF"/>
      </right>
      <top style="thin">
        <color rgb="FF3D85C6"/>
      </top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rgb="FF3D85C6"/>
      </bottom>
      <diagonal/>
    </border>
    <border>
      <left/>
      <right/>
      <top style="thin">
        <color rgb="FF3D85C6"/>
      </top>
      <bottom style="thin">
        <color rgb="FF3D85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rgb="FF7030A0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/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rgb="FF002060"/>
      </bottom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177" fontId="0" fillId="0" borderId="0" applyFont="0" applyFill="0" applyBorder="0" applyAlignment="0" applyProtection="0"/>
    <xf numFmtId="176" fontId="11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30" applyNumberFormat="0" applyFill="0" applyAlignment="0" applyProtection="0">
      <alignment vertical="center"/>
    </xf>
    <xf numFmtId="0" fontId="21" fillId="22" borderId="29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23" borderId="33" applyNumberFormat="0" applyFont="0" applyAlignment="0" applyProtection="0">
      <alignment vertical="center"/>
    </xf>
    <xf numFmtId="0" fontId="29" fillId="0" borderId="0"/>
    <xf numFmtId="0" fontId="2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/>
    <xf numFmtId="0" fontId="15" fillId="0" borderId="32" applyNumberFormat="0" applyFill="0" applyAlignment="0" applyProtection="0"/>
    <xf numFmtId="0" fontId="28" fillId="29" borderId="0" applyNumberFormat="0" applyBorder="0" applyAlignment="0" applyProtection="0">
      <alignment vertical="center"/>
    </xf>
    <xf numFmtId="0" fontId="19" fillId="0" borderId="28" applyNumberFormat="0" applyFill="0" applyAlignment="0" applyProtection="0"/>
    <xf numFmtId="0" fontId="28" fillId="36" borderId="0" applyNumberFormat="0" applyBorder="0" applyAlignment="0" applyProtection="0">
      <alignment vertical="center"/>
    </xf>
    <xf numFmtId="0" fontId="9" fillId="0" borderId="34" applyNumberFormat="0" applyFill="0" applyAlignment="0" applyProtection="0"/>
    <xf numFmtId="0" fontId="1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8" fillId="21" borderId="27" applyNumberFormat="0" applyAlignment="0" applyProtection="0">
      <alignment vertical="center"/>
    </xf>
    <xf numFmtId="0" fontId="17" fillId="20" borderId="26" applyNumberFormat="0" applyAlignment="0" applyProtection="0">
      <alignment vertical="center"/>
    </xf>
    <xf numFmtId="0" fontId="24" fillId="20" borderId="27" applyNumberFormat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</cellStyleXfs>
  <cellXfs count="14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2" fillId="3" borderId="2" xfId="25" applyFont="1" applyBorder="1" applyAlignment="1">
      <alignment horizontal="center" vertical="center" wrapText="1"/>
    </xf>
    <xf numFmtId="0" fontId="2" fillId="3" borderId="3" xfId="25" applyFont="1" applyBorder="1" applyAlignment="1">
      <alignment horizontal="center" vertical="center" wrapText="1"/>
    </xf>
    <xf numFmtId="0" fontId="1" fillId="0" borderId="0" xfId="14" applyFont="1" applyFill="1" applyBorder="1" applyAlignment="1"/>
    <xf numFmtId="0" fontId="0" fillId="0" borderId="0" xfId="14" applyFont="1" applyFill="1" applyBorder="1" applyAlignment="1">
      <alignment wrapText="1"/>
    </xf>
    <xf numFmtId="0" fontId="2" fillId="4" borderId="4" xfId="36" applyFont="1" applyBorder="1" applyAlignment="1">
      <alignment horizontal="center"/>
    </xf>
    <xf numFmtId="0" fontId="2" fillId="4" borderId="5" xfId="36" applyFon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6" xfId="24" applyFont="1" applyFill="1" applyBorder="1" applyAlignment="1">
      <alignment vertical="top" wrapText="1"/>
    </xf>
    <xf numFmtId="0" fontId="0" fillId="0" borderId="6" xfId="0" applyFont="1" applyFill="1" applyBorder="1" applyAlignment="1">
      <alignment vertical="center"/>
    </xf>
    <xf numFmtId="0" fontId="0" fillId="0" borderId="6" xfId="14" applyNumberFormat="1" applyFont="1" applyFill="1" applyBorder="1" applyAlignment="1">
      <alignment horizontal="center" vertical="center" wrapText="1"/>
    </xf>
    <xf numFmtId="179" fontId="0" fillId="0" borderId="6" xfId="14" applyNumberFormat="1" applyFont="1" applyFill="1" applyBorder="1" applyAlignment="1">
      <alignment horizontal="center" vertical="center"/>
    </xf>
    <xf numFmtId="0" fontId="0" fillId="0" borderId="6" xfId="14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3" fillId="0" borderId="8" xfId="0" applyFont="1" applyBorder="1"/>
    <xf numFmtId="0" fontId="0" fillId="0" borderId="9" xfId="0" applyFont="1" applyBorder="1"/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/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/>
    </xf>
    <xf numFmtId="0" fontId="4" fillId="5" borderId="6" xfId="19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/>
    <xf numFmtId="0" fontId="2" fillId="6" borderId="6" xfId="0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 wrapText="1"/>
    </xf>
    <xf numFmtId="0" fontId="3" fillId="0" borderId="11" xfId="0" applyFont="1" applyBorder="1"/>
    <xf numFmtId="58" fontId="3" fillId="7" borderId="6" xfId="0" applyNumberFormat="1" applyFont="1" applyFill="1" applyBorder="1" applyAlignment="1">
      <alignment horizontal="center" vertical="center"/>
    </xf>
    <xf numFmtId="2" fontId="3" fillId="7" borderId="6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 wrapText="1"/>
    </xf>
    <xf numFmtId="0" fontId="3" fillId="0" borderId="9" xfId="0" applyFont="1" applyBorder="1"/>
    <xf numFmtId="58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5" fillId="0" borderId="8" xfId="0" applyFont="1" applyBorder="1"/>
    <xf numFmtId="58" fontId="3" fillId="0" borderId="6" xfId="0" applyNumberFormat="1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58" fontId="0" fillId="2" borderId="7" xfId="0" applyNumberForma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181" fontId="0" fillId="9" borderId="6" xfId="0" applyNumberFormat="1" applyFont="1" applyFill="1" applyBorder="1" applyAlignment="1">
      <alignment horizontal="center" vertical="center"/>
    </xf>
    <xf numFmtId="9" fontId="0" fillId="2" borderId="13" xfId="0" applyNumberFormat="1" applyFill="1" applyBorder="1" applyAlignment="1">
      <alignment vertical="center"/>
    </xf>
    <xf numFmtId="9" fontId="0" fillId="2" borderId="7" xfId="0" applyNumberFormat="1" applyFill="1" applyBorder="1" applyAlignment="1">
      <alignment vertical="center"/>
    </xf>
    <xf numFmtId="181" fontId="0" fillId="0" borderId="6" xfId="0" applyNumberFormat="1" applyFont="1" applyBorder="1" applyAlignment="1">
      <alignment horizontal="center" vertical="center"/>
    </xf>
    <xf numFmtId="9" fontId="6" fillId="0" borderId="13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9" fontId="0" fillId="0" borderId="9" xfId="0" applyNumberFormat="1" applyBorder="1" applyAlignment="1">
      <alignment vertical="center"/>
    </xf>
    <xf numFmtId="9" fontId="0" fillId="0" borderId="7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0" fillId="9" borderId="6" xfId="14" applyNumberFormat="1" applyFont="1" applyFill="1" applyBorder="1" applyAlignment="1">
      <alignment vertical="center" wrapText="1"/>
    </xf>
    <xf numFmtId="0" fontId="0" fillId="8" borderId="6" xfId="0" applyFont="1" applyFill="1" applyBorder="1"/>
    <xf numFmtId="58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14" applyNumberFormat="1" applyFont="1" applyBorder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11" borderId="14" xfId="25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181" fontId="0" fillId="0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Alignment="1">
      <alignment horizontal="center"/>
    </xf>
    <xf numFmtId="2" fontId="0" fillId="2" borderId="0" xfId="1" applyNumberFormat="1" applyFont="1" applyFill="1"/>
    <xf numFmtId="0" fontId="8" fillId="2" borderId="0" xfId="0" applyFont="1" applyFill="1" applyAlignment="1">
      <alignment horizontal="center" wrapText="1"/>
    </xf>
    <xf numFmtId="0" fontId="4" fillId="12" borderId="15" xfId="19" applyFont="1" applyFill="1" applyBorder="1" applyAlignment="1">
      <alignment horizontal="center" vertical="center"/>
    </xf>
    <xf numFmtId="0" fontId="4" fillId="12" borderId="0" xfId="19" applyFont="1" applyFill="1" applyBorder="1" applyAlignment="1">
      <alignment horizontal="center" vertical="center"/>
    </xf>
    <xf numFmtId="0" fontId="4" fillId="8" borderId="0" xfId="19" applyFont="1" applyFill="1" applyBorder="1" applyAlignment="1">
      <alignment vertical="center"/>
    </xf>
    <xf numFmtId="0" fontId="0" fillId="2" borderId="0" xfId="0" applyFill="1" applyBorder="1"/>
    <xf numFmtId="0" fontId="9" fillId="2" borderId="16" xfId="26" applyFill="1" applyBorder="1" applyAlignment="1"/>
    <xf numFmtId="0" fontId="10" fillId="2" borderId="14" xfId="22" applyFont="1" applyFill="1" applyBorder="1" applyAlignment="1">
      <alignment horizontal="center"/>
    </xf>
    <xf numFmtId="2" fontId="0" fillId="2" borderId="14" xfId="22" applyNumberFormat="1" applyFont="1" applyFill="1" applyBorder="1"/>
    <xf numFmtId="0" fontId="0" fillId="0" borderId="17" xfId="26" applyFont="1" applyFill="1" applyBorder="1" applyAlignment="1">
      <alignment vertical="top" wrapText="1"/>
    </xf>
    <xf numFmtId="0" fontId="0" fillId="0" borderId="18" xfId="26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center"/>
    </xf>
    <xf numFmtId="9" fontId="0" fillId="0" borderId="6" xfId="4" applyNumberFormat="1" applyFont="1" applyFill="1" applyBorder="1" applyAlignment="1">
      <alignment horizontal="center" vertical="center" wrapText="1"/>
    </xf>
    <xf numFmtId="2" fontId="0" fillId="0" borderId="6" xfId="14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/>
    </xf>
    <xf numFmtId="0" fontId="0" fillId="2" borderId="20" xfId="14" applyNumberFormat="1" applyFont="1" applyFill="1" applyBorder="1" applyAlignment="1">
      <alignment horizontal="left" vertical="center" wrapText="1"/>
    </xf>
    <xf numFmtId="0" fontId="0" fillId="2" borderId="20" xfId="14" applyNumberFormat="1" applyFont="1" applyFill="1" applyBorder="1" applyAlignment="1">
      <alignment horizontal="center" vertical="center" wrapText="1"/>
    </xf>
    <xf numFmtId="9" fontId="0" fillId="2" borderId="20" xfId="4" applyNumberFormat="1" applyFont="1" applyFill="1" applyBorder="1" applyAlignment="1">
      <alignment horizontal="center" vertical="center" wrapText="1"/>
    </xf>
    <xf numFmtId="2" fontId="0" fillId="2" borderId="20" xfId="14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14" applyNumberFormat="1" applyFont="1" applyFill="1" applyBorder="1" applyAlignment="1">
      <alignment horizontal="left" vertical="center" wrapText="1"/>
    </xf>
    <xf numFmtId="0" fontId="0" fillId="2" borderId="0" xfId="14" applyNumberFormat="1" applyFont="1" applyFill="1" applyBorder="1" applyAlignment="1">
      <alignment horizontal="center" vertical="center" wrapText="1"/>
    </xf>
    <xf numFmtId="9" fontId="0" fillId="2" borderId="0" xfId="4" applyNumberFormat="1" applyFont="1" applyFill="1" applyBorder="1" applyAlignment="1">
      <alignment horizontal="center" vertical="center" wrapText="1"/>
    </xf>
    <xf numFmtId="2" fontId="0" fillId="2" borderId="0" xfId="14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11" fillId="2" borderId="0" xfId="14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58" fontId="0" fillId="2" borderId="0" xfId="0" applyNumberFormat="1" applyFill="1"/>
    <xf numFmtId="0" fontId="0" fillId="0" borderId="6" xfId="0" applyFont="1" applyFill="1" applyBorder="1"/>
    <xf numFmtId="0" fontId="0" fillId="0" borderId="6" xfId="14" applyNumberFormat="1" applyFont="1" applyFill="1" applyBorder="1" applyAlignment="1">
      <alignment vertical="center" wrapText="1"/>
    </xf>
    <xf numFmtId="0" fontId="0" fillId="2" borderId="20" xfId="0" applyFont="1" applyFill="1" applyBorder="1"/>
    <xf numFmtId="0" fontId="0" fillId="2" borderId="20" xfId="14" applyNumberFormat="1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0" xfId="14" applyNumberFormat="1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8" fillId="2" borderId="6" xfId="0" applyFont="1" applyFill="1" applyBorder="1"/>
    <xf numFmtId="0" fontId="0" fillId="2" borderId="6" xfId="0" applyFill="1" applyBorder="1"/>
    <xf numFmtId="0" fontId="0" fillId="13" borderId="6" xfId="0" applyFill="1" applyBorder="1"/>
    <xf numFmtId="181" fontId="8" fillId="2" borderId="6" xfId="0" applyNumberFormat="1" applyFont="1" applyFill="1" applyBorder="1"/>
    <xf numFmtId="0" fontId="0" fillId="14" borderId="6" xfId="0" applyFont="1" applyFill="1" applyBorder="1"/>
    <xf numFmtId="2" fontId="0" fillId="2" borderId="6" xfId="0" applyNumberFormat="1" applyFill="1" applyBorder="1"/>
    <xf numFmtId="2" fontId="0" fillId="2" borderId="6" xfId="0" applyNumberFormat="1" applyFont="1" applyFill="1" applyBorder="1" applyAlignment="1"/>
    <xf numFmtId="2" fontId="8" fillId="2" borderId="6" xfId="0" applyNumberFormat="1" applyFont="1" applyFill="1" applyBorder="1" applyAlignment="1">
      <alignment horizontal="left"/>
    </xf>
    <xf numFmtId="0" fontId="12" fillId="15" borderId="6" xfId="0" applyFont="1" applyFill="1" applyBorder="1" applyAlignment="1">
      <alignment horizontal="left"/>
    </xf>
    <xf numFmtId="0" fontId="0" fillId="16" borderId="6" xfId="0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3" fillId="17" borderId="6" xfId="0" applyFont="1" applyFill="1" applyBorder="1" applyAlignment="1">
      <alignment horizontal="left"/>
    </xf>
    <xf numFmtId="0" fontId="14" fillId="18" borderId="6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81" fontId="8" fillId="2" borderId="0" xfId="0" applyNumberFormat="1" applyFont="1" applyFill="1" applyBorder="1"/>
    <xf numFmtId="0" fontId="0" fillId="2" borderId="6" xfId="0" applyFont="1" applyFill="1" applyBorder="1"/>
    <xf numFmtId="2" fontId="0" fillId="2" borderId="0" xfId="0" applyNumberFormat="1" applyFill="1" applyBorder="1"/>
    <xf numFmtId="0" fontId="0" fillId="2" borderId="8" xfId="0" applyFill="1" applyBorder="1"/>
    <xf numFmtId="0" fontId="15" fillId="19" borderId="0" xfId="20" applyFill="1" applyBorder="1" applyAlignment="1">
      <alignment horizontal="center"/>
    </xf>
    <xf numFmtId="0" fontId="9" fillId="0" borderId="21" xfId="26" applyBorder="1" applyAlignment="1">
      <alignment wrapText="1"/>
    </xf>
    <xf numFmtId="0" fontId="16" fillId="0" borderId="22" xfId="14" applyFont="1" applyBorder="1" applyAlignment="1">
      <alignment horizontal="left" vertical="top" wrapText="1"/>
    </xf>
    <xf numFmtId="58" fontId="16" fillId="0" borderId="22" xfId="14" applyNumberFormat="1" applyFont="1" applyBorder="1" applyAlignment="1">
      <alignment horizontal="left" vertical="top" wrapText="1"/>
    </xf>
    <xf numFmtId="0" fontId="16" fillId="0" borderId="22" xfId="1" applyNumberFormat="1" applyFont="1" applyBorder="1" applyAlignment="1">
      <alignment horizontal="left" vertical="top" wrapText="1"/>
    </xf>
    <xf numFmtId="0" fontId="9" fillId="2" borderId="23" xfId="26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horizontal="left" vertical="top"/>
    </xf>
    <xf numFmtId="0" fontId="0" fillId="2" borderId="25" xfId="0" applyFont="1" applyFill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0" xfId="14" applyFont="1" applyFill="1" applyBorder="1" applyAlignment="1" quotePrefix="1">
      <alignment wrapText="1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79"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b val="1"/>
        <i val="0"/>
        <color rgb="FFFFC000"/>
      </font>
      <fill>
        <patternFill patternType="solid">
          <bgColor rgb="FFFFEEB9"/>
        </patternFill>
      </fill>
    </dxf>
    <dxf>
      <font>
        <b val="1"/>
        <i val="0"/>
        <color rgb="FF0070C0"/>
      </font>
      <fill>
        <patternFill patternType="solid">
          <bgColor rgb="FF9FD6FF"/>
        </patternFill>
      </fill>
    </dxf>
    <dxf>
      <fill>
        <patternFill patternType="solid">
          <bgColor rgb="FFFFA3A3"/>
        </patternFill>
      </fill>
    </dxf>
    <dxf>
      <font>
        <b val="1"/>
        <i val="0"/>
        <color rgb="FF00B050"/>
      </font>
      <fill>
        <patternFill patternType="solid">
          <bgColor rgb="FFD4ECBA"/>
        </patternFill>
      </fill>
    </dxf>
    <dxf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 tint="-0.899960325937681"/>
      </font>
      <fill>
        <patternFill patternType="solid">
          <bgColor theme="5"/>
        </patternFill>
      </fill>
    </dxf>
    <dxf>
      <font>
        <color theme="8" tint="0.799981688894314"/>
      </font>
      <fill>
        <patternFill patternType="solid">
          <bgColor theme="8" tint="-0.249946592608417"/>
        </patternFill>
      </fill>
    </dxf>
    <dxf>
      <font>
        <color theme="7" tint="0.799981688894314"/>
      </font>
      <fill>
        <patternFill patternType="solid">
          <bgColor theme="7" tint="-0.249946592608417"/>
        </patternFill>
      </fill>
    </dxf>
    <dxf>
      <font>
        <color theme="9" tint="0.599963377788629"/>
      </font>
      <fill>
        <patternFill patternType="solid">
          <bgColor theme="9" tint="-0.499984740745262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numFmt numFmtId="181" formatCode="d/m;@"/>
    </dxf>
    <dxf>
      <font>
        <b val="0"/>
        <i val="1"/>
      </font>
      <fill>
        <patternFill patternType="solid">
          <bgColor theme="8" tint="0.799981688894314"/>
        </patternFill>
      </fill>
      <border>
        <left/>
        <right/>
        <top style="thin">
          <color theme="8" tint="-0.249946592608417"/>
        </top>
        <bottom style="thin">
          <color theme="8" tint="-0.249946592608417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numFmt numFmtId="58" formatCode="dd/mm/yyyy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z val="11"/>
        <color theme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8" tint="-0.249946592608417"/>
      </font>
      <fill>
        <patternFill patternType="solid">
          <bgColor theme="8" tint="0.599963377788629"/>
        </patternFill>
      </fill>
    </dxf>
    <dxf>
      <font>
        <b val="1"/>
        <i val="0"/>
        <color theme="5" tint="0.799981688894314"/>
      </font>
      <fill>
        <patternFill patternType="solid">
          <bgColor theme="5" tint="-0.249946592608417"/>
        </patternFill>
      </fill>
    </dxf>
    <dxf>
      <font>
        <b val="1"/>
        <i val="0"/>
        <color theme="6" tint="0.799951170384838"/>
      </font>
      <fill>
        <patternFill patternType="solid">
          <bgColor theme="7" tint="-0.249946592608417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9272315731176"/>
          <c:y val="0.0298681007326451"/>
          <c:w val="0.915426489120032"/>
          <c:h val="0.628911013043096"/>
        </c:manualLayout>
      </c:layout>
      <c:areaChart>
        <c:grouping val="standard"/>
        <c:varyColors val="0"/>
        <c:ser>
          <c:idx val="0"/>
          <c:order val="1"/>
          <c:tx>
            <c:strRef>
              <c:f>"Real"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Burndown!$L$3:$L$12</c:f>
              <c:numCache>
                <c:formatCode>General</c:formatCode>
                <c:ptCount val="10"/>
                <c:pt idx="0">
                  <c:v>11.64</c:v>
                </c:pt>
                <c:pt idx="1">
                  <c:v>9.04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2640"/>
        <c:axId val="110838528"/>
      </c:areaChart>
      <c:lineChart>
        <c:grouping val="standard"/>
        <c:varyColors val="0"/>
        <c:ser>
          <c:idx val="3"/>
          <c:order val="0"/>
          <c:tx>
            <c:strRef>
              <c:f>"Previsto"</c:f>
              <c:strCache>
                <c:ptCount val="1"/>
                <c:pt idx="0">
                  <c:v>Previsto</c:v>
                </c:pt>
              </c:strCache>
            </c:strRef>
          </c:tx>
          <c:spPr>
            <a:ln w="3492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Burndown!$G$3:$G$12</c:f>
              <c:numCache>
                <c:formatCode>General</c:formatCode>
                <c:ptCount val="10"/>
                <c:pt idx="0">
                  <c:v>11</c:v>
                </c:pt>
                <c:pt idx="1">
                  <c:v>8.5</c:v>
                </c:pt>
                <c:pt idx="2">
                  <c:v>6.4</c:v>
                </c:pt>
                <c:pt idx="3">
                  <c:v>6.4</c:v>
                </c:pt>
                <c:pt idx="4">
                  <c:v>5.3</c:v>
                </c:pt>
                <c:pt idx="5">
                  <c:v>3.2</c:v>
                </c:pt>
                <c:pt idx="6">
                  <c:v>0.699999999999999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Burndown!$H$2</c:f>
              <c:strCache>
                <c:ptCount val="1"/>
                <c:pt idx="0">
                  <c:v>Atraso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Burndown!$H$3:$H$12</c:f>
              <c:numCache>
                <c:formatCode>General</c:formatCode>
                <c:ptCount val="10"/>
                <c:pt idx="0">
                  <c:v>0.640000000000001</c:v>
                </c:pt>
                <c:pt idx="1">
                  <c:v>0.539999999999999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0832640"/>
        <c:axId val="110838528"/>
      </c:lineChart>
      <c:catAx>
        <c:axId val="1108326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8528"/>
        <c:crossesAt val="0"/>
        <c:auto val="0"/>
        <c:lblAlgn val="ctr"/>
        <c:lblOffset val="10"/>
        <c:noMultiLvlLbl val="1"/>
      </c:catAx>
      <c:valAx>
        <c:axId val="11083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2640"/>
        <c:crosses val="autoZero"/>
        <c:crossBetween val="midCat"/>
      </c:valAx>
      <c:dTable>
        <c:showHorzBorder val="0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262472</xdr:colOff>
      <xdr:row>2</xdr:row>
      <xdr:rowOff>99060</xdr:rowOff>
    </xdr:from>
    <xdr:ext cx="2492158" cy="1333499"/>
    <xdr:pic>
      <xdr:nvPicPr>
        <xdr:cNvPr id="2" name="Imagem 1" descr="Logo DTI Digital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2255" y="537210"/>
          <a:ext cx="2492375" cy="1332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9525</xdr:colOff>
      <xdr:row>2</xdr:row>
      <xdr:rowOff>0</xdr:rowOff>
    </xdr:from>
    <xdr:to>
      <xdr:col>24</xdr:col>
      <xdr:colOff>847725</xdr:colOff>
      <xdr:row>11</xdr:row>
      <xdr:rowOff>0</xdr:rowOff>
    </xdr:to>
    <xdr:graphicFrame>
      <xdr:nvGraphicFramePr>
        <xdr:cNvPr id="2" name="Gráfico 1"/>
        <xdr:cNvGraphicFramePr/>
      </xdr:nvGraphicFramePr>
      <xdr:xfrm>
        <a:off x="8591550" y="571500"/>
        <a:ext cx="6867525" cy="171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Estorias" displayName="Estorias" ref="B4:J10" totalsRowShown="0">
  <autoFilter ref="B4:J10"/>
  <tableColumns count="9">
    <tableColumn id="1" name="Estória" dataDxfId="6"/>
    <tableColumn id="2" name="Descrição" dataDxfId="7"/>
    <tableColumn id="3" name="Pontos" dataDxfId="8"/>
    <tableColumn id="4" name="Horas Totais" dataDxfId="9"/>
    <tableColumn id="5" name="Horas Restantes" dataDxfId="10"/>
    <tableColumn id="6" name="% Concl." dataDxfId="11"/>
    <tableColumn id="7" name="Pontos Cocluídos" dataDxfId="12"/>
    <tableColumn id="8" name="Status" dataDxfId="13"/>
    <tableColumn id="9" name="Desenvolvedor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Burndown" displayName="Burndown" ref="A2:L12" totalsRowShown="0">
  <autoFilter ref="A2:L12"/>
  <tableColumns count="12">
    <tableColumn id="1" name="Dia #" dataDxfId="19"/>
    <tableColumn id="2" name="Dia" dataDxfId="20"/>
    <tableColumn id="3" name="Produzido / Dia (Horas)" dataDxfId="21"/>
    <tableColumn id="4" name="Produzido Acumulado (Horas)" dataDxfId="22"/>
    <tableColumn id="5" name="Velocidade" dataDxfId="23"/>
    <tableColumn id="6" name="Produzido Previsto" dataDxfId="24"/>
    <tableColumn id="7" name="Restante Previsto" dataDxfId="25"/>
    <tableColumn id="8" name="Atraso" dataDxfId="26"/>
    <tableColumn id="9" name="Produzido Real" dataDxfId="27"/>
    <tableColumn id="10" name="Ajuste" dataDxfId="28"/>
    <tableColumn id="11" name="Restante Real" dataDxfId="29"/>
    <tableColumn id="12" name="Real + Ajuste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1" name="Tabela11" displayName="Tabela11" ref="B3:H10" totalsRowShown="0">
  <tableColumns count="7">
    <tableColumn id="1" name="Data" dataDxfId="32"/>
    <tableColumn id="2" name="Descrição" dataDxfId="33"/>
    <tableColumn id="3" name="Data Limite" dataDxfId="34"/>
    <tableColumn id="4" name="Data de conclusão" dataDxfId="35"/>
    <tableColumn id="5" name="Responsável" dataDxfId="36"/>
    <tableColumn id="6" name="Status" dataDxfId="37"/>
    <tableColumn id="7" name="Observação" dataDxfId="3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5" name="Tabela116" displayName="Tabela116" ref="B3:D9" totalsRowShown="0">
  <tableColumns count="3">
    <tableColumn id="1" name="Data" dataDxfId="39"/>
    <tableColumn id="2" name="Horas" dataDxfId="40"/>
    <tableColumn id="3" name="Descrição" dataDxfId="41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Risco" displayName="Risco" ref="B2:P8" totalsRowShown="0">
  <autoFilter ref="B2:P8"/>
  <tableColumns count="15">
    <tableColumn id="1" name="Estória" dataDxfId="42"/>
    <tableColumn id="2" name="Descrição" dataDxfId="43"/>
    <tableColumn id="3" name="Pontos" dataDxfId="44"/>
    <tableColumn id="4" name="Nível Risco" dataDxfId="45"/>
    <tableColumn id="5" name="Nível Detalhamento Funcional" dataDxfId="46"/>
    <tableColumn id="6" name="Definição Requisitos NÃO Funcionais" dataDxfId="47"/>
    <tableColumn id="7" name="Nível Detalhamento Técnico" dataDxfId="48"/>
    <tableColumn id="8" name="Nível de Quebra" dataDxfId="49"/>
    <tableColumn id="9" name="Protótipos" dataDxfId="50"/>
    <tableColumn id="10" name="Branches" dataDxfId="51"/>
    <tableColumn id="11" name="Ambiente Desenvolvimento" dataDxfId="52"/>
    <tableColumn id="12" name="Complexidade Requisito" dataDxfId="53"/>
    <tableColumn id="13" name="Deixar para o Final do Sprint?" dataDxfId="54"/>
    <tableColumn id="14" name="Observação" dataDxfId="55"/>
    <tableColumn id="15" name="Peso Risco" dataDxfId="5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20" name="Tabela20" displayName="Tabela20" ref="B3:D25" totalsRowShown="0">
  <autoFilter ref="B3:D25"/>
  <tableColumns count="3">
    <tableColumn id="1" name="Dimensão" dataDxfId="60"/>
    <tableColumn id="2" name="Valor" dataDxfId="61"/>
    <tableColumn id="3" name="Critérios" dataDxfId="6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2" name="DiaDaSemana" displayName="DiaDaSemana" ref="B3:C9" totalsRowShown="0">
  <autoFilter ref="B3:C9"/>
  <tableColumns count="2">
    <tableColumn id="1" name="Valor" dataDxfId="63"/>
    <tableColumn id="2" name="Dia" dataDxfId="6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NivelDeDetalhamento" displayName="NivelDeDetalhamento" ref="E3:F6" totalsRowShown="0">
  <autoFilter ref="E3:F6"/>
  <tableColumns count="2">
    <tableColumn id="1" name="Valor" dataDxfId="65"/>
    <tableColumn id="2" name="Peso" dataDxfId="6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4" name="Prototipos" displayName="Prototipos" ref="H3:I6" totalsRowShown="0">
  <autoFilter ref="H3:I6"/>
  <tableColumns count="2">
    <tableColumn id="1" name="Valor" dataDxfId="67"/>
    <tableColumn id="2" name="Peso" dataDxfId="6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5" name="Branches" displayName="Branches" ref="K3:L6" totalsRowShown="0">
  <autoFilter ref="K3:L6"/>
  <tableColumns count="2">
    <tableColumn id="1" name="Valor" dataDxfId="69"/>
    <tableColumn id="2" name="Peso" dataDxfId="7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Ambiente" displayName="Ambiente" ref="N3:O5" totalsRowShown="0">
  <autoFilter ref="N3:O5"/>
  <tableColumns count="2">
    <tableColumn id="1" name="Valor" dataDxfId="71"/>
    <tableColumn id="2" name="Peso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7" name="Complexidade" displayName="Complexidade" ref="Q3:R6" totalsRowShown="0">
  <autoFilter ref="Q3:R6"/>
  <tableColumns count="2">
    <tableColumn id="1" name="Valor" dataDxfId="73"/>
    <tableColumn id="2" name="Peso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8" name="RequisitosNaoFuncionais" displayName="RequisitosNaoFuncionais" ref="T3:U6" totalsRowShown="0">
  <autoFilter ref="T3:U6"/>
  <tableColumns count="2">
    <tableColumn id="1" name="Valor" dataDxfId="75"/>
    <tableColumn id="2" name="Peso" dataDxfId="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9" name="Quebra" displayName="Quebra" ref="W3:X6" totalsRowShown="0">
  <autoFilter ref="W3:X6"/>
  <tableColumns count="2">
    <tableColumn id="1" name="Valor" dataDxfId="77"/>
    <tableColumn id="2" name="Peso" dataDxfId="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dti">
      <a:dk1>
        <a:sysClr val="windowText" lastClr="000000"/>
      </a:dk1>
      <a:lt1>
        <a:sysClr val="window" lastClr="FFFFFF"/>
      </a:lt1>
      <a:dk2>
        <a:srgbClr val="17365D"/>
      </a:dk2>
      <a:lt2>
        <a:srgbClr val="F2F2F2"/>
      </a:lt2>
      <a:accent1>
        <a:srgbClr val="5B96B3"/>
      </a:accent1>
      <a:accent2>
        <a:srgbClr val="CBCBA5"/>
      </a:accent2>
      <a:accent3>
        <a:srgbClr val="F24500"/>
      </a:accent3>
      <a:accent4>
        <a:srgbClr val="D62828"/>
      </a:accent4>
      <a:accent5>
        <a:srgbClr val="436630"/>
      </a:accent5>
      <a:accent6>
        <a:srgbClr val="8F82EE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7" Type="http://schemas.openxmlformats.org/officeDocument/2006/relationships/table" Target="../tables/table1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2"/>
  <sheetViews>
    <sheetView workbookViewId="0">
      <selection activeCell="F12" sqref="F12:F16"/>
    </sheetView>
  </sheetViews>
  <sheetFormatPr defaultColWidth="8.85714285714286" defaultRowHeight="15" outlineLevelCol="6"/>
  <cols>
    <col min="1" max="1" width="4.28571428571429" style="3" customWidth="1"/>
    <col min="2" max="3" width="8.85714285714286" style="3"/>
    <col min="4" max="4" width="20" style="3" customWidth="1"/>
    <col min="5" max="5" width="17.4285714285714" style="3" customWidth="1"/>
    <col min="6" max="6" width="24.2857142857143" style="136" customWidth="1"/>
    <col min="7" max="7" width="29.4285714285714" style="3" customWidth="1"/>
    <col min="8" max="16384" width="8.85714285714286" style="3"/>
  </cols>
  <sheetData>
    <row r="1" spans="6:6">
      <c r="F1" s="3"/>
    </row>
    <row r="2" ht="19.5" spans="5:6">
      <c r="E2" s="137" t="s">
        <v>0</v>
      </c>
      <c r="F2" s="137"/>
    </row>
    <row r="3" spans="5:6">
      <c r="E3" s="138" t="s">
        <v>1</v>
      </c>
      <c r="F3" s="139" t="s">
        <v>2</v>
      </c>
    </row>
    <row r="4" spans="5:6">
      <c r="E4" s="138" t="s">
        <v>3</v>
      </c>
      <c r="F4" s="139" t="s">
        <v>4</v>
      </c>
    </row>
    <row r="5" spans="5:6">
      <c r="E5" s="138" t="s">
        <v>5</v>
      </c>
      <c r="F5" s="139">
        <v>5</v>
      </c>
    </row>
    <row r="6" spans="5:7">
      <c r="E6" s="138" t="s">
        <v>6</v>
      </c>
      <c r="F6" s="139" t="s">
        <v>7</v>
      </c>
      <c r="G6"/>
    </row>
    <row r="7" spans="5:6">
      <c r="E7" s="138" t="s">
        <v>8</v>
      </c>
      <c r="F7" s="139" t="s">
        <v>9</v>
      </c>
    </row>
    <row r="8" spans="5:6">
      <c r="E8" s="138" t="s">
        <v>10</v>
      </c>
      <c r="F8" s="140">
        <v>43689</v>
      </c>
    </row>
    <row r="9" spans="5:6">
      <c r="E9" s="138" t="s">
        <v>11</v>
      </c>
      <c r="F9" s="140">
        <v>43700</v>
      </c>
    </row>
    <row r="10" spans="5:6">
      <c r="E10" s="138" t="s">
        <v>12</v>
      </c>
      <c r="F10" s="141">
        <v>12</v>
      </c>
    </row>
    <row r="11" spans="5:6">
      <c r="E11" s="138" t="s">
        <v>13</v>
      </c>
      <c r="F11" s="139">
        <v>10</v>
      </c>
    </row>
    <row r="12" spans="5:6">
      <c r="E12" s="142" t="s">
        <v>14</v>
      </c>
      <c r="F12" s="143" t="s">
        <v>15</v>
      </c>
    </row>
    <row r="13" spans="5:6">
      <c r="E13" s="142"/>
      <c r="F13" s="144" t="s">
        <v>7</v>
      </c>
    </row>
    <row r="14" spans="5:6">
      <c r="E14" s="142"/>
      <c r="F14" s="144" t="s">
        <v>16</v>
      </c>
    </row>
    <row r="15" spans="5:6">
      <c r="E15" s="142"/>
      <c r="F15" s="145" t="s">
        <v>17</v>
      </c>
    </row>
    <row r="16" ht="17.25" customHeight="1" spans="5:6">
      <c r="E16" s="142"/>
      <c r="F16" s="145" t="s">
        <v>18</v>
      </c>
    </row>
    <row r="17" spans="6:6">
      <c r="F17" s="146"/>
    </row>
    <row r="18" spans="6:6">
      <c r="F18" s="147"/>
    </row>
    <row r="19" spans="6:6">
      <c r="F19" s="147"/>
    </row>
    <row r="20" spans="6:6">
      <c r="F20" s="147"/>
    </row>
    <row r="21" spans="6:6">
      <c r="F21" s="147"/>
    </row>
    <row r="22" spans="6:6">
      <c r="F22" s="147"/>
    </row>
  </sheetData>
  <mergeCells count="2">
    <mergeCell ref="E2:F2"/>
    <mergeCell ref="E12:E16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1"/>
  <sheetViews>
    <sheetView workbookViewId="0">
      <pane xSplit="3" topLeftCell="D1" activePane="topRight" state="frozen"/>
      <selection/>
      <selection pane="topRight" activeCell="I6" sqref="I6"/>
    </sheetView>
  </sheetViews>
  <sheetFormatPr defaultColWidth="9.14285714285714" defaultRowHeight="15"/>
  <cols>
    <col min="1" max="1" width="4.42857142857143" style="3" customWidth="1"/>
    <col min="2" max="2" width="19.1428571428571" style="3" customWidth="1"/>
    <col min="3" max="3" width="16.8571428571429" style="3" customWidth="1"/>
    <col min="4" max="13" width="5.71428571428571" style="3" customWidth="1"/>
    <col min="14" max="16384" width="9.14285714285714" style="3"/>
  </cols>
  <sheetData>
    <row r="2" spans="2:18">
      <c r="B2" s="116" t="str">
        <f>CONCATENATE("Ciclo ",Info!F5)</f>
        <v>Ciclo 5</v>
      </c>
      <c r="C2" s="116"/>
      <c r="D2" s="117" t="s">
        <v>19</v>
      </c>
      <c r="E2" s="117"/>
      <c r="F2" s="117"/>
      <c r="G2" s="117"/>
      <c r="H2" s="117"/>
      <c r="I2" s="117" t="s">
        <v>20</v>
      </c>
      <c r="J2" s="117"/>
      <c r="K2" s="117"/>
      <c r="L2" s="117"/>
      <c r="M2" s="117"/>
      <c r="N2" s="132"/>
      <c r="O2" s="132"/>
      <c r="P2" s="132"/>
      <c r="Q2" s="132"/>
      <c r="R2" s="132"/>
    </row>
    <row r="3" spans="2:18">
      <c r="B3" s="118" t="s">
        <v>21</v>
      </c>
      <c r="C3" s="119" t="s">
        <v>22</v>
      </c>
      <c r="D3" s="120" t="s">
        <v>23</v>
      </c>
      <c r="E3" s="120" t="str">
        <f>VLOOKUP(WEEKDAY(E5),DiaDaSemana[],2,FALSE)</f>
        <v>TER</v>
      </c>
      <c r="F3" s="120" t="str">
        <f>VLOOKUP(WEEKDAY(F5),DiaDaSemana[],2,FALSE)</f>
        <v>QUA</v>
      </c>
      <c r="G3" s="120" t="str">
        <f>VLOOKUP(WEEKDAY(G5),DiaDaSemana[],2,FALSE)</f>
        <v>QUI</v>
      </c>
      <c r="H3" s="120" t="str">
        <f>VLOOKUP(WEEKDAY(H5),DiaDaSemana[],2,FALSE)</f>
        <v>SEX</v>
      </c>
      <c r="I3" s="120" t="str">
        <f>VLOOKUP(WEEKDAY(I5),DiaDaSemana[],2,FALSE)</f>
        <v>SEG</v>
      </c>
      <c r="J3" s="120" t="str">
        <f>VLOOKUP(WEEKDAY(J5),DiaDaSemana[],2,FALSE)</f>
        <v>TER</v>
      </c>
      <c r="K3" s="120" t="str">
        <f>VLOOKUP(WEEKDAY(K5),DiaDaSemana[],2,FALSE)</f>
        <v>QUA</v>
      </c>
      <c r="L3" s="120" t="str">
        <f>VLOOKUP(WEEKDAY(L5),DiaDaSemana[],2,FALSE)</f>
        <v>QUI</v>
      </c>
      <c r="M3" s="120" t="str">
        <f>VLOOKUP(WEEKDAY(M5),DiaDaSemana[],2,FALSE)</f>
        <v>SEX</v>
      </c>
      <c r="N3" s="84"/>
      <c r="O3" s="84"/>
      <c r="P3" s="84"/>
      <c r="Q3" s="84"/>
      <c r="R3" s="84"/>
    </row>
    <row r="4" spans="2:18">
      <c r="B4" s="118"/>
      <c r="C4" s="119" t="s">
        <v>24</v>
      </c>
      <c r="D4" s="121" t="s">
        <v>25</v>
      </c>
      <c r="E4" s="121" t="s">
        <v>25</v>
      </c>
      <c r="F4" s="121" t="s">
        <v>25</v>
      </c>
      <c r="G4" s="121" t="s">
        <v>26</v>
      </c>
      <c r="H4" s="121" t="s">
        <v>25</v>
      </c>
      <c r="I4" s="121" t="s">
        <v>25</v>
      </c>
      <c r="J4" s="121" t="s">
        <v>25</v>
      </c>
      <c r="K4" s="121" t="s">
        <v>25</v>
      </c>
      <c r="L4" s="121" t="s">
        <v>25</v>
      </c>
      <c r="M4" s="121" t="s">
        <v>25</v>
      </c>
      <c r="N4" s="84"/>
      <c r="O4" s="84"/>
      <c r="P4" s="84"/>
      <c r="Q4" s="84"/>
      <c r="R4" s="84"/>
    </row>
    <row r="5" spans="2:18">
      <c r="B5" s="118"/>
      <c r="C5" s="119" t="s">
        <v>27</v>
      </c>
      <c r="D5" s="122">
        <v>43689</v>
      </c>
      <c r="E5" s="122">
        <f>D5+1</f>
        <v>43690</v>
      </c>
      <c r="F5" s="122">
        <f>E5+1</f>
        <v>43691</v>
      </c>
      <c r="G5" s="122">
        <f>F5+1</f>
        <v>43692</v>
      </c>
      <c r="H5" s="122">
        <f>G5+1</f>
        <v>43693</v>
      </c>
      <c r="I5" s="122">
        <f>H5+3</f>
        <v>43696</v>
      </c>
      <c r="J5" s="122">
        <f>I5+1</f>
        <v>43697</v>
      </c>
      <c r="K5" s="122">
        <f>J5+1</f>
        <v>43698</v>
      </c>
      <c r="L5" s="122">
        <f>K5+1</f>
        <v>43699</v>
      </c>
      <c r="M5" s="122">
        <f>L5+1</f>
        <v>43700</v>
      </c>
      <c r="N5" s="133"/>
      <c r="O5" s="133"/>
      <c r="P5" s="133"/>
      <c r="Q5" s="133"/>
      <c r="R5" s="133"/>
    </row>
    <row r="6" spans="2:18">
      <c r="B6" s="123" t="s">
        <v>7</v>
      </c>
      <c r="C6" s="123" t="s">
        <v>6</v>
      </c>
      <c r="D6" s="120">
        <v>0</v>
      </c>
      <c r="E6" s="121">
        <v>2</v>
      </c>
      <c r="F6" s="121">
        <v>1</v>
      </c>
      <c r="G6" s="121">
        <v>0</v>
      </c>
      <c r="H6" s="121">
        <v>2</v>
      </c>
      <c r="I6" s="121">
        <v>1</v>
      </c>
      <c r="J6" s="121">
        <v>2</v>
      </c>
      <c r="K6" s="121">
        <v>2</v>
      </c>
      <c r="L6" s="121">
        <v>2</v>
      </c>
      <c r="M6" s="121">
        <v>1</v>
      </c>
      <c r="N6" s="84"/>
      <c r="O6" s="84"/>
      <c r="P6" s="84"/>
      <c r="Q6" s="84"/>
      <c r="R6" s="84"/>
    </row>
    <row r="7" spans="2:18">
      <c r="B7" s="69" t="s">
        <v>28</v>
      </c>
      <c r="C7" s="69" t="s">
        <v>29</v>
      </c>
      <c r="D7" s="121">
        <v>2</v>
      </c>
      <c r="E7" s="121">
        <v>7</v>
      </c>
      <c r="F7" s="121">
        <v>6</v>
      </c>
      <c r="G7" s="121">
        <v>0</v>
      </c>
      <c r="H7" s="121">
        <v>0</v>
      </c>
      <c r="I7" s="121">
        <v>6</v>
      </c>
      <c r="J7" s="121">
        <v>7</v>
      </c>
      <c r="K7" s="121">
        <v>7</v>
      </c>
      <c r="L7" s="121">
        <v>7</v>
      </c>
      <c r="M7" s="121">
        <v>3</v>
      </c>
      <c r="N7" s="84"/>
      <c r="O7" s="84"/>
      <c r="P7" s="84"/>
      <c r="Q7" s="84"/>
      <c r="R7" s="84"/>
    </row>
    <row r="8" s="3" customFormat="1" spans="2:18">
      <c r="B8" s="69" t="s">
        <v>30</v>
      </c>
      <c r="C8" s="69" t="s">
        <v>29</v>
      </c>
      <c r="D8" s="121">
        <v>4</v>
      </c>
      <c r="E8" s="121">
        <v>7</v>
      </c>
      <c r="F8" s="121">
        <v>6</v>
      </c>
      <c r="G8" s="121">
        <v>0</v>
      </c>
      <c r="H8" s="121">
        <v>7</v>
      </c>
      <c r="I8" s="121">
        <v>6</v>
      </c>
      <c r="J8" s="121">
        <v>7</v>
      </c>
      <c r="K8" s="121">
        <v>7</v>
      </c>
      <c r="L8" s="121">
        <v>7</v>
      </c>
      <c r="M8" s="121">
        <v>3</v>
      </c>
      <c r="N8" s="84"/>
      <c r="O8" s="84"/>
      <c r="P8" s="84"/>
      <c r="Q8" s="84"/>
      <c r="R8" s="84"/>
    </row>
    <row r="9" s="3" customFormat="1" spans="2:18">
      <c r="B9" s="69" t="s">
        <v>31</v>
      </c>
      <c r="C9" s="69" t="s">
        <v>29</v>
      </c>
      <c r="D9" s="121">
        <v>4</v>
      </c>
      <c r="E9" s="121">
        <v>7</v>
      </c>
      <c r="F9" s="121">
        <v>6</v>
      </c>
      <c r="G9" s="121">
        <v>0</v>
      </c>
      <c r="H9" s="121">
        <v>0</v>
      </c>
      <c r="I9" s="121">
        <v>6</v>
      </c>
      <c r="J9" s="121">
        <v>7</v>
      </c>
      <c r="K9" s="121">
        <v>7</v>
      </c>
      <c r="L9" s="121">
        <v>7</v>
      </c>
      <c r="M9" s="121">
        <v>3</v>
      </c>
      <c r="N9" s="84"/>
      <c r="O9" s="84"/>
      <c r="P9" s="84"/>
      <c r="Q9" s="84"/>
      <c r="R9" s="84"/>
    </row>
    <row r="10" spans="2:18">
      <c r="B10" s="69" t="s">
        <v>32</v>
      </c>
      <c r="C10" s="69" t="s">
        <v>29</v>
      </c>
      <c r="D10" s="121">
        <v>0</v>
      </c>
      <c r="E10" s="121">
        <v>4</v>
      </c>
      <c r="F10" s="121">
        <v>3</v>
      </c>
      <c r="G10" s="121">
        <v>0</v>
      </c>
      <c r="H10" s="121">
        <v>4</v>
      </c>
      <c r="I10" s="121">
        <v>3</v>
      </c>
      <c r="J10" s="121">
        <v>4</v>
      </c>
      <c r="K10" s="121">
        <v>4</v>
      </c>
      <c r="L10" s="121">
        <v>4</v>
      </c>
      <c r="M10" s="121">
        <v>2</v>
      </c>
      <c r="N10" s="84"/>
      <c r="O10" s="84"/>
      <c r="P10" s="84"/>
      <c r="Q10" s="84"/>
      <c r="R10" s="84"/>
    </row>
    <row r="11" spans="2:18">
      <c r="B11" s="120" t="s">
        <v>33</v>
      </c>
      <c r="C11" s="120"/>
      <c r="D11" s="120">
        <f>IF(OR(D4="BU",D4="AD",D4="HO"),SUMIF($C$6:$C$10,"Desenvolvedor",D6:D10),"")</f>
        <v>10</v>
      </c>
      <c r="E11" s="120">
        <f>IF(OR(E4="BU",E4="AD",E4="HO"),SUMIF($C$6:$C$10,"Desenvolvedor",E6:E10),"")</f>
        <v>25</v>
      </c>
      <c r="F11" s="120">
        <f>IF(OR(F4="BU",F4="AD",F4="HO"),SUMIF($C$6:$C$10,"Desenvolvedor",F6:F10),"")</f>
        <v>21</v>
      </c>
      <c r="G11" s="120" t="str">
        <f>IF(OR(G4="BU",G4="AD",G4="HO"),SUMIF($C$6:$C$10,"Desenvolvedor",G6:G10),"")</f>
        <v/>
      </c>
      <c r="H11" s="120">
        <f>IF(OR(H4="BU",H4="AD",H4="HO"),SUMIF($C$6:$C$10,"Desenvolvedor",H6:H10),"")</f>
        <v>11</v>
      </c>
      <c r="I11" s="120">
        <f>IF(OR(I4="BU",I4="AD",I4="HO"),SUMIF($C$6:$C$10,"Desenvolvedor",I6:I10),"")</f>
        <v>21</v>
      </c>
      <c r="J11" s="120">
        <f>IF(OR(J4="BU",J4="AD",J4="HO"),SUMIF($C$6:$C$10,"Desenvolvedor",J6:J10),"")</f>
        <v>25</v>
      </c>
      <c r="K11" s="120">
        <f>IF(OR(K4="BU",K4="AD",K4="HO"),SUMIF($C$6:$C$10,"Desenvolvedor",K6:K10),"")</f>
        <v>25</v>
      </c>
      <c r="L11" s="120">
        <f>IF(OR(L4="BU",L4="AD",L4="HO"),SUMIF($C$6:$C$10,"Desenvolvedor",L6:L10),"")</f>
        <v>25</v>
      </c>
      <c r="M11" s="120">
        <f>IF(OR(M4="BU",M4="AD",M4="HO"),SUMIF($C$6:$C$10,"Desenvolvedor",M6:M10),"")</f>
        <v>11</v>
      </c>
      <c r="N11" s="84"/>
      <c r="O11" s="84"/>
      <c r="P11" s="84"/>
      <c r="Q11" s="84"/>
      <c r="R11" s="84"/>
    </row>
    <row r="12" spans="2:18">
      <c r="B12" s="120" t="s">
        <v>13</v>
      </c>
      <c r="C12" s="120"/>
      <c r="D12" s="120">
        <f>IF(OR(D4="BU",D4="AD",D4="HO"),Velocidade,"")</f>
        <v>10</v>
      </c>
      <c r="E12" s="120">
        <f>IF(OR(E4="BU",E4="AD",E4="HO"),Velocidade,"")</f>
        <v>10</v>
      </c>
      <c r="F12" s="120">
        <f>IF(OR(F4="BU",F4="AD",F4="HO"),Velocidade,"")</f>
        <v>10</v>
      </c>
      <c r="G12" s="120" t="str">
        <f>IF(OR(G4="BU",G4="AD",G4="HO"),Velocidade,"")</f>
        <v/>
      </c>
      <c r="H12" s="120">
        <f>IF(OR(H4="BU",H4="AD",H4="HO"),Velocidade,"")</f>
        <v>10</v>
      </c>
      <c r="I12" s="120">
        <f>IF(OR(I4="BU",I4="AD",I4="HO"),Velocidade,"")</f>
        <v>10</v>
      </c>
      <c r="J12" s="120">
        <f>IF(OR(J4="BU",J4="AD",J4="HO"),Velocidade,"")</f>
        <v>10</v>
      </c>
      <c r="K12" s="120">
        <f>IF(OR(K4="BU",K4="AD",K4="HO"),Velocidade,"")</f>
        <v>10</v>
      </c>
      <c r="L12" s="134">
        <f>IF(OR(L4="BU",L4="AD",L4="HO"),Velocidade,"")</f>
        <v>10</v>
      </c>
      <c r="M12" s="120">
        <f>IF(OR(M4="BU",M4="AD",M4="HO"),Velocidade,"")</f>
        <v>10</v>
      </c>
      <c r="N12" s="84"/>
      <c r="O12" s="84"/>
      <c r="P12" s="84"/>
      <c r="Q12" s="84"/>
      <c r="R12" s="84"/>
    </row>
    <row r="13" spans="2:18">
      <c r="B13" s="120" t="s">
        <v>34</v>
      </c>
      <c r="C13" s="124"/>
      <c r="D13" s="125">
        <f>IF(OR(D4="BU",D4="AD",D4="HO"),D11/D12,"")</f>
        <v>1</v>
      </c>
      <c r="E13" s="125">
        <f t="shared" ref="E13:W13" si="0">IF(OR(E4="BU",E4="AD",E4="HO"),E11/E12,"")</f>
        <v>2.5</v>
      </c>
      <c r="F13" s="125">
        <f t="shared" si="0"/>
        <v>2.1</v>
      </c>
      <c r="G13" s="125" t="str">
        <f t="shared" si="0"/>
        <v/>
      </c>
      <c r="H13" s="125">
        <f t="shared" si="0"/>
        <v>1.1</v>
      </c>
      <c r="I13" s="125">
        <f t="shared" si="0"/>
        <v>2.1</v>
      </c>
      <c r="J13" s="125">
        <f t="shared" si="0"/>
        <v>2.5</v>
      </c>
      <c r="K13" s="125">
        <f t="shared" si="0"/>
        <v>2.5</v>
      </c>
      <c r="L13" s="125">
        <f t="shared" si="0"/>
        <v>2.5</v>
      </c>
      <c r="M13" s="125">
        <f t="shared" si="0"/>
        <v>1.1</v>
      </c>
      <c r="N13" s="135"/>
      <c r="O13" s="135"/>
      <c r="P13" s="135"/>
      <c r="Q13" s="135"/>
      <c r="R13" s="135"/>
    </row>
    <row r="14" spans="2:18">
      <c r="B14" s="119" t="s">
        <v>35</v>
      </c>
      <c r="C14" s="126">
        <f>SUM(13:13)</f>
        <v>17.4</v>
      </c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84"/>
      <c r="O14" s="84"/>
      <c r="P14" s="84"/>
      <c r="Q14" s="84"/>
      <c r="R14" s="84"/>
    </row>
    <row r="16" spans="2:3">
      <c r="B16" s="118" t="s">
        <v>36</v>
      </c>
      <c r="C16" s="118"/>
    </row>
    <row r="17" spans="2:3">
      <c r="B17" s="127" t="s">
        <v>37</v>
      </c>
      <c r="C17" s="127"/>
    </row>
    <row r="18" spans="2:3">
      <c r="B18" s="128" t="s">
        <v>38</v>
      </c>
      <c r="C18" s="128"/>
    </row>
    <row r="19" spans="2:3">
      <c r="B19" s="129" t="s">
        <v>39</v>
      </c>
      <c r="C19" s="129"/>
    </row>
    <row r="20" spans="2:3">
      <c r="B20" s="130" t="s">
        <v>40</v>
      </c>
      <c r="C20" s="130"/>
    </row>
    <row r="21" spans="2:3">
      <c r="B21" s="131" t="s">
        <v>41</v>
      </c>
      <c r="C21" s="131"/>
    </row>
  </sheetData>
  <mergeCells count="11">
    <mergeCell ref="B2:C2"/>
    <mergeCell ref="D2:H2"/>
    <mergeCell ref="I2:M2"/>
    <mergeCell ref="N2:R2"/>
    <mergeCell ref="B16:C16"/>
    <mergeCell ref="B17:C17"/>
    <mergeCell ref="B18:C18"/>
    <mergeCell ref="B19:C19"/>
    <mergeCell ref="B20:C20"/>
    <mergeCell ref="B21:C21"/>
    <mergeCell ref="B3:B5"/>
  </mergeCells>
  <conditionalFormatting sqref="E6:J6">
    <cfRule type="cellIs" dxfId="0" priority="433" operator="equal">
      <formula>"F"</formula>
    </cfRule>
    <cfRule type="expression" dxfId="1" priority="434">
      <formula>E$4="BU"</formula>
    </cfRule>
    <cfRule type="expression" dxfId="2" priority="435">
      <formula>E$4="TT"</formula>
    </cfRule>
    <cfRule type="expression" dxfId="3" priority="436">
      <formula>E$4="HO"</formula>
    </cfRule>
    <cfRule type="expression" dxfId="4" priority="437">
      <formula>E$4="FE"</formula>
    </cfRule>
    <cfRule type="expression" dxfId="5" priority="438">
      <formula>E$4="AD"</formula>
    </cfRule>
  </conditionalFormatting>
  <conditionalFormatting sqref="K6">
    <cfRule type="cellIs" dxfId="0" priority="85" operator="equal">
      <formula>"F"</formula>
    </cfRule>
    <cfRule type="expression" dxfId="1" priority="86">
      <formula>K$4="BU"</formula>
    </cfRule>
    <cfRule type="expression" dxfId="2" priority="87">
      <formula>K$4="TT"</formula>
    </cfRule>
    <cfRule type="expression" dxfId="3" priority="88">
      <formula>K$4="HO"</formula>
    </cfRule>
    <cfRule type="expression" dxfId="4" priority="89">
      <formula>K$4="FE"</formula>
    </cfRule>
    <cfRule type="expression" dxfId="5" priority="90">
      <formula>K$4="AD"</formula>
    </cfRule>
  </conditionalFormatting>
  <conditionalFormatting sqref="L6">
    <cfRule type="cellIs" dxfId="0" priority="61" operator="equal">
      <formula>"F"</formula>
    </cfRule>
    <cfRule type="expression" dxfId="1" priority="62">
      <formula>L$4="BU"</formula>
    </cfRule>
    <cfRule type="expression" dxfId="2" priority="63">
      <formula>L$4="TT"</formula>
    </cfRule>
    <cfRule type="expression" dxfId="3" priority="64">
      <formula>L$4="HO"</formula>
    </cfRule>
    <cfRule type="expression" dxfId="4" priority="65">
      <formula>L$4="FE"</formula>
    </cfRule>
    <cfRule type="expression" dxfId="5" priority="66">
      <formula>L$4="AD"</formula>
    </cfRule>
  </conditionalFormatting>
  <conditionalFormatting sqref="M6">
    <cfRule type="cellIs" dxfId="0" priority="13" operator="equal">
      <formula>"F"</formula>
    </cfRule>
    <cfRule type="expression" dxfId="1" priority="14">
      <formula>M$4="BU"</formula>
    </cfRule>
    <cfRule type="expression" dxfId="2" priority="15">
      <formula>M$4="TT"</formula>
    </cfRule>
    <cfRule type="expression" dxfId="3" priority="16">
      <formula>M$4="HO"</formula>
    </cfRule>
    <cfRule type="expression" dxfId="4" priority="17">
      <formula>M$4="FE"</formula>
    </cfRule>
    <cfRule type="expression" dxfId="5" priority="18">
      <formula>M$4="AD"</formula>
    </cfRule>
  </conditionalFormatting>
  <conditionalFormatting sqref="N6:R6">
    <cfRule type="cellIs" dxfId="0" priority="157" operator="equal">
      <formula>"F"</formula>
    </cfRule>
    <cfRule type="expression" dxfId="1" priority="158">
      <formula>N$4="BU"</formula>
    </cfRule>
    <cfRule type="expression" dxfId="2" priority="159">
      <formula>N$4="TT"</formula>
    </cfRule>
    <cfRule type="expression" dxfId="3" priority="160">
      <formula>N$4="HO"</formula>
    </cfRule>
    <cfRule type="expression" dxfId="4" priority="161">
      <formula>N$4="FE"</formula>
    </cfRule>
    <cfRule type="expression" dxfId="5" priority="162">
      <formula>N$4="AD"</formula>
    </cfRule>
  </conditionalFormatting>
  <conditionalFormatting sqref="E7">
    <cfRule type="cellIs" dxfId="0" priority="115" operator="equal">
      <formula>"F"</formula>
    </cfRule>
    <cfRule type="expression" dxfId="1" priority="116">
      <formula>E$4="BU"</formula>
    </cfRule>
    <cfRule type="expression" dxfId="2" priority="117">
      <formula>E$4="TT"</formula>
    </cfRule>
    <cfRule type="expression" dxfId="3" priority="118">
      <formula>E$4="HO"</formula>
    </cfRule>
    <cfRule type="expression" dxfId="4" priority="119">
      <formula>E$4="FE"</formula>
    </cfRule>
    <cfRule type="expression" dxfId="5" priority="120">
      <formula>E$4="AD"</formula>
    </cfRule>
  </conditionalFormatting>
  <conditionalFormatting sqref="D8:J8">
    <cfRule type="cellIs" dxfId="0" priority="145" operator="equal">
      <formula>"F"</formula>
    </cfRule>
    <cfRule type="expression" dxfId="1" priority="146">
      <formula>D$4="BU"</formula>
    </cfRule>
    <cfRule type="expression" dxfId="2" priority="147">
      <formula>D$4="TT"</formula>
    </cfRule>
    <cfRule type="expression" dxfId="3" priority="148">
      <formula>D$4="HO"</formula>
    </cfRule>
    <cfRule type="expression" dxfId="4" priority="149">
      <formula>D$4="FE"</formula>
    </cfRule>
    <cfRule type="expression" dxfId="5" priority="150">
      <formula>D$4="AD"</formula>
    </cfRule>
  </conditionalFormatting>
  <conditionalFormatting sqref="K8">
    <cfRule type="cellIs" dxfId="0" priority="79" operator="equal">
      <formula>"F"</formula>
    </cfRule>
    <cfRule type="expression" dxfId="1" priority="80">
      <formula>K$4="BU"</formula>
    </cfRule>
    <cfRule type="expression" dxfId="2" priority="81">
      <formula>K$4="TT"</formula>
    </cfRule>
    <cfRule type="expression" dxfId="3" priority="82">
      <formula>K$4="HO"</formula>
    </cfRule>
    <cfRule type="expression" dxfId="4" priority="83">
      <formula>K$4="FE"</formula>
    </cfRule>
    <cfRule type="expression" dxfId="5" priority="84">
      <formula>K$4="AD"</formula>
    </cfRule>
  </conditionalFormatting>
  <conditionalFormatting sqref="L8">
    <cfRule type="cellIs" dxfId="0" priority="55" operator="equal">
      <formula>"F"</formula>
    </cfRule>
    <cfRule type="expression" dxfId="1" priority="56">
      <formula>L$4="BU"</formula>
    </cfRule>
    <cfRule type="expression" dxfId="2" priority="57">
      <formula>L$4="TT"</formula>
    </cfRule>
    <cfRule type="expression" dxfId="3" priority="58">
      <formula>L$4="HO"</formula>
    </cfRule>
    <cfRule type="expression" dxfId="4" priority="59">
      <formula>L$4="FE"</formula>
    </cfRule>
    <cfRule type="expression" dxfId="5" priority="60">
      <formula>L$4="AD"</formula>
    </cfRule>
  </conditionalFormatting>
  <conditionalFormatting sqref="M8">
    <cfRule type="cellIs" dxfId="0" priority="7" operator="equal">
      <formula>"F"</formula>
    </cfRule>
    <cfRule type="expression" dxfId="1" priority="8">
      <formula>M$4="BU"</formula>
    </cfRule>
    <cfRule type="expression" dxfId="2" priority="9">
      <formula>M$4="TT"</formula>
    </cfRule>
    <cfRule type="expression" dxfId="3" priority="10">
      <formula>M$4="HO"</formula>
    </cfRule>
    <cfRule type="expression" dxfId="4" priority="11">
      <formula>M$4="FE"</formula>
    </cfRule>
    <cfRule type="expression" dxfId="5" priority="12">
      <formula>M$4="AD"</formula>
    </cfRule>
  </conditionalFormatting>
  <conditionalFormatting sqref="N8:R8">
    <cfRule type="cellIs" dxfId="0" priority="139" operator="equal">
      <formula>"F"</formula>
    </cfRule>
    <cfRule type="expression" dxfId="1" priority="140">
      <formula>N$4="BU"</formula>
    </cfRule>
    <cfRule type="expression" dxfId="2" priority="141">
      <formula>N$4="TT"</formula>
    </cfRule>
    <cfRule type="expression" dxfId="3" priority="142">
      <formula>N$4="HO"</formula>
    </cfRule>
    <cfRule type="expression" dxfId="4" priority="143">
      <formula>N$4="FE"</formula>
    </cfRule>
    <cfRule type="expression" dxfId="5" priority="144">
      <formula>N$4="AD"</formula>
    </cfRule>
  </conditionalFormatting>
  <conditionalFormatting sqref="D9:J9">
    <cfRule type="cellIs" dxfId="0" priority="109" operator="equal">
      <formula>"F"</formula>
    </cfRule>
    <cfRule type="expression" dxfId="1" priority="110">
      <formula>D$4="BU"</formula>
    </cfRule>
    <cfRule type="expression" dxfId="2" priority="111">
      <formula>D$4="TT"</formula>
    </cfRule>
    <cfRule type="expression" dxfId="3" priority="112">
      <formula>D$4="HO"</formula>
    </cfRule>
    <cfRule type="expression" dxfId="4" priority="113">
      <formula>D$4="FE"</formula>
    </cfRule>
    <cfRule type="expression" dxfId="5" priority="114">
      <formula>D$4="AD"</formula>
    </cfRule>
  </conditionalFormatting>
  <conditionalFormatting sqref="K9">
    <cfRule type="cellIs" dxfId="0" priority="73" operator="equal">
      <formula>"F"</formula>
    </cfRule>
    <cfRule type="expression" dxfId="1" priority="74">
      <formula>K$4="BU"</formula>
    </cfRule>
    <cfRule type="expression" dxfId="2" priority="75">
      <formula>K$4="TT"</formula>
    </cfRule>
    <cfRule type="expression" dxfId="3" priority="76">
      <formula>K$4="HO"</formula>
    </cfRule>
    <cfRule type="expression" dxfId="4" priority="77">
      <formula>K$4="FE"</formula>
    </cfRule>
    <cfRule type="expression" dxfId="5" priority="78">
      <formula>K$4="AD"</formula>
    </cfRule>
  </conditionalFormatting>
  <conditionalFormatting sqref="L9">
    <cfRule type="cellIs" dxfId="0" priority="49" operator="equal">
      <formula>"F"</formula>
    </cfRule>
    <cfRule type="expression" dxfId="1" priority="50">
      <formula>L$4="BU"</formula>
    </cfRule>
    <cfRule type="expression" dxfId="2" priority="51">
      <formula>L$4="TT"</formula>
    </cfRule>
    <cfRule type="expression" dxfId="3" priority="52">
      <formula>L$4="HO"</formula>
    </cfRule>
    <cfRule type="expression" dxfId="4" priority="53">
      <formula>L$4="FE"</formula>
    </cfRule>
    <cfRule type="expression" dxfId="5" priority="54">
      <formula>L$4="AD"</formula>
    </cfRule>
  </conditionalFormatting>
  <conditionalFormatting sqref="M9">
    <cfRule type="cellIs" dxfId="0" priority="1" operator="equal">
      <formula>"F"</formula>
    </cfRule>
    <cfRule type="expression" dxfId="1" priority="2">
      <formula>M$4="BU"</formula>
    </cfRule>
    <cfRule type="expression" dxfId="2" priority="3">
      <formula>M$4="TT"</formula>
    </cfRule>
    <cfRule type="expression" dxfId="3" priority="4">
      <formula>M$4="HO"</formula>
    </cfRule>
    <cfRule type="expression" dxfId="4" priority="5">
      <formula>M$4="FE"</formula>
    </cfRule>
    <cfRule type="expression" dxfId="5" priority="6">
      <formula>M$4="AD"</formula>
    </cfRule>
  </conditionalFormatting>
  <conditionalFormatting sqref="N9:R9">
    <cfRule type="cellIs" dxfId="0" priority="103" operator="equal">
      <formula>"F"</formula>
    </cfRule>
    <cfRule type="expression" dxfId="1" priority="104">
      <formula>N$4="BU"</formula>
    </cfRule>
    <cfRule type="expression" dxfId="2" priority="105">
      <formula>N$4="TT"</formula>
    </cfRule>
    <cfRule type="expression" dxfId="3" priority="106">
      <formula>N$4="HO"</formula>
    </cfRule>
    <cfRule type="expression" dxfId="4" priority="107">
      <formula>N$4="FE"</formula>
    </cfRule>
    <cfRule type="expression" dxfId="5" priority="108">
      <formula>N$4="AD"</formula>
    </cfRule>
  </conditionalFormatting>
  <conditionalFormatting sqref="F7:J7;D10:J10;D3:M5;D6:D7">
    <cfRule type="cellIs" dxfId="0" priority="1015" operator="equal">
      <formula>"F"</formula>
    </cfRule>
    <cfRule type="expression" dxfId="1" priority="1016">
      <formula>D$4="BU"</formula>
    </cfRule>
    <cfRule type="expression" dxfId="2" priority="1017">
      <formula>D$4="TT"</formula>
    </cfRule>
    <cfRule type="expression" dxfId="3" priority="1018">
      <formula>D$4="HO"</formula>
    </cfRule>
    <cfRule type="expression" dxfId="4" priority="1019">
      <formula>D$4="FE"</formula>
    </cfRule>
    <cfRule type="expression" dxfId="5" priority="1020">
      <formula>D$4="AD"</formula>
    </cfRule>
  </conditionalFormatting>
  <conditionalFormatting sqref="N3:R5">
    <cfRule type="cellIs" dxfId="0" priority="151" operator="equal">
      <formula>"F"</formula>
    </cfRule>
    <cfRule type="expression" dxfId="1" priority="152">
      <formula>N$4="BU"</formula>
    </cfRule>
    <cfRule type="expression" dxfId="2" priority="153">
      <formula>N$4="TT"</formula>
    </cfRule>
    <cfRule type="expression" dxfId="3" priority="154">
      <formula>N$4="HO"</formula>
    </cfRule>
    <cfRule type="expression" dxfId="4" priority="155">
      <formula>N$4="FE"</formula>
    </cfRule>
    <cfRule type="expression" dxfId="5" priority="156">
      <formula>N$4="AD"</formula>
    </cfRule>
  </conditionalFormatting>
  <conditionalFormatting sqref="K7;K10">
    <cfRule type="cellIs" dxfId="0" priority="91" operator="equal">
      <formula>"F"</formula>
    </cfRule>
    <cfRule type="expression" dxfId="1" priority="92">
      <formula>K$4="BU"</formula>
    </cfRule>
    <cfRule type="expression" dxfId="2" priority="93">
      <formula>K$4="TT"</formula>
    </cfRule>
    <cfRule type="expression" dxfId="3" priority="94">
      <formula>K$4="HO"</formula>
    </cfRule>
    <cfRule type="expression" dxfId="4" priority="95">
      <formula>K$4="FE"</formula>
    </cfRule>
    <cfRule type="expression" dxfId="5" priority="96">
      <formula>K$4="AD"</formula>
    </cfRule>
  </conditionalFormatting>
  <conditionalFormatting sqref="L7;L10">
    <cfRule type="cellIs" dxfId="0" priority="67" operator="equal">
      <formula>"F"</formula>
    </cfRule>
    <cfRule type="expression" dxfId="1" priority="68">
      <formula>L$4="BU"</formula>
    </cfRule>
    <cfRule type="expression" dxfId="2" priority="69">
      <formula>L$4="TT"</formula>
    </cfRule>
    <cfRule type="expression" dxfId="3" priority="70">
      <formula>L$4="HO"</formula>
    </cfRule>
    <cfRule type="expression" dxfId="4" priority="71">
      <formula>L$4="FE"</formula>
    </cfRule>
    <cfRule type="expression" dxfId="5" priority="72">
      <formula>L$4="AD"</formula>
    </cfRule>
  </conditionalFormatting>
  <conditionalFormatting sqref="M7;M10">
    <cfRule type="cellIs" dxfId="0" priority="19" operator="equal">
      <formula>"F"</formula>
    </cfRule>
    <cfRule type="expression" dxfId="1" priority="20">
      <formula>M$4="BU"</formula>
    </cfRule>
    <cfRule type="expression" dxfId="2" priority="21">
      <formula>M$4="TT"</formula>
    </cfRule>
    <cfRule type="expression" dxfId="3" priority="22">
      <formula>M$4="HO"</formula>
    </cfRule>
    <cfRule type="expression" dxfId="4" priority="23">
      <formula>M$4="FE"</formula>
    </cfRule>
    <cfRule type="expression" dxfId="5" priority="24">
      <formula>M$4="AD"</formula>
    </cfRule>
  </conditionalFormatting>
  <conditionalFormatting sqref="N7:R7;N10:R10">
    <cfRule type="cellIs" dxfId="0" priority="163" operator="equal">
      <formula>"F"</formula>
    </cfRule>
    <cfRule type="expression" dxfId="1" priority="164">
      <formula>N$4="BU"</formula>
    </cfRule>
    <cfRule type="expression" dxfId="2" priority="165">
      <formula>N$4="TT"</formula>
    </cfRule>
    <cfRule type="expression" dxfId="3" priority="166">
      <formula>N$4="HO"</formula>
    </cfRule>
    <cfRule type="expression" dxfId="4" priority="167">
      <formula>N$4="FE"</formula>
    </cfRule>
    <cfRule type="expression" dxfId="5" priority="168">
      <formula>N$4="AD"</formula>
    </cfRule>
  </conditionalFormatting>
  <dataValidations count="1">
    <dataValidation type="list" allowBlank="1" showInputMessage="1" showErrorMessage="1" sqref="B8;B9;B10;B6:B7">
      <formula1>Time</formula1>
    </dataValidation>
  </dataValidations>
  <pageMargins left="0.699305555555556" right="0.699305555555556" top="0.75" bottom="0.75" header="0.3" footer="0.3"/>
  <pageSetup paperSize="1" orientation="portrait"/>
  <headerFooter/>
  <ignoredErrors>
    <ignoredError sqref="I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H9" sqref="H9"/>
    </sheetView>
  </sheetViews>
  <sheetFormatPr defaultColWidth="50.7142857142857" defaultRowHeight="15"/>
  <cols>
    <col min="1" max="1" width="1" style="3" customWidth="1"/>
    <col min="2" max="2" width="10" style="3" customWidth="1"/>
    <col min="3" max="3" width="85.1428571428571" style="11" customWidth="1"/>
    <col min="4" max="4" width="7.28571428571429" style="3" customWidth="1"/>
    <col min="5" max="5" width="11.8571428571429" style="3" customWidth="1"/>
    <col min="6" max="6" width="13" style="3" customWidth="1"/>
    <col min="7" max="7" width="11.5714285714286" style="3" customWidth="1"/>
    <col min="8" max="8" width="16.4285714285714" style="3" customWidth="1"/>
    <col min="9" max="9" width="14.8571428571429" style="3" customWidth="1"/>
    <col min="10" max="10" width="16.4285714285714" style="3" customWidth="1"/>
    <col min="11" max="16384" width="50.7142857142857" style="3"/>
  </cols>
  <sheetData>
    <row r="1" ht="15.75"/>
    <row r="2" ht="18.75" spans="3:9">
      <c r="C2" s="85"/>
      <c r="D2" s="85"/>
      <c r="E2" s="85"/>
      <c r="F2" s="86" t="s">
        <v>42</v>
      </c>
      <c r="G2" s="86"/>
      <c r="H2" s="87">
        <f>SUM(H5:H10)</f>
        <v>2.96</v>
      </c>
      <c r="I2" s="109"/>
    </row>
    <row r="3" ht="15.75"/>
    <row r="4" s="10" customFormat="1" ht="30" spans="2:10">
      <c r="B4" s="88" t="s">
        <v>43</v>
      </c>
      <c r="C4" s="89" t="s">
        <v>44</v>
      </c>
      <c r="D4" s="89" t="s">
        <v>34</v>
      </c>
      <c r="E4" s="89" t="s">
        <v>45</v>
      </c>
      <c r="F4" s="89" t="s">
        <v>46</v>
      </c>
      <c r="G4" s="89" t="s">
        <v>47</v>
      </c>
      <c r="H4" s="89" t="s">
        <v>48</v>
      </c>
      <c r="I4" s="89" t="s">
        <v>49</v>
      </c>
      <c r="J4" s="89" t="s">
        <v>29</v>
      </c>
    </row>
    <row r="5" spans="2:10">
      <c r="B5" s="90" t="s">
        <v>50</v>
      </c>
      <c r="C5" s="13" t="s">
        <v>51</v>
      </c>
      <c r="D5" s="14">
        <v>2</v>
      </c>
      <c r="E5" s="14">
        <v>20</v>
      </c>
      <c r="F5" s="14">
        <f>Estorias[[#This Row],[Horas Totais]]*(100-(100*Estorias[[#This Row],[% Concl.]]))/100</f>
        <v>14</v>
      </c>
      <c r="G5" s="91">
        <v>0.3</v>
      </c>
      <c r="H5" s="92">
        <f>Estorias[[#This Row],[Pontos]]*Estorias[[#This Row],[% Concl.]]</f>
        <v>0.6</v>
      </c>
      <c r="I5" s="110" t="s">
        <v>52</v>
      </c>
      <c r="J5" s="111" t="s">
        <v>18</v>
      </c>
    </row>
    <row r="6" spans="2:10">
      <c r="B6" s="90" t="s">
        <v>53</v>
      </c>
      <c r="C6" s="13" t="s">
        <v>54</v>
      </c>
      <c r="D6" s="17">
        <v>3</v>
      </c>
      <c r="E6" s="14">
        <v>30</v>
      </c>
      <c r="F6" s="14">
        <f>Estorias[[#This Row],[Horas Totais]]*(100-(100*Estorias[[#This Row],[% Concl.]]))/100</f>
        <v>20.4</v>
      </c>
      <c r="G6" s="91">
        <v>0.32</v>
      </c>
      <c r="H6" s="92">
        <f>Estorias[[#This Row],[Pontos]]*Estorias[[#This Row],[% Concl.]]</f>
        <v>0.96</v>
      </c>
      <c r="I6" s="110" t="s">
        <v>52</v>
      </c>
      <c r="J6" s="111" t="s">
        <v>15</v>
      </c>
    </row>
    <row r="7" spans="2:10">
      <c r="B7" s="90" t="s">
        <v>55</v>
      </c>
      <c r="C7" s="13" t="s">
        <v>56</v>
      </c>
      <c r="D7" s="17">
        <v>2</v>
      </c>
      <c r="E7" s="14">
        <v>20</v>
      </c>
      <c r="F7" s="14">
        <f>Estorias[[#This Row],[Horas Totais]]*(100-(100*Estorias[[#This Row],[% Concl.]]))/100</f>
        <v>20</v>
      </c>
      <c r="G7" s="91">
        <v>0</v>
      </c>
      <c r="H7" s="92">
        <f>Estorias[[#This Row],[Pontos]]*Estorias[[#This Row],[% Concl.]]</f>
        <v>0</v>
      </c>
      <c r="I7" s="110" t="s">
        <v>57</v>
      </c>
      <c r="J7" s="111"/>
    </row>
    <row r="8" spans="2:10">
      <c r="B8" s="90" t="s">
        <v>58</v>
      </c>
      <c r="C8" s="13" t="s">
        <v>59</v>
      </c>
      <c r="D8" s="17">
        <v>1</v>
      </c>
      <c r="E8" s="14">
        <v>10</v>
      </c>
      <c r="F8" s="14">
        <f>Estorias[[#This Row],[Horas Totais]]*(100-(100*Estorias[[#This Row],[% Concl.]]))/100</f>
        <v>10</v>
      </c>
      <c r="G8" s="91">
        <v>0</v>
      </c>
      <c r="H8" s="92">
        <f>Estorias[[#This Row],[Pontos]]*Estorias[[#This Row],[% Concl.]]</f>
        <v>0</v>
      </c>
      <c r="I8" s="110" t="s">
        <v>57</v>
      </c>
      <c r="J8" s="111"/>
    </row>
    <row r="9" spans="2:10">
      <c r="B9" s="90" t="s">
        <v>60</v>
      </c>
      <c r="C9" s="13" t="s">
        <v>61</v>
      </c>
      <c r="D9" s="17">
        <v>2</v>
      </c>
      <c r="E9" s="14">
        <v>20</v>
      </c>
      <c r="F9" s="14">
        <f>Estorias[[#This Row],[Horas Totais]]*(100-(100*Estorias[[#This Row],[% Concl.]]))/100</f>
        <v>8</v>
      </c>
      <c r="G9" s="91">
        <v>0.6</v>
      </c>
      <c r="H9" s="92">
        <f>Estorias[[#This Row],[Pontos]]*Estorias[[#This Row],[% Concl.]]</f>
        <v>1.2</v>
      </c>
      <c r="I9" s="110" t="s">
        <v>52</v>
      </c>
      <c r="J9" s="111" t="s">
        <v>17</v>
      </c>
    </row>
    <row r="10" spans="2:10">
      <c r="B10" s="90" t="s">
        <v>62</v>
      </c>
      <c r="C10" s="13" t="s">
        <v>63</v>
      </c>
      <c r="D10" s="17">
        <v>2</v>
      </c>
      <c r="E10" s="14">
        <v>20</v>
      </c>
      <c r="F10" s="14">
        <f>Estorias[[#This Row],[Horas Totais]]*(100-(100*Estorias[[#This Row],[% Concl.]]))/100</f>
        <v>18</v>
      </c>
      <c r="G10" s="91">
        <v>0.1</v>
      </c>
      <c r="H10" s="92">
        <f>Estorias[[#This Row],[Pontos]]*Estorias[[#This Row],[% Concl.]]</f>
        <v>0.2</v>
      </c>
      <c r="I10" s="110" t="s">
        <v>52</v>
      </c>
      <c r="J10" s="111" t="s">
        <v>16</v>
      </c>
    </row>
    <row r="11" s="84" customFormat="1" spans="2:10">
      <c r="B11" s="93"/>
      <c r="C11" s="94"/>
      <c r="D11" s="95"/>
      <c r="E11" s="95"/>
      <c r="F11" s="95"/>
      <c r="G11" s="96"/>
      <c r="H11" s="97"/>
      <c r="I11" s="112"/>
      <c r="J11" s="113"/>
    </row>
    <row r="12" s="84" customFormat="1" spans="2:10">
      <c r="B12" s="98"/>
      <c r="C12" s="99"/>
      <c r="D12" s="100"/>
      <c r="E12" s="100"/>
      <c r="F12" s="100"/>
      <c r="G12" s="101"/>
      <c r="H12" s="102"/>
      <c r="I12" s="114"/>
      <c r="J12" s="115"/>
    </row>
    <row r="13" s="84" customFormat="1" spans="2:10">
      <c r="B13" s="98"/>
      <c r="C13" s="99"/>
      <c r="D13" s="100"/>
      <c r="E13" s="100"/>
      <c r="F13" s="100"/>
      <c r="G13" s="101"/>
      <c r="H13" s="102"/>
      <c r="I13" s="114"/>
      <c r="J13" s="115"/>
    </row>
    <row r="14" spans="1:10">
      <c r="A14" s="84"/>
      <c r="B14" s="103"/>
      <c r="C14" s="104"/>
      <c r="D14" s="103"/>
      <c r="E14" s="103"/>
      <c r="F14" s="103"/>
      <c r="G14" s="103"/>
      <c r="H14" s="103"/>
      <c r="I14" s="84"/>
      <c r="J14" s="84"/>
    </row>
    <row r="15" spans="1:10">
      <c r="A15" s="84"/>
      <c r="B15" s="98"/>
      <c r="C15" s="105"/>
      <c r="D15" s="103"/>
      <c r="E15" s="103"/>
      <c r="F15" s="103"/>
      <c r="G15" s="103"/>
      <c r="H15" s="103"/>
      <c r="I15" s="84"/>
      <c r="J15" s="84"/>
    </row>
    <row r="16" spans="2:8">
      <c r="B16" s="98"/>
      <c r="C16" s="105"/>
      <c r="D16" s="103"/>
      <c r="E16" s="106"/>
      <c r="F16" s="106"/>
      <c r="G16" s="106"/>
      <c r="H16" s="106"/>
    </row>
    <row r="17" spans="2:8">
      <c r="B17" s="103"/>
      <c r="C17" s="104"/>
      <c r="D17" s="103"/>
      <c r="E17" s="106"/>
      <c r="F17" s="106"/>
      <c r="G17" s="106"/>
      <c r="H17" s="106"/>
    </row>
    <row r="18" spans="2:8">
      <c r="B18" s="103"/>
      <c r="C18" s="104"/>
      <c r="D18" s="103"/>
      <c r="E18" s="106"/>
      <c r="F18" s="106"/>
      <c r="G18" s="106"/>
      <c r="H18" s="106"/>
    </row>
    <row r="19" spans="2:8">
      <c r="B19" s="103"/>
      <c r="C19" s="104"/>
      <c r="D19" s="103"/>
      <c r="E19" s="106"/>
      <c r="F19" s="106"/>
      <c r="G19" s="106"/>
      <c r="H19" s="106"/>
    </row>
    <row r="20" spans="2:8">
      <c r="B20" s="106"/>
      <c r="C20" s="107"/>
      <c r="D20" s="106"/>
      <c r="E20" s="106"/>
      <c r="F20" s="106"/>
      <c r="G20" s="106"/>
      <c r="H20" s="106"/>
    </row>
    <row r="21" spans="2:8">
      <c r="B21" s="106"/>
      <c r="C21" s="107"/>
      <c r="D21" s="106"/>
      <c r="E21" s="106"/>
      <c r="F21" s="106"/>
      <c r="G21" s="106"/>
      <c r="H21" s="106"/>
    </row>
    <row r="22" spans="2:8">
      <c r="B22" s="106"/>
      <c r="C22" s="107"/>
      <c r="D22" s="106"/>
      <c r="E22" s="106"/>
      <c r="F22" s="106"/>
      <c r="G22" s="106"/>
      <c r="H22" s="106"/>
    </row>
    <row r="23" spans="2:8">
      <c r="B23" s="106"/>
      <c r="C23" s="107"/>
      <c r="D23" s="106"/>
      <c r="E23" s="106"/>
      <c r="F23" s="106"/>
      <c r="G23" s="106"/>
      <c r="H23" s="106"/>
    </row>
    <row r="24" spans="2:8">
      <c r="B24" s="106"/>
      <c r="C24" s="107"/>
      <c r="D24" s="106"/>
      <c r="E24" s="106"/>
      <c r="F24" s="106"/>
      <c r="G24" s="106"/>
      <c r="H24" s="106"/>
    </row>
    <row r="25" spans="2:8">
      <c r="B25" s="106"/>
      <c r="C25" s="107"/>
      <c r="D25" s="106"/>
      <c r="E25" s="106"/>
      <c r="F25" s="106"/>
      <c r="G25" s="106"/>
      <c r="H25" s="106"/>
    </row>
    <row r="26" spans="2:8">
      <c r="B26" s="106"/>
      <c r="C26" s="107"/>
      <c r="D26" s="106"/>
      <c r="E26" s="106"/>
      <c r="F26" s="106"/>
      <c r="G26" s="106"/>
      <c r="H26" s="106"/>
    </row>
    <row r="27" spans="2:8">
      <c r="B27" s="106"/>
      <c r="C27" s="107"/>
      <c r="D27" s="106"/>
      <c r="E27" s="106"/>
      <c r="F27" s="106"/>
      <c r="G27" s="106"/>
      <c r="H27" s="106"/>
    </row>
    <row r="28" spans="2:8">
      <c r="B28" s="106"/>
      <c r="C28" s="107"/>
      <c r="D28" s="106"/>
      <c r="E28" s="106"/>
      <c r="F28" s="106"/>
      <c r="G28" s="106"/>
      <c r="H28" s="106"/>
    </row>
    <row r="29" spans="2:8">
      <c r="B29" s="106"/>
      <c r="C29" s="107"/>
      <c r="D29" s="106"/>
      <c r="E29" s="106"/>
      <c r="F29" s="106"/>
      <c r="G29" s="106"/>
      <c r="H29" s="106"/>
    </row>
    <row r="30" spans="2:8">
      <c r="B30" s="106"/>
      <c r="C30" s="107"/>
      <c r="D30" s="106"/>
      <c r="E30" s="106"/>
      <c r="F30" s="106"/>
      <c r="G30" s="106"/>
      <c r="H30" s="106"/>
    </row>
    <row r="31" spans="2:8">
      <c r="B31" s="106"/>
      <c r="C31" s="107"/>
      <c r="D31" s="106"/>
      <c r="E31" s="106"/>
      <c r="F31" s="106"/>
      <c r="G31" s="106"/>
      <c r="H31" s="106"/>
    </row>
    <row r="32" spans="2:8">
      <c r="B32" s="106"/>
      <c r="C32" s="107"/>
      <c r="D32" s="106"/>
      <c r="E32" s="106"/>
      <c r="F32" s="106"/>
      <c r="G32" s="106"/>
      <c r="H32" s="106"/>
    </row>
    <row r="33" spans="2:8">
      <c r="B33" s="106"/>
      <c r="C33" s="107"/>
      <c r="D33" s="106"/>
      <c r="E33" s="106"/>
      <c r="F33" s="106"/>
      <c r="G33" s="106"/>
      <c r="H33" s="106"/>
    </row>
    <row r="34" spans="2:8">
      <c r="B34" s="108"/>
      <c r="D34" s="108"/>
      <c r="E34" s="108"/>
      <c r="F34" s="108"/>
      <c r="G34" s="108"/>
      <c r="H34" s="108"/>
    </row>
    <row r="35" spans="2:8">
      <c r="B35" s="108"/>
      <c r="D35" s="108"/>
      <c r="E35" s="108"/>
      <c r="F35" s="108"/>
      <c r="G35" s="108"/>
      <c r="H35" s="108"/>
    </row>
    <row r="36" spans="2:8">
      <c r="B36" s="108"/>
      <c r="D36" s="108"/>
      <c r="E36" s="108"/>
      <c r="F36" s="108"/>
      <c r="G36" s="108"/>
      <c r="H36" s="108"/>
    </row>
    <row r="37" spans="2:8">
      <c r="B37" s="108"/>
      <c r="D37" s="108"/>
      <c r="E37" s="108"/>
      <c r="F37" s="108"/>
      <c r="G37" s="108"/>
      <c r="H37" s="108"/>
    </row>
    <row r="38" spans="2:8">
      <c r="B38" s="108"/>
      <c r="D38" s="108"/>
      <c r="E38" s="108"/>
      <c r="F38" s="108"/>
      <c r="G38" s="108"/>
      <c r="H38" s="108"/>
    </row>
    <row r="39" spans="2:8">
      <c r="B39" s="108"/>
      <c r="D39" s="108"/>
      <c r="E39" s="108"/>
      <c r="F39" s="108"/>
      <c r="G39" s="108"/>
      <c r="H39" s="108"/>
    </row>
    <row r="40" spans="2:8">
      <c r="B40" s="108"/>
      <c r="D40" s="108"/>
      <c r="E40" s="108"/>
      <c r="F40" s="108"/>
      <c r="G40" s="108"/>
      <c r="H40" s="108"/>
    </row>
    <row r="41" spans="2:8">
      <c r="B41" s="108"/>
      <c r="D41" s="108"/>
      <c r="E41" s="108"/>
      <c r="F41" s="108"/>
      <c r="G41" s="108"/>
      <c r="H41" s="108"/>
    </row>
    <row r="42" spans="2:8">
      <c r="B42" s="108"/>
      <c r="D42" s="108"/>
      <c r="E42" s="108"/>
      <c r="F42" s="108"/>
      <c r="G42" s="108"/>
      <c r="H42" s="108"/>
    </row>
    <row r="43" spans="2:8">
      <c r="B43" s="108"/>
      <c r="D43" s="108"/>
      <c r="E43" s="108"/>
      <c r="F43" s="108"/>
      <c r="G43" s="108"/>
      <c r="H43" s="108"/>
    </row>
    <row r="44" spans="2:8">
      <c r="B44" s="108"/>
      <c r="D44" s="108"/>
      <c r="E44" s="108"/>
      <c r="F44" s="108"/>
      <c r="G44" s="108"/>
      <c r="H44" s="108"/>
    </row>
    <row r="45" spans="2:8">
      <c r="B45" s="108"/>
      <c r="D45" s="108"/>
      <c r="E45" s="108"/>
      <c r="F45" s="108"/>
      <c r="G45" s="108"/>
      <c r="H45" s="108"/>
    </row>
    <row r="46" spans="2:8">
      <c r="B46" s="108"/>
      <c r="D46" s="108"/>
      <c r="E46" s="108"/>
      <c r="F46" s="108"/>
      <c r="G46" s="108"/>
      <c r="H46" s="108"/>
    </row>
    <row r="47" spans="2:8">
      <c r="B47" s="108"/>
      <c r="D47" s="108"/>
      <c r="E47" s="108"/>
      <c r="F47" s="108"/>
      <c r="G47" s="108"/>
      <c r="H47" s="108"/>
    </row>
    <row r="48" spans="2:8">
      <c r="B48" s="108"/>
      <c r="D48" s="108"/>
      <c r="E48" s="108"/>
      <c r="F48" s="108"/>
      <c r="G48" s="108"/>
      <c r="H48" s="108"/>
    </row>
    <row r="49" spans="2:8">
      <c r="B49" s="108"/>
      <c r="D49" s="108"/>
      <c r="E49" s="108"/>
      <c r="F49" s="108"/>
      <c r="G49" s="108"/>
      <c r="H49" s="108"/>
    </row>
    <row r="50" spans="2:8">
      <c r="B50" s="108"/>
      <c r="D50" s="108"/>
      <c r="E50" s="108"/>
      <c r="F50" s="108"/>
      <c r="G50" s="108"/>
      <c r="H50" s="108"/>
    </row>
    <row r="51" spans="2:8">
      <c r="B51" s="108"/>
      <c r="D51" s="108"/>
      <c r="E51" s="108"/>
      <c r="F51" s="108"/>
      <c r="G51" s="108"/>
      <c r="H51" s="108"/>
    </row>
    <row r="52" spans="2:8">
      <c r="B52" s="108"/>
      <c r="D52" s="108"/>
      <c r="E52" s="108"/>
      <c r="F52" s="108"/>
      <c r="G52" s="108"/>
      <c r="H52" s="108"/>
    </row>
    <row r="53" spans="2:8">
      <c r="B53" s="108"/>
      <c r="D53" s="108"/>
      <c r="E53" s="108"/>
      <c r="F53" s="108"/>
      <c r="G53" s="108"/>
      <c r="H53" s="108"/>
    </row>
    <row r="54" spans="2:8">
      <c r="B54" s="108"/>
      <c r="D54" s="108"/>
      <c r="E54" s="108"/>
      <c r="F54" s="108"/>
      <c r="G54" s="108"/>
      <c r="H54" s="108"/>
    </row>
    <row r="55" spans="2:8">
      <c r="B55" s="108"/>
      <c r="D55" s="108"/>
      <c r="E55" s="108"/>
      <c r="F55" s="108"/>
      <c r="G55" s="108"/>
      <c r="H55" s="108"/>
    </row>
    <row r="56" spans="2:8">
      <c r="B56" s="108"/>
      <c r="D56" s="108"/>
      <c r="E56" s="108"/>
      <c r="F56" s="108"/>
      <c r="G56" s="108"/>
      <c r="H56" s="108"/>
    </row>
    <row r="57" spans="2:8">
      <c r="B57" s="108"/>
      <c r="D57" s="108"/>
      <c r="E57" s="108"/>
      <c r="F57" s="108"/>
      <c r="G57" s="108"/>
      <c r="H57" s="108"/>
    </row>
    <row r="58" spans="2:8">
      <c r="B58" s="108"/>
      <c r="D58" s="108"/>
      <c r="E58" s="108"/>
      <c r="F58" s="108"/>
      <c r="G58" s="108"/>
      <c r="H58" s="108"/>
    </row>
    <row r="59" spans="2:8">
      <c r="B59" s="108"/>
      <c r="D59" s="108"/>
      <c r="E59" s="108"/>
      <c r="F59" s="108"/>
      <c r="G59" s="108"/>
      <c r="H59" s="108"/>
    </row>
    <row r="60" spans="2:8">
      <c r="B60" s="108"/>
      <c r="D60" s="108"/>
      <c r="E60" s="108"/>
      <c r="F60" s="108"/>
      <c r="G60" s="108"/>
      <c r="H60" s="108"/>
    </row>
    <row r="61" spans="2:8">
      <c r="B61" s="108"/>
      <c r="D61" s="108"/>
      <c r="E61" s="108"/>
      <c r="F61" s="108"/>
      <c r="G61" s="108"/>
      <c r="H61" s="108"/>
    </row>
  </sheetData>
  <mergeCells count="1">
    <mergeCell ref="F2:G2"/>
  </mergeCells>
  <conditionalFormatting sqref="I11">
    <cfRule type="cellIs" dxfId="15" priority="9" operator="equal">
      <formula>"Não Planejado"</formula>
    </cfRule>
    <cfRule type="cellIs" dxfId="16" priority="10" operator="equal">
      <formula>"Finalizado"</formula>
    </cfRule>
    <cfRule type="cellIs" dxfId="17" priority="11" operator="equal">
      <formula>"Não Iniciado"</formula>
    </cfRule>
    <cfRule type="cellIs" dxfId="18" priority="12" operator="equal">
      <formula>"Em Andamento"</formula>
    </cfRule>
  </conditionalFormatting>
  <conditionalFormatting sqref="I12">
    <cfRule type="cellIs" dxfId="15" priority="5" operator="equal">
      <formula>"Não Planejado"</formula>
    </cfRule>
    <cfRule type="cellIs" dxfId="16" priority="6" operator="equal">
      <formula>"Finalizado"</formula>
    </cfRule>
    <cfRule type="cellIs" dxfId="17" priority="7" operator="equal">
      <formula>"Não Iniciado"</formula>
    </cfRule>
    <cfRule type="cellIs" dxfId="18" priority="8" operator="equal">
      <formula>"Em Andamento"</formula>
    </cfRule>
  </conditionalFormatting>
  <conditionalFormatting sqref="I13">
    <cfRule type="cellIs" dxfId="15" priority="1" operator="equal">
      <formula>"Não Planejado"</formula>
    </cfRule>
    <cfRule type="cellIs" dxfId="16" priority="2" operator="equal">
      <formula>"Finalizado"</formula>
    </cfRule>
    <cfRule type="cellIs" dxfId="17" priority="3" operator="equal">
      <formula>"Não Iniciado"</formula>
    </cfRule>
    <cfRule type="cellIs" dxfId="18" priority="4" operator="equal">
      <formula>"Em Andamento"</formula>
    </cfRule>
  </conditionalFormatting>
  <conditionalFormatting sqref="I5:I10">
    <cfRule type="cellIs" dxfId="15" priority="180" operator="equal">
      <formula>"Não Planejado"</formula>
    </cfRule>
    <cfRule type="cellIs" dxfId="16" priority="181" operator="equal">
      <formula>"Finalizado"</formula>
    </cfRule>
    <cfRule type="cellIs" dxfId="17" priority="182" operator="equal">
      <formula>"Não Iniciado"</formula>
    </cfRule>
    <cfRule type="cellIs" dxfId="18" priority="183" operator="equal">
      <formula>"Em Andamento"</formula>
    </cfRule>
  </conditionalFormatting>
  <dataValidations count="2">
    <dataValidation type="list" allowBlank="1" showInputMessage="1" sqref="I5;I6;I7;I8;I9;I10;I11;I12;I13">
      <formula1>"Em Andamento, Finalizado, Não Iniciado, Não Planejado"</formula1>
    </dataValidation>
    <dataValidation type="list" allowBlank="1" showInputMessage="1" showErrorMessage="1" sqref="J5;J6;J7;J8;J9;J10;J11;J12;J13">
      <formula1>Time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showGridLines="0" tabSelected="1" topLeftCell="I1" workbookViewId="0">
      <selection activeCell="AA7" sqref="AA7"/>
    </sheetView>
  </sheetViews>
  <sheetFormatPr defaultColWidth="8.85714285714286" defaultRowHeight="15"/>
  <cols>
    <col min="1" max="1" width="5.42857142857143" style="73" customWidth="1"/>
    <col min="2" max="2" width="6.14285714285714" style="73" customWidth="1"/>
    <col min="3" max="3" width="7.57142857142857" style="73" customWidth="1"/>
    <col min="4" max="4" width="13.2857142857143" style="73" customWidth="1"/>
    <col min="5" max="5" width="11.2857142857143" style="73" customWidth="1"/>
    <col min="6" max="6" width="12.8571428571429" style="73" customWidth="1"/>
    <col min="7" max="7" width="12.4285714285714" style="73" customWidth="1"/>
    <col min="8" max="8" width="10.5714285714286" style="73" customWidth="1"/>
    <col min="9" max="9" width="7.28571428571429" style="73" customWidth="1"/>
    <col min="10" max="10" width="11.2857142857143" style="73" customWidth="1"/>
    <col min="11" max="11" width="7" style="73" customWidth="1"/>
    <col min="12" max="12" width="12.4285714285714" style="73" customWidth="1"/>
    <col min="13" max="13" width="7.57142857142857" style="73" customWidth="1"/>
    <col min="14" max="15" width="3.57142857142857" style="73" customWidth="1"/>
    <col min="16" max="17" width="8.85714285714286" style="73"/>
    <col min="18" max="18" width="11.7142857142857" style="73" customWidth="1"/>
    <col min="19" max="22" width="8.85714285714286" style="73"/>
    <col min="23" max="23" width="13.1428571428571" style="73" customWidth="1"/>
    <col min="24" max="24" width="8.85714285714286" style="73"/>
    <col min="25" max="25" width="12.7142857142857" style="73" customWidth="1"/>
    <col min="26" max="16384" width="8.85714285714286" style="73"/>
  </cols>
  <sheetData>
    <row r="1" spans="2:13">
      <c r="B1" s="74"/>
      <c r="C1" s="74"/>
      <c r="D1" s="74"/>
      <c r="E1" s="74"/>
      <c r="F1" s="74"/>
      <c r="G1" s="74"/>
      <c r="H1" s="74"/>
      <c r="I1" s="74"/>
      <c r="J1" s="78"/>
      <c r="K1" s="78"/>
      <c r="L1" s="79"/>
      <c r="M1" s="79"/>
    </row>
    <row r="2" ht="30" customHeight="1" spans="1:27">
      <c r="A2" s="75" t="s">
        <v>64</v>
      </c>
      <c r="B2" s="75" t="s">
        <v>65</v>
      </c>
      <c r="C2" s="75" t="s">
        <v>66</v>
      </c>
      <c r="D2" s="75" t="s">
        <v>67</v>
      </c>
      <c r="E2" s="75" t="s">
        <v>13</v>
      </c>
      <c r="F2" s="75" t="s">
        <v>68</v>
      </c>
      <c r="G2" s="75" t="s">
        <v>69</v>
      </c>
      <c r="H2" s="75" t="s">
        <v>70</v>
      </c>
      <c r="I2" s="75" t="s">
        <v>71</v>
      </c>
      <c r="J2" s="75" t="s">
        <v>72</v>
      </c>
      <c r="K2" s="75" t="s">
        <v>73</v>
      </c>
      <c r="L2" s="75" t="s">
        <v>74</v>
      </c>
      <c r="N2" s="80"/>
      <c r="O2" s="81" t="s">
        <v>75</v>
      </c>
      <c r="P2" s="82"/>
      <c r="Q2" s="82"/>
      <c r="R2" s="82"/>
      <c r="S2" s="82"/>
      <c r="T2" s="82"/>
      <c r="U2" s="82"/>
      <c r="V2" s="82"/>
      <c r="W2" s="82"/>
      <c r="X2" s="82"/>
      <c r="Y2" s="82"/>
      <c r="Z2" s="83"/>
      <c r="AA2" s="83"/>
    </row>
    <row r="3" spans="1:12">
      <c r="A3" s="76">
        <v>0</v>
      </c>
      <c r="B3" s="77">
        <f>INDEX(Alocação,1,Burndown[[#This Row],[Dia '#]]+1)</f>
        <v>43689</v>
      </c>
      <c r="C3" s="76">
        <f>INDEX(Alocação,ROWS(Alocação)-2,1+Burndown[[#This Row],[Dia '#]])</f>
        <v>10</v>
      </c>
      <c r="D3" s="76">
        <f>IF(Burndown[[#This Row],[Produzido / Dia (Horas)]]="",0,Burndown[[#This Row],[Produzido / Dia (Horas)]])</f>
        <v>10</v>
      </c>
      <c r="E3" s="76">
        <f>Velocidade</f>
        <v>10</v>
      </c>
      <c r="F3" s="76">
        <f ca="1">IF(Burndown[[#This Row],[Velocidade]]="",OFFSET(Burndown[[#This Row],[Produzido Previsto]],-1,0),ROUND(Burndown[[#This Row],[Produzido Acumulado (Horas)]]/Burndown[[#This Row],[Velocidade]],2))</f>
        <v>1</v>
      </c>
      <c r="G3" s="76">
        <f ca="1">MAX(TamanhoSprint-Burndown[[#This Row],[Produzido Previsto]],0)</f>
        <v>11</v>
      </c>
      <c r="H3" s="76">
        <f ca="1">IF(Burndown[[#This Row],[Produzido Real]]="",NA(),(Burndown[[#This Row],[Restante Real]]+Burndown[[#This Row],[Ajuste]])-Burndown[[#This Row],[Restante Previsto]])</f>
        <v>0.640000000000001</v>
      </c>
      <c r="I3" s="76">
        <v>0.36</v>
      </c>
      <c r="J3" s="76"/>
      <c r="K3" s="76">
        <f>TamanhoSprint-Burndown[[#This Row],[Produzido Real]]</f>
        <v>11.64</v>
      </c>
      <c r="L3" s="76">
        <f>IF(Burndown[[#This Row],[Produzido Real]]&lt;&gt;"",Burndown[[#This Row],[Restante Real]]+Burndown[[#This Row],[Ajuste]],NA())</f>
        <v>11.64</v>
      </c>
    </row>
    <row r="4" spans="1:12">
      <c r="A4" s="76">
        <v>1</v>
      </c>
      <c r="B4" s="77">
        <f>INDEX(Alocação,1,Burndown[[#This Row],[Dia '#]]+1)</f>
        <v>43690</v>
      </c>
      <c r="C4" s="76">
        <f>INDEX(Alocação,ROWS(Alocação)-2,1+Burndown[[#This Row],[Dia '#]])</f>
        <v>25</v>
      </c>
      <c r="D4" s="76">
        <f ca="1">IF(Burndown[[#This Row],[Produzido / Dia (Horas)]]="",0,Burndown[[#This Row],[Produzido / Dia (Horas)]])+OFFSET(Burndown[[#This Row],[Produzido Acumulado (Horas)]],-1,0)</f>
        <v>35</v>
      </c>
      <c r="E4" s="76">
        <f>Velocidade</f>
        <v>10</v>
      </c>
      <c r="F4" s="76">
        <f ca="1">IF(Burndown[[#This Row],[Velocidade]]="",OFFSET(Burndown[[#This Row],[Produzido Previsto]],-1,0),ROUND(Burndown[[#This Row],[Produzido Acumulado (Horas)]]/Burndown[[#This Row],[Velocidade]],2))</f>
        <v>3.5</v>
      </c>
      <c r="G4" s="76">
        <f ca="1">MAX(TamanhoSprint-Burndown[[#This Row],[Produzido Previsto]],0)</f>
        <v>8.5</v>
      </c>
      <c r="H4" s="76">
        <f ca="1">IF(Burndown[[#This Row],[Produzido Real]]="",NA(),(Burndown[[#This Row],[Restante Real]]+Burndown[[#This Row],[Ajuste]])-Burndown[[#This Row],[Restante Previsto]])</f>
        <v>0.539999999999999</v>
      </c>
      <c r="I4" s="76">
        <v>2.96</v>
      </c>
      <c r="J4" s="76"/>
      <c r="K4" s="76">
        <f>TamanhoSprint-Burndown[[#This Row],[Produzido Real]]</f>
        <v>9.04</v>
      </c>
      <c r="L4" s="76">
        <f>IF(Burndown[[#This Row],[Produzido Real]]&lt;&gt;"",Burndown[[#This Row],[Restante Real]]+Burndown[[#This Row],[Ajuste]],NA())</f>
        <v>9.04</v>
      </c>
    </row>
    <row r="5" spans="1:12">
      <c r="A5" s="76">
        <v>2</v>
      </c>
      <c r="B5" s="77">
        <f>INDEX(Alocação,1,Burndown[[#This Row],[Dia '#]]+1)</f>
        <v>43691</v>
      </c>
      <c r="C5" s="76">
        <f>INDEX(Alocação,ROWS(Alocação)-2,1+Burndown[[#This Row],[Dia '#]])</f>
        <v>21</v>
      </c>
      <c r="D5" s="76">
        <f ca="1">IF(Burndown[[#This Row],[Produzido / Dia (Horas)]]="",0,Burndown[[#This Row],[Produzido / Dia (Horas)]])+OFFSET(Burndown[[#This Row],[Produzido Acumulado (Horas)]],-1,0)</f>
        <v>56</v>
      </c>
      <c r="E5" s="76">
        <f>Velocidade</f>
        <v>10</v>
      </c>
      <c r="F5" s="76">
        <f ca="1">IF(Burndown[[#This Row],[Velocidade]]="",OFFSET(Burndown[[#This Row],[Produzido Previsto]],-1,0),ROUND(Burndown[[#This Row],[Produzido Acumulado (Horas)]]/Burndown[[#This Row],[Velocidade]],2))</f>
        <v>5.6</v>
      </c>
      <c r="G5" s="76">
        <f ca="1">MAX(TamanhoSprint-Burndown[[#This Row],[Produzido Previsto]],0)</f>
        <v>6.4</v>
      </c>
      <c r="H5" s="76" t="e">
        <f ca="1">IF(Burndown[[#This Row],[Produzido Real]]="",NA(),(Burndown[[#This Row],[Restante Real]]+Burndown[[#This Row],[Ajuste]])-Burndown[[#This Row],[Restante Previsto]])</f>
        <v>#N/A</v>
      </c>
      <c r="I5" s="76"/>
      <c r="J5" s="76"/>
      <c r="K5" s="76">
        <f>TamanhoSprint-Burndown[[#This Row],[Produzido Real]]</f>
        <v>12</v>
      </c>
      <c r="L5" s="76" t="e">
        <f>IF(Burndown[[#This Row],[Produzido Real]]&lt;&gt;"",Burndown[[#This Row],[Restante Real]]+Burndown[[#This Row],[Ajuste]],NA())</f>
        <v>#N/A</v>
      </c>
    </row>
    <row r="6" spans="1:12">
      <c r="A6" s="76">
        <v>3</v>
      </c>
      <c r="B6" s="77">
        <f>INDEX(Alocação,1,Burndown[[#This Row],[Dia '#]]+1)</f>
        <v>43692</v>
      </c>
      <c r="C6" s="76" t="str">
        <f>INDEX(Alocação,ROWS(Alocação)-2,1+Burndown[[#This Row],[Dia '#]])</f>
        <v/>
      </c>
      <c r="D6" s="76">
        <f ca="1">IF(Burndown[[#This Row],[Produzido / Dia (Horas)]]="",0,Burndown[[#This Row],[Produzido / Dia (Horas)]])+OFFSET(Burndown[[#This Row],[Produzido Acumulado (Horas)]],-1,0)</f>
        <v>56</v>
      </c>
      <c r="E6" s="76">
        <f>Velocidade</f>
        <v>10</v>
      </c>
      <c r="F6" s="76">
        <f ca="1">IF(Burndown[[#This Row],[Velocidade]]="",OFFSET(Burndown[[#This Row],[Produzido Previsto]],-1,0),ROUND(Burndown[[#This Row],[Produzido Acumulado (Horas)]]/Burndown[[#This Row],[Velocidade]],2))</f>
        <v>5.6</v>
      </c>
      <c r="G6" s="76">
        <f ca="1">MAX(TamanhoSprint-Burndown[[#This Row],[Produzido Previsto]],0)</f>
        <v>6.4</v>
      </c>
      <c r="H6" s="76" t="e">
        <f ca="1">IF(Burndown[[#This Row],[Produzido Real]]="",NA(),(Burndown[[#This Row],[Restante Real]]+Burndown[[#This Row],[Ajuste]])-Burndown[[#This Row],[Restante Previsto]])</f>
        <v>#N/A</v>
      </c>
      <c r="I6" s="76"/>
      <c r="J6" s="76"/>
      <c r="K6" s="76">
        <f>TamanhoSprint-Burndown[[#This Row],[Produzido Real]]</f>
        <v>12</v>
      </c>
      <c r="L6" s="76" t="e">
        <f>IF(Burndown[[#This Row],[Produzido Real]]&lt;&gt;"",Burndown[[#This Row],[Restante Real]]+Burndown[[#This Row],[Ajuste]],NA())</f>
        <v>#N/A</v>
      </c>
    </row>
    <row r="7" spans="1:12">
      <c r="A7" s="76">
        <v>4</v>
      </c>
      <c r="B7" s="77">
        <f>INDEX(Alocação,1,Burndown[[#This Row],[Dia '#]]+1)</f>
        <v>43693</v>
      </c>
      <c r="C7" s="76">
        <f>INDEX(Alocação,ROWS(Alocação)-2,1+Burndown[[#This Row],[Dia '#]])</f>
        <v>11</v>
      </c>
      <c r="D7" s="76">
        <f ca="1">IF(Burndown[[#This Row],[Produzido / Dia (Horas)]]="",0,Burndown[[#This Row],[Produzido / Dia (Horas)]])+OFFSET(Burndown[[#This Row],[Produzido Acumulado (Horas)]],-1,0)</f>
        <v>67</v>
      </c>
      <c r="E7" s="76">
        <f>Velocidade</f>
        <v>10</v>
      </c>
      <c r="F7" s="76">
        <f ca="1">IF(Burndown[[#This Row],[Velocidade]]="",OFFSET(Burndown[[#This Row],[Produzido Previsto]],-1,0),ROUND(Burndown[[#This Row],[Produzido Acumulado (Horas)]]/Burndown[[#This Row],[Velocidade]],2))</f>
        <v>6.7</v>
      </c>
      <c r="G7" s="76">
        <f ca="1">MAX(TamanhoSprint-Burndown[[#This Row],[Produzido Previsto]],0)</f>
        <v>5.3</v>
      </c>
      <c r="H7" s="76" t="e">
        <f ca="1">IF(Burndown[[#This Row],[Produzido Real]]="",NA(),(Burndown[[#This Row],[Restante Real]]+Burndown[[#This Row],[Ajuste]])-Burndown[[#This Row],[Restante Previsto]])</f>
        <v>#N/A</v>
      </c>
      <c r="I7" s="76"/>
      <c r="J7" s="76"/>
      <c r="K7" s="76">
        <f>TamanhoSprint-Burndown[[#This Row],[Produzido Real]]</f>
        <v>12</v>
      </c>
      <c r="L7" s="76" t="e">
        <f>IF(Burndown[[#This Row],[Produzido Real]]&lt;&gt;"",Burndown[[#This Row],[Restante Real]]+Burndown[[#This Row],[Ajuste]],NA())</f>
        <v>#N/A</v>
      </c>
    </row>
    <row r="8" spans="1:12">
      <c r="A8" s="76">
        <v>5</v>
      </c>
      <c r="B8" s="77">
        <f>INDEX(Alocação,1,Burndown[[#This Row],[Dia '#]]+1)</f>
        <v>43696</v>
      </c>
      <c r="C8" s="76">
        <f>INDEX(Alocação,ROWS(Alocação)-2,1+Burndown[[#This Row],[Dia '#]])</f>
        <v>21</v>
      </c>
      <c r="D8" s="76">
        <f ca="1">IF(Burndown[[#This Row],[Produzido / Dia (Horas)]]="",0,Burndown[[#This Row],[Produzido / Dia (Horas)]])+OFFSET(Burndown[[#This Row],[Produzido Acumulado (Horas)]],-1,0)</f>
        <v>88</v>
      </c>
      <c r="E8" s="76">
        <f>Velocidade</f>
        <v>10</v>
      </c>
      <c r="F8" s="76">
        <f ca="1">IF(Burndown[[#This Row],[Velocidade]]="",OFFSET(Burndown[[#This Row],[Produzido Previsto]],-1,0),ROUND(Burndown[[#This Row],[Produzido Acumulado (Horas)]]/Burndown[[#This Row],[Velocidade]],2))</f>
        <v>8.8</v>
      </c>
      <c r="G8" s="76">
        <f ca="1">MAX(TamanhoSprint-Burndown[[#This Row],[Produzido Previsto]],0)</f>
        <v>3.2</v>
      </c>
      <c r="H8" s="76" t="e">
        <f ca="1">IF(Burndown[[#This Row],[Produzido Real]]="",NA(),(Burndown[[#This Row],[Restante Real]]+Burndown[[#This Row],[Ajuste]])-Burndown[[#This Row],[Restante Previsto]])</f>
        <v>#N/A</v>
      </c>
      <c r="I8" s="76"/>
      <c r="J8" s="76"/>
      <c r="K8" s="76">
        <f>TamanhoSprint-Burndown[[#This Row],[Produzido Real]]</f>
        <v>12</v>
      </c>
      <c r="L8" s="76" t="e">
        <f>IF(Burndown[[#This Row],[Produzido Real]]&lt;&gt;"",Burndown[[#This Row],[Restante Real]]+Burndown[[#This Row],[Ajuste]],NA())</f>
        <v>#N/A</v>
      </c>
    </row>
    <row r="9" spans="1:12">
      <c r="A9" s="76">
        <v>6</v>
      </c>
      <c r="B9" s="77">
        <f>INDEX(Alocação,1,Burndown[[#This Row],[Dia '#]]+1)</f>
        <v>43697</v>
      </c>
      <c r="C9" s="76">
        <f>INDEX(Alocação,ROWS(Alocação)-2,1+Burndown[[#This Row],[Dia '#]])</f>
        <v>25</v>
      </c>
      <c r="D9" s="76">
        <f ca="1">IF(Burndown[[#This Row],[Produzido / Dia (Horas)]]="",0,Burndown[[#This Row],[Produzido / Dia (Horas)]])+OFFSET(Burndown[[#This Row],[Produzido Acumulado (Horas)]],-1,0)</f>
        <v>113</v>
      </c>
      <c r="E9" s="76">
        <f>Velocidade</f>
        <v>10</v>
      </c>
      <c r="F9" s="76">
        <f ca="1">IF(Burndown[[#This Row],[Velocidade]]="",OFFSET(Burndown[[#This Row],[Produzido Previsto]],-1,0),ROUND(Burndown[[#This Row],[Produzido Acumulado (Horas)]]/Burndown[[#This Row],[Velocidade]],2))</f>
        <v>11.3</v>
      </c>
      <c r="G9" s="76">
        <f ca="1">MAX(TamanhoSprint-Burndown[[#This Row],[Produzido Previsto]],0)</f>
        <v>0.699999999999999</v>
      </c>
      <c r="H9" s="76" t="e">
        <f ca="1">IF(Burndown[[#This Row],[Produzido Real]]="",NA(),(Burndown[[#This Row],[Restante Real]]+Burndown[[#This Row],[Ajuste]])-Burndown[[#This Row],[Restante Previsto]])</f>
        <v>#N/A</v>
      </c>
      <c r="I9" s="76"/>
      <c r="J9" s="76"/>
      <c r="K9" s="76">
        <f>TamanhoSprint-Burndown[[#This Row],[Produzido Real]]</f>
        <v>12</v>
      </c>
      <c r="L9" s="76" t="e">
        <f>IF(Burndown[[#This Row],[Produzido Real]]&lt;&gt;"",Burndown[[#This Row],[Restante Real]]+Burndown[[#This Row],[Ajuste]],NA())</f>
        <v>#N/A</v>
      </c>
    </row>
    <row r="10" spans="1:12">
      <c r="A10" s="76">
        <v>7</v>
      </c>
      <c r="B10" s="77">
        <f>INDEX(Alocação,1,Burndown[[#This Row],[Dia '#]]+1)</f>
        <v>43698</v>
      </c>
      <c r="C10" s="76">
        <f>INDEX(Alocação,ROWS(Alocação)-2,1+Burndown[[#This Row],[Dia '#]])</f>
        <v>25</v>
      </c>
      <c r="D10" s="76">
        <f ca="1">IF(Burndown[[#This Row],[Produzido / Dia (Horas)]]="",0,Burndown[[#This Row],[Produzido / Dia (Horas)]])+OFFSET(Burndown[[#This Row],[Produzido Acumulado (Horas)]],-1,0)</f>
        <v>138</v>
      </c>
      <c r="E10" s="76">
        <f>Velocidade</f>
        <v>10</v>
      </c>
      <c r="F10" s="76">
        <f ca="1">IF(Burndown[[#This Row],[Velocidade]]="",OFFSET(Burndown[[#This Row],[Produzido Previsto]],-1,0),ROUND(Burndown[[#This Row],[Produzido Acumulado (Horas)]]/Burndown[[#This Row],[Velocidade]],2))</f>
        <v>13.8</v>
      </c>
      <c r="G10" s="76">
        <f ca="1">MAX(TamanhoSprint-Burndown[[#This Row],[Produzido Previsto]],0)</f>
        <v>0</v>
      </c>
      <c r="H10" s="76" t="e">
        <f ca="1">IF(Burndown[[#This Row],[Produzido Real]]="",NA(),(Burndown[[#This Row],[Restante Real]]+Burndown[[#This Row],[Ajuste]])-Burndown[[#This Row],[Restante Previsto]])</f>
        <v>#N/A</v>
      </c>
      <c r="I10" s="76"/>
      <c r="J10" s="76"/>
      <c r="K10" s="76">
        <f>TamanhoSprint-Burndown[[#This Row],[Produzido Real]]</f>
        <v>12</v>
      </c>
      <c r="L10" s="76" t="e">
        <f>IF(Burndown[[#This Row],[Produzido Real]]&lt;&gt;"",Burndown[[#This Row],[Restante Real]]+Burndown[[#This Row],[Ajuste]],NA())</f>
        <v>#N/A</v>
      </c>
    </row>
    <row r="11" spans="1:12">
      <c r="A11" s="76">
        <v>8</v>
      </c>
      <c r="B11" s="77">
        <f>INDEX(Alocação,1,Burndown[[#This Row],[Dia '#]]+1)</f>
        <v>43699</v>
      </c>
      <c r="C11" s="76">
        <f>INDEX(Alocação,ROWS(Alocação)-2,1+Burndown[[#This Row],[Dia '#]])</f>
        <v>25</v>
      </c>
      <c r="D11" s="76">
        <f ca="1">IF(Burndown[[#This Row],[Produzido / Dia (Horas)]]="",0,Burndown[[#This Row],[Produzido / Dia (Horas)]])+OFFSET(Burndown[[#This Row],[Produzido Acumulado (Horas)]],-1,0)</f>
        <v>163</v>
      </c>
      <c r="E11" s="76">
        <f>Velocidade</f>
        <v>10</v>
      </c>
      <c r="F11" s="76">
        <f ca="1">IF(Burndown[[#This Row],[Velocidade]]="",OFFSET(Burndown[[#This Row],[Produzido Previsto]],-1,0),ROUND(Burndown[[#This Row],[Produzido Acumulado (Horas)]]/Burndown[[#This Row],[Velocidade]],2))</f>
        <v>16.3</v>
      </c>
      <c r="G11" s="76">
        <f ca="1">MAX(TamanhoSprint-Burndown[[#This Row],[Produzido Previsto]],0)</f>
        <v>0</v>
      </c>
      <c r="H11" s="76" t="e">
        <f ca="1">IF(Burndown[[#This Row],[Produzido Real]]="",NA(),(Burndown[[#This Row],[Restante Real]]+Burndown[[#This Row],[Ajuste]])-Burndown[[#This Row],[Restante Previsto]])</f>
        <v>#N/A</v>
      </c>
      <c r="I11" s="76"/>
      <c r="J11" s="76"/>
      <c r="K11" s="76">
        <f>TamanhoSprint-Burndown[[#This Row],[Produzido Real]]</f>
        <v>12</v>
      </c>
      <c r="L11" s="76" t="e">
        <f>IF(Burndown[[#This Row],[Produzido Real]]&lt;&gt;"",Burndown[[#This Row],[Restante Real]]+Burndown[[#This Row],[Ajuste]],NA())</f>
        <v>#N/A</v>
      </c>
    </row>
    <row r="12" spans="1:12">
      <c r="A12" s="76">
        <v>9</v>
      </c>
      <c r="B12" s="77">
        <f>INDEX(Alocação,1,Burndown[[#This Row],[Dia '#]]+1)</f>
        <v>43700</v>
      </c>
      <c r="C12" s="76">
        <f>INDEX(Alocação,ROWS(Alocação)-2,1+Burndown[[#This Row],[Dia '#]])</f>
        <v>11</v>
      </c>
      <c r="D12" s="76">
        <f ca="1">IF(Burndown[[#This Row],[Produzido / Dia (Horas)]]="",0,Burndown[[#This Row],[Produzido / Dia (Horas)]])+OFFSET(Burndown[[#This Row],[Produzido Acumulado (Horas)]],-1,0)</f>
        <v>174</v>
      </c>
      <c r="E12" s="76">
        <f>Velocidade</f>
        <v>10</v>
      </c>
      <c r="F12" s="76">
        <f ca="1">IF(Burndown[[#This Row],[Velocidade]]="",OFFSET(Burndown[[#This Row],[Produzido Previsto]],-1,0),ROUND(Burndown[[#This Row],[Produzido Acumulado (Horas)]]/Burndown[[#This Row],[Velocidade]],2))</f>
        <v>17.4</v>
      </c>
      <c r="G12" s="76">
        <f ca="1">MAX(TamanhoSprint-Burndown[[#This Row],[Produzido Previsto]],0)</f>
        <v>0</v>
      </c>
      <c r="H12" s="76" t="e">
        <f ca="1">IF(Burndown[[#This Row],[Produzido Real]]="",NA(),(Burndown[[#This Row],[Restante Real]]+Burndown[[#This Row],[Ajuste]])-Burndown[[#This Row],[Restante Previsto]])</f>
        <v>#N/A</v>
      </c>
      <c r="I12" s="76"/>
      <c r="J12" s="76"/>
      <c r="K12" s="76">
        <f>TamanhoSprint-Burndown[[#This Row],[Produzido Real]]</f>
        <v>12</v>
      </c>
      <c r="L12" s="76" t="e">
        <f>IF(Burndown[[#This Row],[Produzido Real]]&lt;&gt;"",Burndown[[#This Row],[Restante Real]]+Burndown[[#This Row],[Ajuste]],NA())</f>
        <v>#N/A</v>
      </c>
    </row>
  </sheetData>
  <mergeCells count="1">
    <mergeCell ref="O2:Y2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D11" sqref="D11"/>
    </sheetView>
  </sheetViews>
  <sheetFormatPr defaultColWidth="9" defaultRowHeight="15" outlineLevelRow="6" outlineLevelCol="5"/>
  <cols>
    <col min="1" max="1" width="1.85714285714286" customWidth="1"/>
    <col min="2" max="2" width="51.4285714285714" style="65" customWidth="1"/>
    <col min="3" max="3" width="21.1428571428571" customWidth="1"/>
    <col min="4" max="4" width="15.7142857142857" customWidth="1"/>
    <col min="5" max="5" width="59.2857142857143" style="65" customWidth="1"/>
    <col min="6" max="6" width="17.2857142857143" customWidth="1"/>
  </cols>
  <sheetData>
    <row r="2" ht="18.75" spans="2:6">
      <c r="B2" s="66" t="s">
        <v>76</v>
      </c>
      <c r="C2" s="67" t="s">
        <v>29</v>
      </c>
      <c r="D2" s="67" t="s">
        <v>77</v>
      </c>
      <c r="E2" s="66" t="s">
        <v>78</v>
      </c>
      <c r="F2" s="67" t="s">
        <v>79</v>
      </c>
    </row>
    <row r="3" spans="2:6">
      <c r="B3" s="68"/>
      <c r="C3" s="69"/>
      <c r="D3" s="70"/>
      <c r="E3" s="71"/>
      <c r="F3" s="70"/>
    </row>
    <row r="4" spans="2:6">
      <c r="B4" s="72"/>
      <c r="C4" s="69"/>
      <c r="D4" s="70"/>
      <c r="E4" s="71"/>
      <c r="F4" s="70"/>
    </row>
    <row r="5" spans="2:6">
      <c r="B5" s="68"/>
      <c r="C5" s="69"/>
      <c r="D5" s="70"/>
      <c r="E5" s="71"/>
      <c r="F5" s="70"/>
    </row>
    <row r="6" spans="2:6">
      <c r="B6" s="72"/>
      <c r="C6" s="69"/>
      <c r="D6" s="70"/>
      <c r="E6" s="71"/>
      <c r="F6" s="70"/>
    </row>
    <row r="7" spans="2:6">
      <c r="B7" s="68"/>
      <c r="C7" s="69"/>
      <c r="D7" s="70"/>
      <c r="E7" s="71"/>
      <c r="F7" s="70"/>
    </row>
  </sheetData>
  <dataValidations count="1">
    <dataValidation type="list" allowBlank="1" showInputMessage="1" showErrorMessage="1" sqref="C3:C7">
      <formula1>Time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showGridLines="0" workbookViewId="0">
      <selection activeCell="F24" sqref="F24"/>
    </sheetView>
  </sheetViews>
  <sheetFormatPr defaultColWidth="9" defaultRowHeight="15" outlineLevelCol="7"/>
  <cols>
    <col min="1" max="1" width="2.85714285714286" customWidth="1"/>
    <col min="2" max="2" width="11.2857142857143" customWidth="1"/>
    <col min="3" max="3" width="10.1428571428571" customWidth="1"/>
    <col min="4" max="4" width="9.28571428571429" customWidth="1"/>
  </cols>
  <sheetData>
    <row r="1" spans="2:2">
      <c r="B1" s="54"/>
    </row>
    <row r="2" spans="2:8">
      <c r="B2" s="55" t="s">
        <v>65</v>
      </c>
      <c r="C2" s="55" t="s">
        <v>50</v>
      </c>
      <c r="D2" s="55" t="s">
        <v>53</v>
      </c>
      <c r="E2" s="55" t="s">
        <v>55</v>
      </c>
      <c r="F2" s="55" t="s">
        <v>58</v>
      </c>
      <c r="G2" s="55" t="s">
        <v>60</v>
      </c>
      <c r="H2" s="55" t="s">
        <v>62</v>
      </c>
    </row>
    <row r="3" spans="2:8">
      <c r="B3" s="56">
        <f>INDEX(Alocação,1,Burndown[[#This Row],[Dia '#]]+1)</f>
        <v>43689</v>
      </c>
      <c r="C3" s="57">
        <v>0.05</v>
      </c>
      <c r="D3" s="57">
        <v>0.02</v>
      </c>
      <c r="E3" s="58"/>
      <c r="F3" s="58"/>
      <c r="G3" s="58">
        <v>0.05</v>
      </c>
      <c r="H3" s="58"/>
    </row>
    <row r="4" spans="2:8">
      <c r="B4" s="59">
        <f>INDEX(Alocação,1,Burndown[[#This Row],[Dia '#]]+1)</f>
        <v>43690</v>
      </c>
      <c r="C4" s="60">
        <v>0.3</v>
      </c>
      <c r="D4" s="58">
        <v>0.32</v>
      </c>
      <c r="E4" s="61"/>
      <c r="F4" s="58"/>
      <c r="G4" s="58">
        <v>0.5</v>
      </c>
      <c r="H4" s="58"/>
    </row>
    <row r="5" spans="2:8">
      <c r="B5" s="56">
        <f>INDEX(Alocação,1,Burndown[[#This Row],[Dia '#]]+1)</f>
        <v>43691</v>
      </c>
      <c r="C5" s="62"/>
      <c r="D5" s="63"/>
      <c r="E5" s="63"/>
      <c r="F5" s="58"/>
      <c r="G5" s="58"/>
      <c r="H5" s="58"/>
    </row>
    <row r="6" spans="2:8">
      <c r="B6" s="59">
        <f>INDEX(Alocação,1,Burndown[[#This Row],[Dia '#]]+1)</f>
        <v>43692</v>
      </c>
      <c r="C6" s="62"/>
      <c r="D6" s="63"/>
      <c r="E6" s="63"/>
      <c r="F6" s="61"/>
      <c r="G6" s="63"/>
      <c r="H6" s="63"/>
    </row>
    <row r="7" spans="2:8">
      <c r="B7" s="56">
        <f>INDEX(Alocação,1,Burndown[[#This Row],[Dia '#]]+1)</f>
        <v>43693</v>
      </c>
      <c r="C7" s="62"/>
      <c r="D7" s="63"/>
      <c r="E7" s="63"/>
      <c r="F7" s="63"/>
      <c r="G7" s="63"/>
      <c r="H7" s="63"/>
    </row>
    <row r="8" spans="2:8">
      <c r="B8" s="59">
        <f>INDEX(Alocação,1,Burndown[[#This Row],[Dia '#]]+1)</f>
        <v>43696</v>
      </c>
      <c r="C8" s="64"/>
      <c r="D8" s="61"/>
      <c r="E8" s="63"/>
      <c r="F8" s="63"/>
      <c r="G8" s="61"/>
      <c r="H8" s="63"/>
    </row>
    <row r="9" spans="2:8">
      <c r="B9" s="56">
        <f>INDEX(Alocação,1,Burndown[[#This Row],[Dia '#]]+1)</f>
        <v>43697</v>
      </c>
      <c r="C9" s="64"/>
      <c r="D9" s="61"/>
      <c r="E9" s="61"/>
      <c r="F9" s="63"/>
      <c r="G9" s="63"/>
      <c r="H9" s="63"/>
    </row>
    <row r="10" spans="2:2">
      <c r="B10" s="59">
        <f>INDEX(Alocação,1,Burndown[[#This Row],[Dia '#]]+1)</f>
        <v>43698</v>
      </c>
    </row>
    <row r="11" spans="2:2">
      <c r="B11" s="56">
        <f>INDEX(Alocação,1,Burndown[[#This Row],[Dia '#]]+1)</f>
        <v>43699</v>
      </c>
    </row>
    <row r="12" spans="2:2">
      <c r="B12" s="59">
        <f>INDEX(Alocação,1,Burndown[[#This Row],[Dia '#]]+1)</f>
        <v>43700</v>
      </c>
    </row>
  </sheetData>
  <conditionalFormatting sqref="B1">
    <cfRule type="expression" dxfId="31" priority="1">
      <formula>$B1=TODAY()</formula>
    </cfRule>
  </conditionalFormatting>
  <conditionalFormatting sqref="C4">
    <cfRule type="expression" dxfId="31" priority="3">
      <formula>$B4=TODAY()</formula>
    </cfRule>
  </conditionalFormatting>
  <conditionalFormatting sqref="C3;D3:H4;C5:H9">
    <cfRule type="expression" dxfId="31" priority="5">
      <formula>$B3=TODAY()</formula>
    </cfRule>
  </conditionalFormatting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B1" workbookViewId="0">
      <selection activeCell="B2" sqref="B2:H5"/>
    </sheetView>
  </sheetViews>
  <sheetFormatPr defaultColWidth="9" defaultRowHeight="15"/>
  <cols>
    <col min="1" max="1" width="2.57142857142857" style="21" customWidth="1"/>
    <col min="2" max="2" width="12.4285714285714" style="22" customWidth="1"/>
    <col min="3" max="3" width="53.5714285714286" style="24" customWidth="1"/>
    <col min="4" max="5" width="19.1428571428571" style="22" customWidth="1"/>
    <col min="6" max="6" width="21" style="22" customWidth="1"/>
    <col min="7" max="7" width="18.5714285714286" style="22" customWidth="1"/>
    <col min="8" max="8" width="30.7142857142857" style="22" customWidth="1"/>
    <col min="9" max="16384" width="9.14285714285714" style="25"/>
  </cols>
  <sheetData>
    <row r="1" s="18" customFormat="1" spans="2:8">
      <c r="B1" s="26"/>
      <c r="C1" s="28"/>
      <c r="D1" s="26"/>
      <c r="E1" s="26"/>
      <c r="F1" s="26"/>
      <c r="G1" s="26"/>
      <c r="H1" s="26"/>
    </row>
    <row r="2" s="19" customFormat="1" ht="30" customHeight="1" spans="1:9">
      <c r="A2" s="29"/>
      <c r="B2" s="30" t="s">
        <v>80</v>
      </c>
      <c r="C2" s="30"/>
      <c r="D2" s="30"/>
      <c r="E2" s="30"/>
      <c r="F2" s="30"/>
      <c r="G2" s="30"/>
      <c r="H2" s="30"/>
      <c r="I2" s="31"/>
    </row>
    <row r="3" ht="24" customHeight="1" spans="1:9">
      <c r="A3" s="32"/>
      <c r="B3" s="33" t="s">
        <v>81</v>
      </c>
      <c r="C3" s="35" t="s">
        <v>44</v>
      </c>
      <c r="D3" s="33" t="s">
        <v>82</v>
      </c>
      <c r="E3" s="33" t="s">
        <v>83</v>
      </c>
      <c r="F3" s="33" t="s">
        <v>84</v>
      </c>
      <c r="G3" s="33" t="s">
        <v>49</v>
      </c>
      <c r="H3" s="33" t="s">
        <v>85</v>
      </c>
      <c r="I3" s="21"/>
    </row>
    <row r="4" hidden="1" spans="1:9">
      <c r="A4" s="32"/>
      <c r="B4" s="45">
        <v>42786</v>
      </c>
      <c r="C4" s="43" t="s">
        <v>86</v>
      </c>
      <c r="D4" s="45"/>
      <c r="E4" s="45" t="s">
        <v>87</v>
      </c>
      <c r="F4" s="50" t="s">
        <v>88</v>
      </c>
      <c r="G4" s="50" t="s">
        <v>89</v>
      </c>
      <c r="H4" s="43"/>
      <c r="I4" s="21"/>
    </row>
    <row r="5" ht="30" spans="1:9">
      <c r="A5" s="32"/>
      <c r="B5" s="45">
        <v>43690</v>
      </c>
      <c r="C5" s="43" t="s">
        <v>90</v>
      </c>
      <c r="D5" s="45"/>
      <c r="E5" s="45"/>
      <c r="F5" s="50" t="s">
        <v>91</v>
      </c>
      <c r="G5" s="50" t="s">
        <v>92</v>
      </c>
      <c r="H5" s="43"/>
      <c r="I5" s="21"/>
    </row>
    <row r="6" hidden="1" spans="1:9">
      <c r="A6" s="32"/>
      <c r="B6" s="45"/>
      <c r="C6" s="43"/>
      <c r="D6" s="45"/>
      <c r="E6" s="45"/>
      <c r="F6" s="50"/>
      <c r="G6" s="50"/>
      <c r="H6" s="43"/>
      <c r="I6" s="21"/>
    </row>
    <row r="7" hidden="1" spans="1:9">
      <c r="A7" s="32"/>
      <c r="B7" s="45"/>
      <c r="C7" s="43"/>
      <c r="D7" s="45"/>
      <c r="E7" s="45"/>
      <c r="F7" s="50"/>
      <c r="G7" s="50"/>
      <c r="H7" s="43"/>
      <c r="I7" s="21"/>
    </row>
    <row r="8" hidden="1" spans="1:9">
      <c r="A8" s="32"/>
      <c r="B8" s="45"/>
      <c r="C8" s="43"/>
      <c r="D8" s="45"/>
      <c r="E8" s="45"/>
      <c r="F8" s="51"/>
      <c r="G8" s="50"/>
      <c r="H8" s="43"/>
      <c r="I8" s="21"/>
    </row>
    <row r="9" spans="1:9">
      <c r="A9" s="32"/>
      <c r="B9" s="45"/>
      <c r="C9" s="43"/>
      <c r="D9" s="45"/>
      <c r="E9" s="45"/>
      <c r="F9" s="50"/>
      <c r="G9" s="50"/>
      <c r="H9" s="43"/>
      <c r="I9" s="21"/>
    </row>
    <row r="10" spans="1:9">
      <c r="A10" s="32"/>
      <c r="B10" s="45"/>
      <c r="C10" s="43"/>
      <c r="D10" s="45"/>
      <c r="E10" s="45"/>
      <c r="F10" s="50"/>
      <c r="G10" s="50"/>
      <c r="H10" s="43"/>
      <c r="I10" s="21"/>
    </row>
    <row r="12" spans="7:7">
      <c r="G12" s="52"/>
    </row>
    <row r="14" spans="3:3">
      <c r="C14" s="53"/>
    </row>
  </sheetData>
  <mergeCells count="1">
    <mergeCell ref="B2:H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3" sqref="F13"/>
    </sheetView>
  </sheetViews>
  <sheetFormatPr defaultColWidth="9" defaultRowHeight="15" outlineLevelCol="5"/>
  <cols>
    <col min="1" max="1" width="3.57142857142857" style="21" customWidth="1"/>
    <col min="2" max="2" width="18.5714285714286" style="22" customWidth="1"/>
    <col min="3" max="3" width="18.5714285714286" style="23" customWidth="1"/>
    <col min="4" max="4" width="81.4285714285714" style="24" customWidth="1"/>
    <col min="5" max="16384" width="9.14285714285714" style="25"/>
  </cols>
  <sheetData>
    <row r="1" s="18" customFormat="1" spans="2:4">
      <c r="B1" s="26"/>
      <c r="C1" s="27"/>
      <c r="D1" s="28"/>
    </row>
    <row r="2" s="19" customFormat="1" ht="30" customHeight="1" spans="1:5">
      <c r="A2" s="29"/>
      <c r="B2" s="30" t="s">
        <v>93</v>
      </c>
      <c r="C2" s="30"/>
      <c r="D2" s="30"/>
      <c r="E2" s="31"/>
    </row>
    <row r="3" ht="24" customHeight="1" spans="1:5">
      <c r="A3" s="32"/>
      <c r="B3" s="33" t="s">
        <v>81</v>
      </c>
      <c r="C3" s="34" t="s">
        <v>94</v>
      </c>
      <c r="D3" s="35" t="s">
        <v>44</v>
      </c>
      <c r="E3" s="21"/>
    </row>
    <row r="4" s="20" customFormat="1" spans="1:5">
      <c r="A4" s="36"/>
      <c r="B4" s="37">
        <v>43689</v>
      </c>
      <c r="C4" s="38">
        <v>0.5</v>
      </c>
      <c r="D4" s="39" t="s">
        <v>95</v>
      </c>
      <c r="E4" s="40"/>
    </row>
    <row r="5" s="20" customFormat="1" spans="1:5">
      <c r="A5" s="36"/>
      <c r="B5" s="41">
        <v>43689</v>
      </c>
      <c r="C5" s="42">
        <v>3</v>
      </c>
      <c r="D5" s="43" t="s">
        <v>96</v>
      </c>
      <c r="E5" s="40"/>
    </row>
    <row r="6" s="20" customFormat="1" spans="1:6">
      <c r="A6" s="36"/>
      <c r="B6" s="37">
        <v>43690</v>
      </c>
      <c r="C6" s="38">
        <v>2</v>
      </c>
      <c r="D6" s="39" t="s">
        <v>95</v>
      </c>
      <c r="E6" s="40"/>
      <c r="F6" s="44"/>
    </row>
    <row r="7" s="20" customFormat="1" spans="1:5">
      <c r="A7" s="36"/>
      <c r="B7" s="45">
        <v>43690</v>
      </c>
      <c r="C7" s="42">
        <v>3</v>
      </c>
      <c r="D7" s="46" t="s">
        <v>97</v>
      </c>
      <c r="E7" s="40"/>
    </row>
    <row r="8" s="20" customFormat="1" spans="1:5">
      <c r="A8" s="36"/>
      <c r="B8" s="37"/>
      <c r="C8" s="38"/>
      <c r="D8" s="39"/>
      <c r="E8" s="40"/>
    </row>
    <row r="9" spans="1:5">
      <c r="A9" s="32"/>
      <c r="B9" s="45"/>
      <c r="C9" s="42"/>
      <c r="D9" s="46"/>
      <c r="E9" s="21"/>
    </row>
    <row r="10" spans="2:4">
      <c r="B10" s="47"/>
      <c r="C10" s="48"/>
      <c r="D10" s="49"/>
    </row>
  </sheetData>
  <mergeCells count="1">
    <mergeCell ref="B2:D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8"/>
  <sheetViews>
    <sheetView workbookViewId="0">
      <selection activeCell="B10" sqref="B10"/>
    </sheetView>
  </sheetViews>
  <sheetFormatPr defaultColWidth="50.7142857142857" defaultRowHeight="15" outlineLevelRow="7"/>
  <cols>
    <col min="1" max="1" width="1.28571428571429" style="3" customWidth="1"/>
    <col min="2" max="2" width="10.7142857142857" style="3" customWidth="1"/>
    <col min="3" max="3" width="41.4285714285714" style="11" customWidth="1"/>
    <col min="4" max="4" width="7.57142857142857" style="3" customWidth="1"/>
    <col min="5" max="5" width="10.8571428571429" style="3" customWidth="1"/>
    <col min="6" max="6" width="12.8571428571429" style="3" customWidth="1"/>
    <col min="7" max="7" width="15" style="3" customWidth="1"/>
    <col min="8" max="8" width="14" style="3" customWidth="1"/>
    <col min="9" max="9" width="10.2857142857143" style="3" customWidth="1"/>
    <col min="10" max="10" width="8.71428571428571" style="3" customWidth="1"/>
    <col min="11" max="11" width="11.5714285714286" style="3" customWidth="1"/>
    <col min="12" max="12" width="19.7142857142857" style="3" customWidth="1"/>
    <col min="13" max="13" width="12.1428571428571" style="3" customWidth="1"/>
    <col min="14" max="14" width="14.1428571428571" style="3" hidden="1" customWidth="1"/>
    <col min="15" max="15" width="0.571428571428571" style="3" hidden="1" customWidth="1"/>
    <col min="16" max="16" width="10" style="3" customWidth="1"/>
    <col min="17" max="16384" width="50.7142857142857" style="3"/>
  </cols>
  <sheetData>
    <row r="2" s="10" customFormat="1" ht="57.75" customHeight="1" spans="2:16">
      <c r="B2" s="12" t="s">
        <v>43</v>
      </c>
      <c r="C2" s="12" t="s">
        <v>44</v>
      </c>
      <c r="D2" s="12" t="s">
        <v>34</v>
      </c>
      <c r="E2" s="12" t="s">
        <v>98</v>
      </c>
      <c r="F2" s="12" t="s">
        <v>99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104</v>
      </c>
      <c r="L2" s="12" t="s">
        <v>105</v>
      </c>
      <c r="M2" s="12" t="s">
        <v>106</v>
      </c>
      <c r="N2" s="12" t="s">
        <v>107</v>
      </c>
      <c r="O2" s="12" t="s">
        <v>85</v>
      </c>
      <c r="P2" s="12" t="s">
        <v>108</v>
      </c>
    </row>
    <row r="3" spans="2:16">
      <c r="B3" s="13" t="s">
        <v>50</v>
      </c>
      <c r="C3" s="13" t="s">
        <v>51</v>
      </c>
      <c r="D3" s="14">
        <v>2</v>
      </c>
      <c r="E3" s="14" t="str">
        <f>IF(Risco[[#This Row],[Peso Risco]]&lt;=2,"BAIXO",IF(Risco[[#This Row],[Peso Risco]]&lt;=5,"MÉDIO","ALTO"))</f>
        <v>BAIXO</v>
      </c>
      <c r="F3" s="15" t="s">
        <v>109</v>
      </c>
      <c r="G3" s="16" t="s">
        <v>110</v>
      </c>
      <c r="H3" s="15" t="s">
        <v>109</v>
      </c>
      <c r="I3" s="16" t="str">
        <f>IF(D3&lt;=3,Util!$W$4,IF(D3&lt;=5,Util!$W$5,Util!$W$6))</f>
        <v>Boa</v>
      </c>
      <c r="J3" s="16" t="s">
        <v>110</v>
      </c>
      <c r="K3" s="16" t="s">
        <v>111</v>
      </c>
      <c r="L3" s="16" t="s">
        <v>112</v>
      </c>
      <c r="M3" s="16" t="s">
        <v>113</v>
      </c>
      <c r="N3" s="16"/>
      <c r="O3" s="16"/>
      <c r="P3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4" spans="2:16">
      <c r="B4" s="13" t="s">
        <v>53</v>
      </c>
      <c r="C4" s="13" t="s">
        <v>54</v>
      </c>
      <c r="D4" s="17">
        <v>3</v>
      </c>
      <c r="E4" s="14" t="str">
        <f>IF(Risco[[#This Row],[Peso Risco]]&lt;=2,"BAIXO",IF(Risco[[#This Row],[Peso Risco]]&lt;=5,"MÉDIO","ALTO"))</f>
        <v>BAIXO</v>
      </c>
      <c r="F4" s="15" t="s">
        <v>109</v>
      </c>
      <c r="G4" s="16" t="s">
        <v>110</v>
      </c>
      <c r="H4" s="15" t="s">
        <v>109</v>
      </c>
      <c r="I4" s="16" t="str">
        <f>IF(D4&lt;=3,Util!$W$4,IF(D4&lt;=5,Util!$W$5,Util!$W$6))</f>
        <v>Boa</v>
      </c>
      <c r="J4" s="16" t="s">
        <v>110</v>
      </c>
      <c r="K4" s="16" t="s">
        <v>111</v>
      </c>
      <c r="L4" s="16" t="s">
        <v>112</v>
      </c>
      <c r="M4" s="16" t="s">
        <v>113</v>
      </c>
      <c r="N4" s="16"/>
      <c r="O4" s="16"/>
      <c r="P4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5" spans="2:16">
      <c r="B5" s="13" t="s">
        <v>55</v>
      </c>
      <c r="C5" s="13" t="s">
        <v>56</v>
      </c>
      <c r="D5" s="17">
        <v>2</v>
      </c>
      <c r="E5" s="14" t="str">
        <f>IF(Risco[[#This Row],[Peso Risco]]&lt;=2,"BAIXO",IF(Risco[[#This Row],[Peso Risco]]&lt;=5,"MÉDIO","ALTO"))</f>
        <v>MÉDIO</v>
      </c>
      <c r="F5" s="15" t="s">
        <v>109</v>
      </c>
      <c r="G5" s="16" t="s">
        <v>110</v>
      </c>
      <c r="H5" s="15" t="s">
        <v>109</v>
      </c>
      <c r="I5" s="16" t="str">
        <f>IF(D5&lt;=3,Util!$W$4,IF(D5&lt;=5,Util!$W$5,Util!$W$6))</f>
        <v>Boa</v>
      </c>
      <c r="J5" s="16" t="s">
        <v>110</v>
      </c>
      <c r="K5" s="16" t="s">
        <v>111</v>
      </c>
      <c r="L5" s="16" t="s">
        <v>112</v>
      </c>
      <c r="M5" s="16" t="s">
        <v>114</v>
      </c>
      <c r="N5" s="16"/>
      <c r="O5" s="16"/>
      <c r="P5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6" spans="2:16">
      <c r="B6" s="13" t="s">
        <v>58</v>
      </c>
      <c r="C6" s="13" t="s">
        <v>59</v>
      </c>
      <c r="D6" s="17">
        <v>1</v>
      </c>
      <c r="E6" s="14" t="str">
        <f>IF(Risco[[#This Row],[Peso Risco]]&lt;=2,"BAIXO",IF(Risco[[#This Row],[Peso Risco]]&lt;=5,"MÉDIO","ALTO"))</f>
        <v>BAIXO</v>
      </c>
      <c r="F6" s="15" t="s">
        <v>109</v>
      </c>
      <c r="G6" s="16" t="s">
        <v>110</v>
      </c>
      <c r="H6" s="15" t="s">
        <v>109</v>
      </c>
      <c r="I6" s="16" t="s">
        <v>115</v>
      </c>
      <c r="J6" s="16" t="s">
        <v>110</v>
      </c>
      <c r="K6" s="16" t="s">
        <v>111</v>
      </c>
      <c r="L6" s="16" t="s">
        <v>112</v>
      </c>
      <c r="M6" s="16" t="s">
        <v>113</v>
      </c>
      <c r="N6" s="16"/>
      <c r="O6" s="16"/>
      <c r="P6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7" spans="2:16">
      <c r="B7" s="13" t="s">
        <v>60</v>
      </c>
      <c r="C7" s="13" t="s">
        <v>61</v>
      </c>
      <c r="D7" s="17">
        <v>2</v>
      </c>
      <c r="E7" s="14" t="str">
        <f>IF(Risco[[#This Row],[Peso Risco]]&lt;=2,"BAIXO",IF(Risco[[#This Row],[Peso Risco]]&lt;=5,"MÉDIO","ALTO"))</f>
        <v>MÉDIO</v>
      </c>
      <c r="F7" s="15" t="s">
        <v>109</v>
      </c>
      <c r="G7" s="16" t="s">
        <v>110</v>
      </c>
      <c r="H7" s="15" t="s">
        <v>109</v>
      </c>
      <c r="I7" s="16" t="str">
        <f>IF(D7&lt;=3,Util!$W$4,IF(D7&lt;=5,Util!$W$5,Util!$W$6))</f>
        <v>Boa</v>
      </c>
      <c r="J7" s="16" t="s">
        <v>110</v>
      </c>
      <c r="K7" s="16" t="s">
        <v>111</v>
      </c>
      <c r="L7" s="16" t="s">
        <v>112</v>
      </c>
      <c r="M7" s="16" t="s">
        <v>114</v>
      </c>
      <c r="N7" s="16"/>
      <c r="O7" s="16"/>
      <c r="P7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8" spans="2:16">
      <c r="B8" s="13" t="s">
        <v>62</v>
      </c>
      <c r="C8" s="13" t="s">
        <v>63</v>
      </c>
      <c r="D8" s="17">
        <v>2</v>
      </c>
      <c r="E8" s="14" t="str">
        <f>IF(Risco[[#This Row],[Peso Risco]]&lt;=2,"BAIXO",IF(Risco[[#This Row],[Peso Risco]]&lt;=5,"MÉDIO","ALTO"))</f>
        <v>BAIXO</v>
      </c>
      <c r="F8" s="15" t="s">
        <v>109</v>
      </c>
      <c r="G8" s="16" t="s">
        <v>110</v>
      </c>
      <c r="H8" s="15" t="s">
        <v>109</v>
      </c>
      <c r="I8" s="16" t="str">
        <f>IF(D8&lt;=3,Util!$W$4,IF(D8&lt;=5,Util!$W$5,Util!$W$6))</f>
        <v>Boa</v>
      </c>
      <c r="J8" s="16" t="s">
        <v>110</v>
      </c>
      <c r="K8" s="16" t="s">
        <v>111</v>
      </c>
      <c r="L8" s="16" t="s">
        <v>112</v>
      </c>
      <c r="M8" s="16" t="s">
        <v>113</v>
      </c>
      <c r="N8" s="16"/>
      <c r="O8" s="16"/>
      <c r="P8" s="16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</sheetData>
  <conditionalFormatting sqref="E3:E8">
    <cfRule type="cellIs" dxfId="57" priority="19" operator="equal">
      <formula>"BAIXO"</formula>
    </cfRule>
    <cfRule type="cellIs" dxfId="58" priority="20" operator="equal">
      <formula>"MÉDIO"</formula>
    </cfRule>
    <cfRule type="cellIs" dxfId="59" priority="21" operator="equal">
      <formula>"ALTO"</formula>
    </cfRule>
  </conditionalFormatting>
  <dataValidations count="6">
    <dataValidation type="list" allowBlank="1" showInputMessage="1" showErrorMessage="1" sqref="M3:M8">
      <formula1>Util!$Q$4:$Q$6</formula1>
    </dataValidation>
    <dataValidation type="list" allowBlank="1" showInputMessage="1" showErrorMessage="1" sqref="K3:K8">
      <formula1>Util!$K$4:$K$5</formula1>
    </dataValidation>
    <dataValidation type="list" allowBlank="1" showInputMessage="1" showErrorMessage="1" sqref="F3:F8;H3:H8">
      <formula1>Util!$E$4:$E$6</formula1>
    </dataValidation>
    <dataValidation type="list" allowBlank="1" showInputMessage="1" showErrorMessage="1" sqref="G3:G8">
      <formula1>Util!$T$4:$T$6</formula1>
    </dataValidation>
    <dataValidation type="list" allowBlank="1" showInputMessage="1" showErrorMessage="1" sqref="J3:J8">
      <formula1>Util!$H$4:$H$6</formula1>
    </dataValidation>
    <dataValidation type="list" allowBlank="1" showInputMessage="1" showErrorMessage="1" sqref="L3:L8">
      <formula1>Util!$N$4:$N$5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5"/>
  <sheetViews>
    <sheetView workbookViewId="0">
      <selection activeCell="B4" sqref="B4:C6"/>
    </sheetView>
  </sheetViews>
  <sheetFormatPr defaultColWidth="9" defaultRowHeight="15" outlineLevelCol="3"/>
  <cols>
    <col min="1" max="1" width="4.85714285714286" style="3" customWidth="1"/>
    <col min="2" max="2" width="29.2857142857143" style="3" customWidth="1"/>
    <col min="3" max="3" width="17.4285714285714" style="3" customWidth="1"/>
    <col min="4" max="4" width="45.4285714285714" style="3" customWidth="1"/>
    <col min="5" max="16384" width="9" style="3"/>
  </cols>
  <sheetData>
    <row r="2" ht="23.25" customHeight="1" spans="2:4">
      <c r="B2" s="8" t="s">
        <v>116</v>
      </c>
      <c r="C2" s="9"/>
      <c r="D2" s="9"/>
    </row>
    <row r="3" spans="2:4">
      <c r="B3" s="6" t="s">
        <v>117</v>
      </c>
      <c r="C3" s="6" t="s">
        <v>118</v>
      </c>
      <c r="D3" s="6" t="s">
        <v>119</v>
      </c>
    </row>
    <row r="4" spans="2:4">
      <c r="B4" s="7" t="s">
        <v>99</v>
      </c>
      <c r="C4" s="7" t="s">
        <v>109</v>
      </c>
      <c r="D4" s="148" t="s">
        <v>120</v>
      </c>
    </row>
    <row r="5" spans="2:4">
      <c r="B5" s="7" t="s">
        <v>99</v>
      </c>
      <c r="C5" s="7" t="s">
        <v>121</v>
      </c>
      <c r="D5" s="148" t="s">
        <v>122</v>
      </c>
    </row>
    <row r="6" ht="30" spans="2:4">
      <c r="B6" s="7" t="s">
        <v>99</v>
      </c>
      <c r="C6" s="7" t="s">
        <v>123</v>
      </c>
      <c r="D6" s="148" t="s">
        <v>124</v>
      </c>
    </row>
    <row r="7" ht="75" spans="2:4">
      <c r="B7" s="7" t="s">
        <v>100</v>
      </c>
      <c r="C7" s="7" t="s">
        <v>109</v>
      </c>
      <c r="D7" s="148" t="s">
        <v>125</v>
      </c>
    </row>
    <row r="8" ht="30" spans="2:4">
      <c r="B8" s="7" t="s">
        <v>100</v>
      </c>
      <c r="C8" s="7" t="s">
        <v>121</v>
      </c>
      <c r="D8" s="148" t="s">
        <v>126</v>
      </c>
    </row>
    <row r="9" ht="30" spans="2:4">
      <c r="B9" s="7" t="s">
        <v>100</v>
      </c>
      <c r="C9" s="7" t="s">
        <v>123</v>
      </c>
      <c r="D9" s="148" t="s">
        <v>127</v>
      </c>
    </row>
    <row r="10" ht="165" spans="2:4">
      <c r="B10" s="7" t="s">
        <v>101</v>
      </c>
      <c r="C10" s="7" t="s">
        <v>109</v>
      </c>
      <c r="D10" s="148" t="s">
        <v>128</v>
      </c>
    </row>
    <row r="11" ht="30" spans="2:4">
      <c r="B11" s="7" t="s">
        <v>101</v>
      </c>
      <c r="C11" s="7" t="s">
        <v>121</v>
      </c>
      <c r="D11" s="148" t="s">
        <v>129</v>
      </c>
    </row>
    <row r="12" ht="30" spans="2:4">
      <c r="B12" s="7" t="s">
        <v>101</v>
      </c>
      <c r="C12" s="7" t="s">
        <v>123</v>
      </c>
      <c r="D12" s="148" t="s">
        <v>130</v>
      </c>
    </row>
    <row r="13" ht="30" spans="2:4">
      <c r="B13" s="7" t="s">
        <v>103</v>
      </c>
      <c r="C13" s="7" t="s">
        <v>110</v>
      </c>
      <c r="D13" s="7" t="s">
        <v>131</v>
      </c>
    </row>
    <row r="14" spans="2:4">
      <c r="B14" s="7" t="s">
        <v>103</v>
      </c>
      <c r="C14" s="7" t="s">
        <v>132</v>
      </c>
      <c r="D14" s="7" t="s">
        <v>133</v>
      </c>
    </row>
    <row r="15" ht="30" spans="2:4">
      <c r="B15" s="7" t="s">
        <v>103</v>
      </c>
      <c r="C15" s="7" t="s">
        <v>134</v>
      </c>
      <c r="D15" s="7" t="s">
        <v>135</v>
      </c>
    </row>
    <row r="16" spans="2:4">
      <c r="B16" s="7" t="s">
        <v>104</v>
      </c>
      <c r="C16" s="7" t="s">
        <v>111</v>
      </c>
      <c r="D16" s="148" t="s">
        <v>136</v>
      </c>
    </row>
    <row r="17" spans="2:4">
      <c r="B17" s="7" t="s">
        <v>104</v>
      </c>
      <c r="C17" s="7" t="s">
        <v>137</v>
      </c>
      <c r="D17" s="148" t="s">
        <v>138</v>
      </c>
    </row>
    <row r="18" ht="60" spans="2:4">
      <c r="B18" s="7" t="s">
        <v>139</v>
      </c>
      <c r="C18" s="7" t="s">
        <v>112</v>
      </c>
      <c r="D18" s="7" t="s">
        <v>140</v>
      </c>
    </row>
    <row r="19" ht="30" spans="2:4">
      <c r="B19" s="7" t="s">
        <v>139</v>
      </c>
      <c r="C19" s="7" t="s">
        <v>141</v>
      </c>
      <c r="D19" s="7" t="s">
        <v>142</v>
      </c>
    </row>
    <row r="20" ht="105" spans="2:4">
      <c r="B20" s="7" t="s">
        <v>106</v>
      </c>
      <c r="C20" s="7" t="s">
        <v>143</v>
      </c>
      <c r="D20" s="148" t="s">
        <v>144</v>
      </c>
    </row>
    <row r="21" spans="2:4">
      <c r="B21" s="7" t="s">
        <v>106</v>
      </c>
      <c r="C21" s="7" t="s">
        <v>114</v>
      </c>
      <c r="D21" s="148" t="s">
        <v>145</v>
      </c>
    </row>
    <row r="22" ht="30" spans="2:4">
      <c r="B22" s="7" t="s">
        <v>106</v>
      </c>
      <c r="C22" s="7" t="s">
        <v>113</v>
      </c>
      <c r="D22" s="148" t="s">
        <v>146</v>
      </c>
    </row>
    <row r="23" ht="30" spans="2:4">
      <c r="B23" s="7" t="s">
        <v>102</v>
      </c>
      <c r="C23" s="7" t="s">
        <v>147</v>
      </c>
      <c r="D23" s="7" t="s">
        <v>148</v>
      </c>
    </row>
    <row r="24" spans="2:4">
      <c r="B24" s="7" t="s">
        <v>102</v>
      </c>
      <c r="C24" s="7" t="s">
        <v>149</v>
      </c>
      <c r="D24" s="7" t="s">
        <v>150</v>
      </c>
    </row>
    <row r="25" ht="30" spans="2:4">
      <c r="B25" s="7" t="s">
        <v>102</v>
      </c>
      <c r="C25" s="7" t="s">
        <v>151</v>
      </c>
      <c r="D25" s="7" t="s">
        <v>152</v>
      </c>
    </row>
  </sheetData>
  <mergeCells count="1">
    <mergeCell ref="B2:D2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9"/>
  <sheetViews>
    <sheetView workbookViewId="0">
      <selection activeCell="N21" sqref="N21"/>
    </sheetView>
  </sheetViews>
  <sheetFormatPr defaultColWidth="8.85714285714286" defaultRowHeight="15"/>
  <cols>
    <col min="1" max="1" width="1.71428571428571" style="3" customWidth="1"/>
    <col min="2" max="2" width="8" style="3" customWidth="1"/>
    <col min="3" max="3" width="6.14285714285714" style="3" customWidth="1"/>
    <col min="4" max="4" width="1.71428571428571" style="3" customWidth="1"/>
    <col min="5" max="5" width="8.14285714285714" style="3" customWidth="1"/>
    <col min="6" max="6" width="7.57142857142857" style="3" customWidth="1"/>
    <col min="7" max="7" width="1.71428571428571" style="3" customWidth="1"/>
    <col min="8" max="8" width="10" style="3" customWidth="1"/>
    <col min="9" max="9" width="7.85714285714286" style="3" customWidth="1"/>
    <col min="10" max="10" width="1.71428571428571" style="3" customWidth="1"/>
    <col min="11" max="11" width="20" style="3" customWidth="1"/>
    <col min="12" max="12" width="7.57142857142857" style="3" customWidth="1"/>
    <col min="13" max="13" width="1.71428571428571" style="3" customWidth="1"/>
    <col min="14" max="14" width="27.8571428571429" style="3" customWidth="1"/>
    <col min="15" max="15" width="7.57142857142857" style="3" customWidth="1"/>
    <col min="16" max="16" width="1.71428571428571" style="3" customWidth="1"/>
    <col min="17" max="17" width="9" style="3" customWidth="1"/>
    <col min="18" max="18" width="7.57142857142857" style="3" customWidth="1"/>
    <col min="19" max="19" width="1.71428571428571" style="3" customWidth="1"/>
    <col min="20" max="20" width="11.5714285714286" style="3" customWidth="1"/>
    <col min="21" max="21" width="7.57142857142857" style="3" customWidth="1"/>
    <col min="22" max="22" width="1.71428571428571" style="3" customWidth="1"/>
    <col min="23" max="23" width="13.4285714285714" style="3" customWidth="1"/>
    <col min="24" max="24" width="7.57142857142857" style="3" customWidth="1"/>
    <col min="25" max="25" width="1.71428571428571" style="3" customWidth="1"/>
    <col min="26" max="16384" width="8.85714285714286" style="3"/>
  </cols>
  <sheetData>
    <row r="2" s="1" customFormat="1" ht="60.75" customHeight="1" spans="2:24">
      <c r="B2" s="4" t="s">
        <v>153</v>
      </c>
      <c r="C2" s="5"/>
      <c r="E2" s="4" t="s">
        <v>99</v>
      </c>
      <c r="F2" s="5"/>
      <c r="H2" s="4" t="s">
        <v>103</v>
      </c>
      <c r="I2" s="5"/>
      <c r="K2" s="4" t="s">
        <v>104</v>
      </c>
      <c r="L2" s="5"/>
      <c r="N2" s="4" t="s">
        <v>154</v>
      </c>
      <c r="O2" s="5"/>
      <c r="Q2" s="4" t="s">
        <v>106</v>
      </c>
      <c r="R2" s="5"/>
      <c r="T2" s="4" t="s">
        <v>100</v>
      </c>
      <c r="U2" s="5"/>
      <c r="W2" s="4" t="s">
        <v>155</v>
      </c>
      <c r="X2" s="5"/>
    </row>
    <row r="3" s="2" customFormat="1" spans="2:24">
      <c r="B3" s="6" t="s">
        <v>118</v>
      </c>
      <c r="C3" s="6" t="s">
        <v>65</v>
      </c>
      <c r="E3" s="6" t="s">
        <v>118</v>
      </c>
      <c r="F3" s="6" t="s">
        <v>156</v>
      </c>
      <c r="H3" s="6" t="s">
        <v>118</v>
      </c>
      <c r="I3" s="6" t="s">
        <v>156</v>
      </c>
      <c r="K3" s="6" t="s">
        <v>118</v>
      </c>
      <c r="L3" s="6" t="s">
        <v>156</v>
      </c>
      <c r="N3" s="6" t="s">
        <v>118</v>
      </c>
      <c r="O3" s="6" t="s">
        <v>156</v>
      </c>
      <c r="Q3" s="6" t="s">
        <v>118</v>
      </c>
      <c r="R3" s="6" t="s">
        <v>156</v>
      </c>
      <c r="T3" s="6" t="s">
        <v>118</v>
      </c>
      <c r="U3" s="6" t="s">
        <v>156</v>
      </c>
      <c r="W3" s="6" t="s">
        <v>118</v>
      </c>
      <c r="X3" s="6" t="s">
        <v>156</v>
      </c>
    </row>
    <row r="4" spans="2:24">
      <c r="B4" s="7">
        <v>2</v>
      </c>
      <c r="C4" s="7" t="s">
        <v>23</v>
      </c>
      <c r="E4" s="7" t="s">
        <v>109</v>
      </c>
      <c r="F4" s="7">
        <v>1</v>
      </c>
      <c r="H4" s="7" t="s">
        <v>110</v>
      </c>
      <c r="I4" s="7">
        <v>1</v>
      </c>
      <c r="K4" s="7" t="s">
        <v>111</v>
      </c>
      <c r="L4" s="7">
        <v>1</v>
      </c>
      <c r="N4" s="7" t="s">
        <v>112</v>
      </c>
      <c r="O4" s="7">
        <v>1</v>
      </c>
      <c r="Q4" s="7" t="s">
        <v>143</v>
      </c>
      <c r="R4" s="7">
        <v>13</v>
      </c>
      <c r="T4" s="7" t="s">
        <v>110</v>
      </c>
      <c r="U4" s="7">
        <v>1</v>
      </c>
      <c r="W4" s="7" t="s">
        <v>115</v>
      </c>
      <c r="X4" s="7">
        <v>1</v>
      </c>
    </row>
    <row r="5" spans="2:24">
      <c r="B5" s="7">
        <v>3</v>
      </c>
      <c r="C5" s="7" t="s">
        <v>157</v>
      </c>
      <c r="E5" s="7" t="s">
        <v>121</v>
      </c>
      <c r="F5" s="7">
        <v>5</v>
      </c>
      <c r="H5" s="7" t="s">
        <v>132</v>
      </c>
      <c r="I5" s="7">
        <v>5</v>
      </c>
      <c r="K5" s="7" t="s">
        <v>137</v>
      </c>
      <c r="L5" s="7">
        <v>8</v>
      </c>
      <c r="N5" s="7" t="s">
        <v>141</v>
      </c>
      <c r="O5" s="7">
        <v>8</v>
      </c>
      <c r="Q5" s="7" t="s">
        <v>114</v>
      </c>
      <c r="R5" s="7">
        <v>3</v>
      </c>
      <c r="T5" s="7" t="s">
        <v>132</v>
      </c>
      <c r="U5" s="7">
        <v>5</v>
      </c>
      <c r="W5" s="7" t="s">
        <v>149</v>
      </c>
      <c r="X5" s="7">
        <v>5</v>
      </c>
    </row>
    <row r="6" spans="2:24">
      <c r="B6" s="7">
        <v>4</v>
      </c>
      <c r="C6" s="7" t="s">
        <v>158</v>
      </c>
      <c r="E6" s="7" t="s">
        <v>123</v>
      </c>
      <c r="F6" s="7">
        <v>13</v>
      </c>
      <c r="H6" s="7" t="s">
        <v>134</v>
      </c>
      <c r="I6" s="7">
        <v>1</v>
      </c>
      <c r="K6" s="3" t="s">
        <v>159</v>
      </c>
      <c r="L6" s="3">
        <v>3</v>
      </c>
      <c r="Q6" s="7" t="s">
        <v>113</v>
      </c>
      <c r="R6" s="7">
        <v>1</v>
      </c>
      <c r="T6" s="7" t="s">
        <v>134</v>
      </c>
      <c r="U6" s="7">
        <v>1</v>
      </c>
      <c r="W6" s="3" t="s">
        <v>151</v>
      </c>
      <c r="X6" s="3">
        <v>8</v>
      </c>
    </row>
    <row r="7" spans="2:3">
      <c r="B7" s="7">
        <v>5</v>
      </c>
      <c r="C7" s="7" t="s">
        <v>160</v>
      </c>
    </row>
    <row r="8" spans="2:3">
      <c r="B8" s="7">
        <v>6</v>
      </c>
      <c r="C8" s="7" t="s">
        <v>161</v>
      </c>
    </row>
    <row r="9" spans="2:3">
      <c r="B9" s="7">
        <v>7</v>
      </c>
      <c r="C9" s="7" t="s">
        <v>162</v>
      </c>
    </row>
  </sheetData>
  <mergeCells count="8">
    <mergeCell ref="B2:C2"/>
    <mergeCell ref="E2:F2"/>
    <mergeCell ref="H2:I2"/>
    <mergeCell ref="K2:L2"/>
    <mergeCell ref="N2:O2"/>
    <mergeCell ref="Q2:R2"/>
    <mergeCell ref="T2:U2"/>
    <mergeCell ref="W2:X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Alocacao</vt:lpstr>
      <vt:lpstr>Estorias</vt:lpstr>
      <vt:lpstr>Burndown</vt:lpstr>
      <vt:lpstr>Acompanhamento Estórias</vt:lpstr>
      <vt:lpstr>Acompanhamento</vt:lpstr>
      <vt:lpstr>Pendências</vt:lpstr>
      <vt:lpstr>Impactos</vt:lpstr>
      <vt:lpstr>Risco</vt:lpstr>
      <vt:lpstr>Criterios Risco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2017-10-26T19:07:00Z</dcterms:created>
  <dcterms:modified xsi:type="dcterms:W3CDTF">2019-08-14T18:33:31Z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1046-11.2.0.8893</vt:lpwstr>
  </property>
</Properties>
</file>