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istrador\OneDrive - Universidad Nacional de Colombia\Escritorio\Semestre 16\APM\Proyecto\STEELO\Proyecto 70%\Planta Base\"/>
    </mc:Choice>
  </mc:AlternateContent>
  <xr:revisionPtr revIDLastSave="0" documentId="13_ncr:1_{8307C9AB-16DD-424F-8AAD-6BD115215419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Falla" sheetId="1" r:id="rId1"/>
    <sheet name="KPIs" sheetId="2" r:id="rId2"/>
    <sheet name="Plant Simul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7" i="2" s="1"/>
  <c r="B5" i="2"/>
  <c r="C13" i="2"/>
  <c r="C17" i="2" s="1"/>
  <c r="D13" i="2"/>
  <c r="E16" i="2"/>
  <c r="E13" i="2"/>
  <c r="E14" i="2"/>
  <c r="E17" i="2"/>
  <c r="B7" i="2"/>
  <c r="C7" i="2" s="1"/>
  <c r="E12" i="2"/>
  <c r="G13" i="2"/>
  <c r="C11" i="3"/>
  <c r="B190" i="1"/>
  <c r="B146" i="1"/>
  <c r="B169" i="1"/>
  <c r="B147" i="1"/>
  <c r="B104" i="1"/>
  <c r="B81" i="1"/>
  <c r="B60" i="1"/>
  <c r="B141" i="1"/>
  <c r="B140" i="1"/>
  <c r="B138" i="1"/>
  <c r="B139" i="1"/>
  <c r="B135" i="1"/>
  <c r="B134" i="1"/>
  <c r="B11" i="1"/>
  <c r="B10" i="1"/>
  <c r="D17" i="2"/>
  <c r="A17" i="2"/>
  <c r="B46" i="1"/>
  <c r="B90" i="1"/>
  <c r="B68" i="1"/>
  <c r="B16" i="1"/>
  <c r="B9" i="1"/>
  <c r="B8" i="1"/>
  <c r="B5" i="1"/>
  <c r="B6" i="1" s="1"/>
  <c r="B97" i="1"/>
  <c r="B102" i="1"/>
  <c r="B95" i="1"/>
  <c r="B179" i="1"/>
  <c r="B178" i="1"/>
  <c r="B157" i="1"/>
  <c r="B156" i="1"/>
  <c r="B113" i="1"/>
  <c r="B112" i="1"/>
  <c r="B69" i="1"/>
  <c r="B91" i="1"/>
  <c r="B94" i="1" s="1"/>
  <c r="B47" i="1"/>
  <c r="B185" i="1"/>
  <c r="B184" i="1"/>
  <c r="B183" i="1"/>
  <c r="B182" i="1"/>
  <c r="B168" i="1"/>
  <c r="B163" i="1"/>
  <c r="B161" i="1"/>
  <c r="B160" i="1"/>
  <c r="B162" i="1"/>
  <c r="B124" i="1"/>
  <c r="B119" i="1"/>
  <c r="B118" i="1"/>
  <c r="B117" i="1"/>
  <c r="B116" i="1"/>
  <c r="B80" i="1"/>
  <c r="B75" i="1"/>
  <c r="B74" i="1"/>
  <c r="B73" i="1"/>
  <c r="B72" i="1"/>
  <c r="B96" i="1"/>
  <c r="B58" i="1"/>
  <c r="B53" i="1"/>
  <c r="B51" i="1"/>
  <c r="B50" i="1"/>
  <c r="B37" i="1"/>
  <c r="B32" i="1"/>
  <c r="B30" i="1"/>
  <c r="B29" i="1"/>
  <c r="B27" i="1"/>
  <c r="C8" i="2" l="1"/>
  <c r="D7" i="2"/>
  <c r="E7" i="2" s="1"/>
  <c r="B6" i="2"/>
  <c r="C5" i="2"/>
  <c r="C6" i="2" s="1"/>
  <c r="B8" i="2"/>
  <c r="D8" i="2"/>
  <c r="E8" i="2" s="1"/>
  <c r="E9" i="2" s="1"/>
  <c r="E18" i="2"/>
  <c r="B9" i="2"/>
  <c r="B14" i="2" s="1"/>
  <c r="B15" i="2" s="1"/>
  <c r="B136" i="1"/>
  <c r="B143" i="1"/>
  <c r="B34" i="1"/>
  <c r="B35" i="1" s="1"/>
  <c r="B36" i="1" s="1"/>
  <c r="B13" i="1"/>
  <c r="B14" i="1" s="1"/>
  <c r="B15" i="1" s="1"/>
  <c r="B70" i="1"/>
  <c r="B114" i="1"/>
  <c r="B187" i="1"/>
  <c r="B48" i="1"/>
  <c r="B158" i="1"/>
  <c r="B180" i="1"/>
  <c r="B92" i="1"/>
  <c r="B165" i="1"/>
  <c r="B121" i="1"/>
  <c r="B77" i="1"/>
  <c r="B99" i="1"/>
  <c r="B55" i="1"/>
  <c r="D5" i="2" l="1"/>
  <c r="D6" i="2" s="1"/>
  <c r="B188" i="1"/>
  <c r="B189" i="1" s="1"/>
  <c r="B144" i="1"/>
  <c r="B145" i="1" s="1"/>
  <c r="B122" i="1"/>
  <c r="B123" i="1" s="1"/>
  <c r="B166" i="1"/>
  <c r="B167" i="1" s="1"/>
  <c r="E5" i="2"/>
  <c r="E6" i="2" s="1"/>
  <c r="C9" i="2"/>
  <c r="C14" i="2" s="1"/>
  <c r="C15" i="2" s="1"/>
  <c r="B78" i="1"/>
  <c r="B79" i="1" s="1"/>
  <c r="B56" i="1"/>
  <c r="B57" i="1" s="1"/>
  <c r="B100" i="1"/>
  <c r="B101" i="1" s="1"/>
  <c r="D9" i="2"/>
  <c r="D14" i="2" s="1"/>
  <c r="D15" i="2" s="1"/>
  <c r="D3" i="2" l="1"/>
  <c r="E15" i="2" s="1"/>
  <c r="D11" i="2" s="1"/>
  <c r="D1" i="2" s="1"/>
</calcChain>
</file>

<file path=xl/sharedStrings.xml><?xml version="1.0" encoding="utf-8"?>
<sst xmlns="http://schemas.openxmlformats.org/spreadsheetml/2006/main" count="330" uniqueCount="88">
  <si>
    <t>Jornada</t>
  </si>
  <si>
    <t>dias por mes</t>
  </si>
  <si>
    <t>Horas al año</t>
  </si>
  <si>
    <t>Limpieza  e inspección</t>
  </si>
  <si>
    <t>Inspección profunda</t>
  </si>
  <si>
    <t>Corte CNC</t>
  </si>
  <si>
    <t>Accidentes e imprevistos</t>
  </si>
  <si>
    <t>MTTM</t>
  </si>
  <si>
    <t>MTBF</t>
  </si>
  <si>
    <t>Disponibilidad</t>
  </si>
  <si>
    <t>MTTR</t>
  </si>
  <si>
    <t>h</t>
  </si>
  <si>
    <t>%</t>
  </si>
  <si>
    <t>d</t>
  </si>
  <si>
    <t>https://hpclaser.co.uk/how-to-maintain-and-service-your-laser-machine-effectively/</t>
  </si>
  <si>
    <t>Dobladora Manual</t>
  </si>
  <si>
    <t>https://www.harsle.com/Bending-machine-maintenance-and-use-id1118886.html#:~:text=After%20the%20new%20machine%20is,fuel%20tank%20should%20be%20cleaned.&amp;text=The%20system%20oil%20temperature%20should,not%20exceed%2070%20%C2%B0C.</t>
  </si>
  <si>
    <t>https://p2infohouse.org/ref/25/24064.pdf</t>
  </si>
  <si>
    <t>Pintura Pistola Electrostatica</t>
  </si>
  <si>
    <t>http://roboticpaint.com/spray-gun-maintenance-guides/</t>
  </si>
  <si>
    <t>https://www.toothpickprocessing.com/practical-polishing-machine-maintenance-instructions.html</t>
  </si>
  <si>
    <t>https://www.kisinhom-uvcoating.com/maintenance-and-adjustment-of-sanding-and-polishing-machine.html</t>
  </si>
  <si>
    <t>https://intekcorp.com/preventative-maintenance-for-industrial-ovens/</t>
  </si>
  <si>
    <t>Pulido</t>
  </si>
  <si>
    <t>Horno industrial</t>
  </si>
  <si>
    <t>https://www.pfonline.com/articles/preventative-maintenance-for-industrial-ovens</t>
  </si>
  <si>
    <t>Embalaje</t>
  </si>
  <si>
    <t xml:space="preserve">Fallas en las condiciones del personal
</t>
  </si>
  <si>
    <t>Errores de etiquetado, Daños en la etiquetadora</t>
  </si>
  <si>
    <t>Daño en equipo de medición de espesor o luz ultravioleta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</si>
  <si>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lp n¬</t>
  </si>
  <si>
    <t>Inspección profunda
FAN
Air assit Compressor
Lubrication
Optics
Chiller</t>
  </si>
  <si>
    <t>Cambio :
Full Service</t>
  </si>
  <si>
    <t>Cambio :
Cambio de aceite y limpieza de tanque
Reemplazo de Filtros</t>
  </si>
  <si>
    <t>Limpieza  e inspección
check posición del tanque de aceite
Fill the tank at the level</t>
  </si>
  <si>
    <t>Inspección profunda
Apretar juntas
Limpieza de filtros
Limpieza de componentes hidraulicos</t>
  </si>
  <si>
    <t>Accidentes e imprevistos
Subida de temperatura del aceite
Doblado de un tubo estructural</t>
  </si>
  <si>
    <t>Limpieza  e inspección
Diaria despues de uso 
Lubricación de pistola diaria</t>
  </si>
  <si>
    <t xml:space="preserve">Accidentes e imprevistos
</t>
  </si>
  <si>
    <t>Cambio :
Replace atomizing cap
Replace Nozzle set
fastening sealer kit</t>
  </si>
  <si>
    <t>Inspección profunda
Rodamientos
Discos de Pulido</t>
  </si>
  <si>
    <t>Cambio :
Discos de pulido
Rodamientos</t>
  </si>
  <si>
    <t>Limpieza  e inspección:
*Inspect for loose screws on all guarding
*Inspect ductwork for loose nozzles, screws, and support clips
*Inspect sheaves for wear and proper alignment
*Inspect and clean the flame rod
*Inspect igniters for condition and electrode gap
*Inspect the integrity of the wire terminations
*Inspect the burner surface and gas ports for carbon or dirt accumulation</t>
  </si>
  <si>
    <t>Cambio :
The parts in bad status from the inspections</t>
  </si>
  <si>
    <t>Cambio :
Elementos de inspección</t>
  </si>
  <si>
    <t>Cambio :
Elementos de Embalaje</t>
  </si>
  <si>
    <t>Limpieza</t>
  </si>
  <si>
    <t>Fallas en las condiciones del personal</t>
  </si>
  <si>
    <t>OEE</t>
  </si>
  <si>
    <t>Disponibilidad (A)</t>
  </si>
  <si>
    <t>Dias</t>
  </si>
  <si>
    <t>Horas</t>
  </si>
  <si>
    <t>Minutos</t>
  </si>
  <si>
    <t>Segundos</t>
  </si>
  <si>
    <t>Tiempo total de planta</t>
  </si>
  <si>
    <t>Tiempos de inactividad planeados</t>
  </si>
  <si>
    <t>Tiempo de ejecucion planeado</t>
  </si>
  <si>
    <t>Tiempos de inactividad no planeados</t>
  </si>
  <si>
    <t>Tiempo de ejecucion real</t>
  </si>
  <si>
    <t>Eficiencia de desempeño (PE)</t>
  </si>
  <si>
    <t>Volumen Real de produccion</t>
  </si>
  <si>
    <t>Tiempo de ciclo real</t>
  </si>
  <si>
    <t>Tiempo de ejecución real</t>
  </si>
  <si>
    <t>Tasa de eficiencia</t>
  </si>
  <si>
    <t>Tiempo de ciclo diseñado</t>
  </si>
  <si>
    <t>Eficiencia en velocidad</t>
  </si>
  <si>
    <t>Tasa de calidad (Q)</t>
  </si>
  <si>
    <t>Cambio :
Solución de limpieza</t>
  </si>
  <si>
    <t>Antideslizantes</t>
  </si>
  <si>
    <t>Daños de los elementos de corte, errores en las distancias de corte</t>
  </si>
  <si>
    <t>Cambio :
Elementos de corte</t>
  </si>
  <si>
    <t>Tiempo de ciclo (por unidad)</t>
  </si>
  <si>
    <t>Tiempo de ciclo (por Lote)</t>
  </si>
  <si>
    <t>Tiempo de alistamiento</t>
  </si>
  <si>
    <t>Tiempo de transporte</t>
  </si>
  <si>
    <t>min</t>
  </si>
  <si>
    <t>Calidad/Inventario</t>
  </si>
  <si>
    <t>Object</t>
  </si>
  <si>
    <t>Portion</t>
  </si>
  <si>
    <t>Sum</t>
  </si>
  <si>
    <t>CorteCNC</t>
  </si>
  <si>
    <t>Doblado</t>
  </si>
  <si>
    <t>Horno</t>
  </si>
  <si>
    <t>Pintado</t>
  </si>
  <si>
    <t>CalidadInventario</t>
  </si>
  <si>
    <t>Failed Time</t>
  </si>
  <si>
    <t>Horas mes</t>
  </si>
  <si>
    <t>Piezas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</si>
</sst>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[$-F400]h:mm:ss\ AM/PM"/>
    <numFmt numFmtId="167" formatCode="0.0%"/>
    <numFmt numFmtId="171" formatCode="0.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Segoe UI"/>
      <family val="2"/>
    </font>
    <font>
      <b/>
      <sz val="10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CDCDC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464646"/>
      </left>
      <right style="medium">
        <color rgb="FF464646"/>
      </right>
      <top style="medium">
        <color rgb="FF464646"/>
      </top>
      <bottom style="medium">
        <color rgb="FF464646"/>
      </bottom>
      <diagonal/>
    </border>
    <border>
      <left style="medium">
        <color rgb="FF464646"/>
      </left>
      <right style="medium">
        <color rgb="FF464646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5" xfId="0" applyBorder="1"/>
    <xf numFmtId="0" fontId="2" fillId="0" borderId="5" xfId="0" applyFont="1" applyBorder="1"/>
    <xf numFmtId="0" fontId="4" fillId="0" borderId="5" xfId="0" applyFont="1" applyBorder="1"/>
    <xf numFmtId="1" fontId="2" fillId="0" borderId="5" xfId="0" applyNumberFormat="1" applyFont="1" applyBorder="1"/>
    <xf numFmtId="2" fontId="4" fillId="0" borderId="5" xfId="0" applyNumberFormat="1" applyFont="1" applyBorder="1"/>
    <xf numFmtId="0" fontId="6" fillId="3" borderId="29" xfId="0" applyFont="1" applyFill="1" applyBorder="1" applyAlignment="1">
      <alignment horizontal="center" vertical="top" wrapText="1"/>
    </xf>
    <xf numFmtId="0" fontId="6" fillId="3" borderId="29" xfId="0" applyFont="1" applyFill="1" applyBorder="1" applyAlignment="1">
      <alignment horizontal="left" vertical="top" wrapText="1"/>
    </xf>
    <xf numFmtId="10" fontId="5" fillId="0" borderId="29" xfId="0" applyNumberFormat="1" applyFont="1" applyBorder="1" applyAlignment="1">
      <alignment horizontal="right" vertical="top"/>
    </xf>
    <xf numFmtId="0" fontId="6" fillId="3" borderId="30" xfId="0" applyFont="1" applyFill="1" applyBorder="1" applyAlignment="1">
      <alignment horizontal="left" vertical="top" wrapText="1"/>
    </xf>
    <xf numFmtId="166" fontId="5" fillId="0" borderId="29" xfId="0" applyNumberFormat="1" applyFont="1" applyBorder="1" applyAlignment="1">
      <alignment horizontal="right" vertical="top"/>
    </xf>
    <xf numFmtId="166" fontId="0" fillId="0" borderId="0" xfId="0" applyNumberFormat="1"/>
    <xf numFmtId="1" fontId="2" fillId="0" borderId="31" xfId="0" applyNumberFormat="1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" fillId="2" borderId="6" xfId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17" xfId="1" applyFill="1" applyBorder="1" applyAlignment="1">
      <alignment horizontal="center" wrapText="1"/>
    </xf>
    <xf numFmtId="0" fontId="1" fillId="2" borderId="2" xfId="1" applyFill="1" applyBorder="1" applyAlignment="1">
      <alignment horizontal="center" wrapText="1"/>
    </xf>
    <xf numFmtId="0" fontId="1" fillId="2" borderId="18" xfId="1" applyFill="1" applyBorder="1" applyAlignment="1">
      <alignment horizontal="center" wrapText="1"/>
    </xf>
    <xf numFmtId="0" fontId="1" fillId="2" borderId="9" xfId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1" fillId="2" borderId="21" xfId="1" applyFill="1" applyBorder="1" applyAlignment="1">
      <alignment horizontal="center" wrapText="1"/>
    </xf>
    <xf numFmtId="0" fontId="1" fillId="2" borderId="22" xfId="1" applyFill="1" applyBorder="1" applyAlignment="1">
      <alignment horizontal="center" wrapText="1"/>
    </xf>
    <xf numFmtId="0" fontId="1" fillId="2" borderId="23" xfId="1" applyFill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0" fillId="0" borderId="5" xfId="0" applyBorder="1"/>
    <xf numFmtId="9" fontId="4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4" fillId="0" borderId="5" xfId="2" applyFont="1" applyBorder="1" applyAlignment="1">
      <alignment horizontal="center"/>
    </xf>
    <xf numFmtId="9" fontId="0" fillId="0" borderId="5" xfId="2" applyFont="1" applyBorder="1"/>
    <xf numFmtId="167" fontId="4" fillId="0" borderId="5" xfId="0" applyNumberFormat="1" applyFont="1" applyBorder="1" applyAlignment="1">
      <alignment horizontal="center"/>
    </xf>
    <xf numFmtId="167" fontId="0" fillId="0" borderId="5" xfId="0" applyNumberFormat="1" applyBorder="1"/>
    <xf numFmtId="167" fontId="0" fillId="0" borderId="5" xfId="0" applyNumberFormat="1" applyBorder="1"/>
    <xf numFmtId="2" fontId="0" fillId="0" borderId="5" xfId="0" applyNumberFormat="1" applyBorder="1"/>
    <xf numFmtId="171" fontId="0" fillId="0" borderId="5" xfId="0" applyNumberFormat="1" applyBorder="1"/>
    <xf numFmtId="2" fontId="2" fillId="0" borderId="5" xfId="0" applyNumberFormat="1" applyFont="1" applyBorder="1"/>
    <xf numFmtId="171" fontId="2" fillId="0" borderId="5" xfId="0" applyNumberFormat="1" applyFont="1" applyBorder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pclaser.co.uk/how-to-maintain-and-service-your-laser-machine-effectively/" TargetMode="External"/><Relationship Id="rId3" Type="http://schemas.openxmlformats.org/officeDocument/2006/relationships/hyperlink" Target="https://www.kisinhom-uvcoating.com/maintenance-and-adjustment-of-sanding-and-polishing-machine.html" TargetMode="External"/><Relationship Id="rId7" Type="http://schemas.openxmlformats.org/officeDocument/2006/relationships/hyperlink" Target="http://roboticpaint.com/spray-gun-maintenance-guides/" TargetMode="External"/><Relationship Id="rId2" Type="http://schemas.openxmlformats.org/officeDocument/2006/relationships/hyperlink" Target="https://p2infohouse.org/ref/25/24064.pdf" TargetMode="External"/><Relationship Id="rId1" Type="http://schemas.openxmlformats.org/officeDocument/2006/relationships/hyperlink" Target="https://www.harsle.com/Bending-machine-maintenance-and-use-id1118886.html" TargetMode="External"/><Relationship Id="rId6" Type="http://schemas.openxmlformats.org/officeDocument/2006/relationships/hyperlink" Target="https://www.pfonline.com/articles/preventative-maintenance-for-industrial-ovens" TargetMode="External"/><Relationship Id="rId5" Type="http://schemas.openxmlformats.org/officeDocument/2006/relationships/hyperlink" Target="https://intekcorp.com/preventative-maintenance-for-industrial-ovens/" TargetMode="External"/><Relationship Id="rId4" Type="http://schemas.openxmlformats.org/officeDocument/2006/relationships/hyperlink" Target="https://www.toothpickprocessing.com/practical-polishing-machine-maintenance-instructions.htm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6"/>
  <sheetViews>
    <sheetView tabSelected="1" workbookViewId="0">
      <selection activeCell="B103" sqref="B103"/>
    </sheetView>
  </sheetViews>
  <sheetFormatPr baseColWidth="10" defaultColWidth="9.140625" defaultRowHeight="15" x14ac:dyDescent="0.25"/>
  <cols>
    <col min="1" max="1" width="36.42578125" customWidth="1"/>
    <col min="2" max="2" width="5" bestFit="1" customWidth="1"/>
    <col min="3" max="3" width="4.42578125" bestFit="1" customWidth="1"/>
  </cols>
  <sheetData>
    <row r="1" spans="1:5" ht="15.75" thickBot="1" x14ac:dyDescent="0.3"/>
    <row r="2" spans="1:5" ht="16.5" customHeight="1" thickTop="1" x14ac:dyDescent="0.25">
      <c r="A2" s="33" t="s">
        <v>47</v>
      </c>
      <c r="B2" s="34"/>
      <c r="C2" s="35"/>
    </row>
    <row r="3" spans="1:5" ht="15" customHeight="1" x14ac:dyDescent="0.25">
      <c r="A3" s="36" t="s">
        <v>46</v>
      </c>
      <c r="B3" s="37"/>
      <c r="C3" s="38"/>
    </row>
    <row r="4" spans="1:5" ht="15" customHeight="1" x14ac:dyDescent="0.25">
      <c r="A4" s="4" t="s">
        <v>0</v>
      </c>
      <c r="B4" s="1">
        <v>9</v>
      </c>
      <c r="C4" s="5" t="s">
        <v>11</v>
      </c>
    </row>
    <row r="5" spans="1:5" x14ac:dyDescent="0.25">
      <c r="A5" s="4" t="s">
        <v>1</v>
      </c>
      <c r="B5" s="1">
        <f>$B$26</f>
        <v>24</v>
      </c>
      <c r="C5" s="5" t="s">
        <v>13</v>
      </c>
    </row>
    <row r="6" spans="1:5" x14ac:dyDescent="0.25">
      <c r="A6" s="4" t="s">
        <v>2</v>
      </c>
      <c r="B6" s="1">
        <f>B5*B4*12</f>
        <v>2592</v>
      </c>
      <c r="C6" s="5" t="s">
        <v>11</v>
      </c>
    </row>
    <row r="7" spans="1:5" x14ac:dyDescent="0.25">
      <c r="A7" s="4"/>
      <c r="B7" s="1"/>
      <c r="C7" s="5"/>
    </row>
    <row r="8" spans="1:5" x14ac:dyDescent="0.25">
      <c r="A8" s="4" t="s">
        <v>3</v>
      </c>
      <c r="B8" s="1">
        <f>(1)*4*12</f>
        <v>48</v>
      </c>
      <c r="C8" s="5" t="s">
        <v>11</v>
      </c>
    </row>
    <row r="9" spans="1:5" x14ac:dyDescent="0.25">
      <c r="A9" s="4" t="s">
        <v>4</v>
      </c>
      <c r="B9" s="1">
        <f>(2)*12</f>
        <v>24</v>
      </c>
      <c r="C9" s="5" t="s">
        <v>11</v>
      </c>
    </row>
    <row r="10" spans="1:5" ht="30" x14ac:dyDescent="0.25">
      <c r="A10" s="6" t="s">
        <v>67</v>
      </c>
      <c r="B10" s="1">
        <f>4*2</f>
        <v>8</v>
      </c>
      <c r="C10" s="5" t="s">
        <v>11</v>
      </c>
    </row>
    <row r="11" spans="1:5" x14ac:dyDescent="0.25">
      <c r="A11" s="4" t="s">
        <v>6</v>
      </c>
      <c r="B11" s="1">
        <f>6*4</f>
        <v>24</v>
      </c>
      <c r="C11" s="5" t="s">
        <v>11</v>
      </c>
      <c r="E11" t="s">
        <v>30</v>
      </c>
    </row>
    <row r="12" spans="1:5" x14ac:dyDescent="0.25">
      <c r="A12" s="4"/>
      <c r="B12" s="1"/>
      <c r="C12" s="5"/>
    </row>
    <row r="13" spans="1:5" x14ac:dyDescent="0.25">
      <c r="A13" s="4" t="s">
        <v>7</v>
      </c>
      <c r="B13" s="1">
        <f>B11+B10+B9+B8</f>
        <v>104</v>
      </c>
      <c r="C13" s="5" t="s">
        <v>11</v>
      </c>
    </row>
    <row r="14" spans="1:5" x14ac:dyDescent="0.25">
      <c r="A14" s="4" t="s">
        <v>8</v>
      </c>
      <c r="B14" s="1">
        <f>B6-B13</f>
        <v>2488</v>
      </c>
      <c r="C14" s="5" t="s">
        <v>11</v>
      </c>
    </row>
    <row r="15" spans="1:5" x14ac:dyDescent="0.25">
      <c r="A15" s="4" t="s">
        <v>9</v>
      </c>
      <c r="B15" s="1">
        <f>B14/(B14+B13)</f>
        <v>0.95987654320987659</v>
      </c>
      <c r="C15" s="5" t="s">
        <v>12</v>
      </c>
    </row>
    <row r="16" spans="1:5" x14ac:dyDescent="0.25">
      <c r="A16" s="15" t="s">
        <v>10</v>
      </c>
      <c r="B16" s="3">
        <f>+(2+1+1+1)/4</f>
        <v>1.25</v>
      </c>
      <c r="C16" s="16" t="s">
        <v>11</v>
      </c>
    </row>
    <row r="17" spans="1:5" x14ac:dyDescent="0.25">
      <c r="A17" s="4" t="s">
        <v>71</v>
      </c>
      <c r="B17" s="1">
        <v>5</v>
      </c>
      <c r="C17" s="5" t="s">
        <v>75</v>
      </c>
    </row>
    <row r="18" spans="1:5" x14ac:dyDescent="0.25">
      <c r="A18" s="4" t="s">
        <v>72</v>
      </c>
      <c r="B18" s="1">
        <v>40</v>
      </c>
      <c r="C18" s="5" t="s">
        <v>75</v>
      </c>
    </row>
    <row r="19" spans="1:5" ht="15.75" thickBot="1" x14ac:dyDescent="0.3">
      <c r="A19" s="7" t="s">
        <v>73</v>
      </c>
      <c r="B19" s="8">
        <v>5</v>
      </c>
      <c r="C19" s="9" t="s">
        <v>75</v>
      </c>
    </row>
    <row r="20" spans="1:5" ht="16.5" thickTop="1" thickBot="1" x14ac:dyDescent="0.3"/>
    <row r="21" spans="1:5" ht="16.5" thickTop="1" thickBot="1" x14ac:dyDescent="0.3">
      <c r="A21" s="10" t="s">
        <v>74</v>
      </c>
      <c r="B21" s="11">
        <v>2</v>
      </c>
      <c r="C21" s="12" t="s">
        <v>75</v>
      </c>
    </row>
    <row r="22" spans="1:5" ht="16.5" thickTop="1" thickBot="1" x14ac:dyDescent="0.3"/>
    <row r="23" spans="1:5" ht="31.5" customHeight="1" thickTop="1" x14ac:dyDescent="0.25">
      <c r="A23" s="51" t="s">
        <v>14</v>
      </c>
      <c r="B23" s="52"/>
      <c r="C23" s="53"/>
    </row>
    <row r="24" spans="1:5" x14ac:dyDescent="0.25">
      <c r="A24" s="36" t="s">
        <v>5</v>
      </c>
      <c r="B24" s="37"/>
      <c r="C24" s="38"/>
    </row>
    <row r="25" spans="1:5" x14ac:dyDescent="0.25">
      <c r="A25" s="4" t="s">
        <v>0</v>
      </c>
      <c r="B25" s="1">
        <v>9</v>
      </c>
      <c r="C25" s="5" t="s">
        <v>11</v>
      </c>
    </row>
    <row r="26" spans="1:5" x14ac:dyDescent="0.25">
      <c r="A26" s="4" t="s">
        <v>1</v>
      </c>
      <c r="B26" s="1">
        <v>24</v>
      </c>
      <c r="C26" s="5" t="s">
        <v>13</v>
      </c>
    </row>
    <row r="27" spans="1:5" x14ac:dyDescent="0.25">
      <c r="A27" s="4" t="s">
        <v>2</v>
      </c>
      <c r="B27" s="1">
        <f>B26*B25*12</f>
        <v>2592</v>
      </c>
      <c r="C27" s="5" t="s">
        <v>11</v>
      </c>
    </row>
    <row r="28" spans="1:5" x14ac:dyDescent="0.25">
      <c r="A28" s="4"/>
      <c r="B28" s="1"/>
      <c r="C28" s="5"/>
    </row>
    <row r="29" spans="1:5" x14ac:dyDescent="0.25">
      <c r="A29" s="4" t="s">
        <v>3</v>
      </c>
      <c r="B29" s="1">
        <f>(0.5+0.5+0.5+0.2+0.2+0.5)*4*12</f>
        <v>115.19999999999999</v>
      </c>
      <c r="C29" s="5" t="s">
        <v>11</v>
      </c>
    </row>
    <row r="30" spans="1:5" ht="90" x14ac:dyDescent="0.25">
      <c r="A30" s="6" t="s">
        <v>31</v>
      </c>
      <c r="B30" s="1">
        <f>+(2+2+1+2+2)*12</f>
        <v>108</v>
      </c>
      <c r="C30" s="5" t="s">
        <v>11</v>
      </c>
    </row>
    <row r="31" spans="1:5" ht="30" x14ac:dyDescent="0.25">
      <c r="A31" s="6" t="s">
        <v>32</v>
      </c>
      <c r="B31" s="1">
        <v>16</v>
      </c>
      <c r="C31" s="5" t="s">
        <v>11</v>
      </c>
    </row>
    <row r="32" spans="1:5" x14ac:dyDescent="0.25">
      <c r="A32" s="4" t="s">
        <v>6</v>
      </c>
      <c r="B32" s="1">
        <f>12*8</f>
        <v>96</v>
      </c>
      <c r="C32" s="5" t="s">
        <v>11</v>
      </c>
      <c r="E32" t="s">
        <v>30</v>
      </c>
    </row>
    <row r="33" spans="1:3" x14ac:dyDescent="0.25">
      <c r="A33" s="4"/>
      <c r="B33" s="1"/>
      <c r="C33" s="5"/>
    </row>
    <row r="34" spans="1:3" x14ac:dyDescent="0.25">
      <c r="A34" s="4" t="s">
        <v>7</v>
      </c>
      <c r="B34" s="1">
        <f>B32+B31+B30+B29</f>
        <v>335.2</v>
      </c>
      <c r="C34" s="5" t="s">
        <v>11</v>
      </c>
    </row>
    <row r="35" spans="1:3" x14ac:dyDescent="0.25">
      <c r="A35" s="4" t="s">
        <v>8</v>
      </c>
      <c r="B35" s="1">
        <f>B27-B34</f>
        <v>2256.8000000000002</v>
      </c>
      <c r="C35" s="5" t="s">
        <v>11</v>
      </c>
    </row>
    <row r="36" spans="1:3" x14ac:dyDescent="0.25">
      <c r="A36" s="4" t="s">
        <v>9</v>
      </c>
      <c r="B36" s="1">
        <f>B35/(B35+B34)</f>
        <v>0.87067901234567913</v>
      </c>
      <c r="C36" s="5" t="s">
        <v>12</v>
      </c>
    </row>
    <row r="37" spans="1:3" ht="15.75" thickBot="1" x14ac:dyDescent="0.3">
      <c r="A37" s="13" t="s">
        <v>10</v>
      </c>
      <c r="B37" s="2">
        <f>+(8+1+1+1)/4</f>
        <v>2.75</v>
      </c>
      <c r="C37" s="14" t="s">
        <v>11</v>
      </c>
    </row>
    <row r="38" spans="1:3" x14ac:dyDescent="0.25">
      <c r="A38" s="4" t="s">
        <v>71</v>
      </c>
      <c r="B38" s="1">
        <v>5</v>
      </c>
      <c r="C38" s="5" t="s">
        <v>75</v>
      </c>
    </row>
    <row r="39" spans="1:3" x14ac:dyDescent="0.25">
      <c r="A39" s="4" t="s">
        <v>72</v>
      </c>
      <c r="B39" s="1">
        <v>40</v>
      </c>
      <c r="C39" s="5" t="s">
        <v>75</v>
      </c>
    </row>
    <row r="40" spans="1:3" ht="15.75" thickBot="1" x14ac:dyDescent="0.3">
      <c r="A40" s="7" t="s">
        <v>73</v>
      </c>
      <c r="B40" s="8">
        <v>10</v>
      </c>
      <c r="C40" s="9" t="s">
        <v>75</v>
      </c>
    </row>
    <row r="41" spans="1:3" ht="16.5" thickTop="1" thickBot="1" x14ac:dyDescent="0.3"/>
    <row r="42" spans="1:3" ht="16.5" thickTop="1" thickBot="1" x14ac:dyDescent="0.3">
      <c r="A42" s="10" t="s">
        <v>74</v>
      </c>
      <c r="B42" s="11">
        <v>2</v>
      </c>
      <c r="C42" s="12" t="s">
        <v>75</v>
      </c>
    </row>
    <row r="43" spans="1:3" ht="16.5" thickTop="1" thickBot="1" x14ac:dyDescent="0.3"/>
    <row r="44" spans="1:3" ht="32.25" customHeight="1" thickTop="1" x14ac:dyDescent="0.25">
      <c r="A44" s="33" t="s">
        <v>16</v>
      </c>
      <c r="B44" s="34"/>
      <c r="C44" s="35"/>
    </row>
    <row r="45" spans="1:3" x14ac:dyDescent="0.25">
      <c r="A45" s="36" t="s">
        <v>15</v>
      </c>
      <c r="B45" s="37"/>
      <c r="C45" s="38"/>
    </row>
    <row r="46" spans="1:3" x14ac:dyDescent="0.25">
      <c r="A46" s="4" t="s">
        <v>0</v>
      </c>
      <c r="B46" s="1">
        <f>$B$25</f>
        <v>9</v>
      </c>
      <c r="C46" s="5" t="s">
        <v>11</v>
      </c>
    </row>
    <row r="47" spans="1:3" x14ac:dyDescent="0.25">
      <c r="A47" s="4" t="s">
        <v>1</v>
      </c>
      <c r="B47" s="1">
        <f>$B$26</f>
        <v>24</v>
      </c>
      <c r="C47" s="5" t="s">
        <v>13</v>
      </c>
    </row>
    <row r="48" spans="1:3" x14ac:dyDescent="0.25">
      <c r="A48" s="4" t="s">
        <v>2</v>
      </c>
      <c r="B48" s="1">
        <f>B47*B46*12</f>
        <v>2592</v>
      </c>
      <c r="C48" s="5" t="s">
        <v>11</v>
      </c>
    </row>
    <row r="49" spans="1:3" x14ac:dyDescent="0.25">
      <c r="A49" s="4"/>
      <c r="B49" s="1"/>
      <c r="C49" s="5"/>
    </row>
    <row r="50" spans="1:3" ht="45" x14ac:dyDescent="0.25">
      <c r="A50" s="6" t="s">
        <v>34</v>
      </c>
      <c r="B50" s="1">
        <f>(1)*4*12</f>
        <v>48</v>
      </c>
      <c r="C50" s="5" t="s">
        <v>11</v>
      </c>
    </row>
    <row r="51" spans="1:3" ht="60" x14ac:dyDescent="0.25">
      <c r="A51" s="6" t="s">
        <v>35</v>
      </c>
      <c r="B51" s="1">
        <f>+(2+2+2)*12</f>
        <v>72</v>
      </c>
      <c r="C51" s="5" t="s">
        <v>11</v>
      </c>
    </row>
    <row r="52" spans="1:3" ht="45" x14ac:dyDescent="0.25">
      <c r="A52" s="6" t="s">
        <v>33</v>
      </c>
      <c r="B52" s="1">
        <v>8</v>
      </c>
      <c r="C52" s="5" t="s">
        <v>11</v>
      </c>
    </row>
    <row r="53" spans="1:3" ht="45" x14ac:dyDescent="0.25">
      <c r="A53" s="6" t="s">
        <v>36</v>
      </c>
      <c r="B53" s="1">
        <f>12*4</f>
        <v>48</v>
      </c>
      <c r="C53" s="5" t="s">
        <v>11</v>
      </c>
    </row>
    <row r="54" spans="1:3" x14ac:dyDescent="0.25">
      <c r="A54" s="4"/>
      <c r="B54" s="1"/>
      <c r="C54" s="5"/>
    </row>
    <row r="55" spans="1:3" x14ac:dyDescent="0.25">
      <c r="A55" s="4" t="s">
        <v>7</v>
      </c>
      <c r="B55" s="1">
        <f>B53+B52+B51+B50</f>
        <v>176</v>
      </c>
      <c r="C55" s="5" t="s">
        <v>11</v>
      </c>
    </row>
    <row r="56" spans="1:3" x14ac:dyDescent="0.25">
      <c r="A56" s="4" t="s">
        <v>8</v>
      </c>
      <c r="B56" s="1">
        <f>B48-B55</f>
        <v>2416</v>
      </c>
      <c r="C56" s="5" t="s">
        <v>11</v>
      </c>
    </row>
    <row r="57" spans="1:3" x14ac:dyDescent="0.25">
      <c r="A57" s="4" t="s">
        <v>9</v>
      </c>
      <c r="B57" s="1">
        <f>B56/(B56+B55)</f>
        <v>0.9320987654320988</v>
      </c>
      <c r="C57" s="5" t="s">
        <v>12</v>
      </c>
    </row>
    <row r="58" spans="1:3" ht="15.75" thickBot="1" x14ac:dyDescent="0.3">
      <c r="A58" s="13" t="s">
        <v>10</v>
      </c>
      <c r="B58" s="2">
        <f>+(4+1+1+1)/4</f>
        <v>1.75</v>
      </c>
      <c r="C58" s="14" t="s">
        <v>11</v>
      </c>
    </row>
    <row r="59" spans="1:3" x14ac:dyDescent="0.25">
      <c r="A59" s="4" t="s">
        <v>71</v>
      </c>
      <c r="B59" s="1">
        <v>12</v>
      </c>
      <c r="C59" s="5" t="s">
        <v>75</v>
      </c>
    </row>
    <row r="60" spans="1:3" x14ac:dyDescent="0.25">
      <c r="A60" s="4" t="s">
        <v>72</v>
      </c>
      <c r="B60" s="1">
        <f>14*8</f>
        <v>112</v>
      </c>
      <c r="C60" s="5" t="s">
        <v>75</v>
      </c>
    </row>
    <row r="61" spans="1:3" ht="15.75" thickBot="1" x14ac:dyDescent="0.3">
      <c r="A61" s="7" t="s">
        <v>73</v>
      </c>
      <c r="B61" s="8">
        <v>10</v>
      </c>
      <c r="C61" s="9" t="s">
        <v>75</v>
      </c>
    </row>
    <row r="62" spans="1:3" ht="16.5" thickTop="1" thickBot="1" x14ac:dyDescent="0.3"/>
    <row r="63" spans="1:3" ht="16.5" thickTop="1" thickBot="1" x14ac:dyDescent="0.3">
      <c r="A63" s="10" t="s">
        <v>74</v>
      </c>
      <c r="B63" s="11">
        <v>5</v>
      </c>
      <c r="C63" s="12" t="s">
        <v>75</v>
      </c>
    </row>
    <row r="64" spans="1:3" ht="16.5" thickTop="1" thickBot="1" x14ac:dyDescent="0.3"/>
    <row r="65" spans="1:3" ht="15" customHeight="1" thickTop="1" x14ac:dyDescent="0.25">
      <c r="A65" s="39" t="s">
        <v>20</v>
      </c>
      <c r="B65" s="40"/>
      <c r="C65" s="41"/>
    </row>
    <row r="66" spans="1:3" ht="15.75" customHeight="1" thickBot="1" x14ac:dyDescent="0.3">
      <c r="A66" s="42" t="s">
        <v>21</v>
      </c>
      <c r="B66" s="43"/>
      <c r="C66" s="44"/>
    </row>
    <row r="67" spans="1:3" ht="15.75" thickTop="1" x14ac:dyDescent="0.25">
      <c r="A67" s="39" t="s">
        <v>23</v>
      </c>
      <c r="B67" s="40"/>
      <c r="C67" s="41"/>
    </row>
    <row r="68" spans="1:3" x14ac:dyDescent="0.25">
      <c r="A68" s="4" t="s">
        <v>0</v>
      </c>
      <c r="B68" s="1">
        <f>$B$25</f>
        <v>9</v>
      </c>
      <c r="C68" s="5" t="s">
        <v>11</v>
      </c>
    </row>
    <row r="69" spans="1:3" x14ac:dyDescent="0.25">
      <c r="A69" s="4" t="s">
        <v>1</v>
      </c>
      <c r="B69" s="1">
        <f>$B$26</f>
        <v>24</v>
      </c>
      <c r="C69" s="5" t="s">
        <v>13</v>
      </c>
    </row>
    <row r="70" spans="1:3" x14ac:dyDescent="0.25">
      <c r="A70" s="4" t="s">
        <v>2</v>
      </c>
      <c r="B70" s="1">
        <f>B69*B68*12</f>
        <v>2592</v>
      </c>
      <c r="C70" s="5" t="s">
        <v>11</v>
      </c>
    </row>
    <row r="71" spans="1:3" x14ac:dyDescent="0.25">
      <c r="A71" s="4"/>
      <c r="B71" s="1"/>
      <c r="C71" s="5"/>
    </row>
    <row r="72" spans="1:3" x14ac:dyDescent="0.25">
      <c r="A72" s="4" t="s">
        <v>3</v>
      </c>
      <c r="B72" s="1">
        <f>(1)*4*12</f>
        <v>48</v>
      </c>
      <c r="C72" s="5" t="s">
        <v>11</v>
      </c>
    </row>
    <row r="73" spans="1:3" ht="45" x14ac:dyDescent="0.25">
      <c r="A73" s="6" t="s">
        <v>40</v>
      </c>
      <c r="B73" s="1">
        <f>(1)*12</f>
        <v>12</v>
      </c>
      <c r="C73" s="5" t="s">
        <v>11</v>
      </c>
    </row>
    <row r="74" spans="1:3" ht="45" x14ac:dyDescent="0.25">
      <c r="A74" s="6" t="s">
        <v>41</v>
      </c>
      <c r="B74" s="1">
        <f>3*4</f>
        <v>12</v>
      </c>
      <c r="C74" s="5" t="s">
        <v>11</v>
      </c>
    </row>
    <row r="75" spans="1:3" x14ac:dyDescent="0.25">
      <c r="A75" s="4" t="s">
        <v>6</v>
      </c>
      <c r="B75" s="1">
        <f>12*4</f>
        <v>48</v>
      </c>
      <c r="C75" s="5" t="s">
        <v>11</v>
      </c>
    </row>
    <row r="76" spans="1:3" x14ac:dyDescent="0.25">
      <c r="A76" s="4"/>
      <c r="B76" s="1"/>
      <c r="C76" s="5"/>
    </row>
    <row r="77" spans="1:3" x14ac:dyDescent="0.25">
      <c r="A77" s="4" t="s">
        <v>7</v>
      </c>
      <c r="B77" s="1">
        <f>B75+B74+B73+B72</f>
        <v>120</v>
      </c>
      <c r="C77" s="5" t="s">
        <v>11</v>
      </c>
    </row>
    <row r="78" spans="1:3" x14ac:dyDescent="0.25">
      <c r="A78" s="4" t="s">
        <v>8</v>
      </c>
      <c r="B78" s="1">
        <f>B70-B77</f>
        <v>2472</v>
      </c>
      <c r="C78" s="5" t="s">
        <v>11</v>
      </c>
    </row>
    <row r="79" spans="1:3" x14ac:dyDescent="0.25">
      <c r="A79" s="4" t="s">
        <v>9</v>
      </c>
      <c r="B79" s="1">
        <f>B78/(B78+B77)</f>
        <v>0.95370370370370372</v>
      </c>
      <c r="C79" s="5" t="s">
        <v>12</v>
      </c>
    </row>
    <row r="80" spans="1:3" ht="15.75" thickBot="1" x14ac:dyDescent="0.3">
      <c r="A80" s="4" t="s">
        <v>10</v>
      </c>
      <c r="B80" s="2">
        <f>+(4+1+1+1)/4</f>
        <v>1.75</v>
      </c>
      <c r="C80" s="5" t="s">
        <v>11</v>
      </c>
    </row>
    <row r="81" spans="1:3" x14ac:dyDescent="0.25">
      <c r="A81" s="4" t="s">
        <v>71</v>
      </c>
      <c r="B81" s="1">
        <f>20/8</f>
        <v>2.5</v>
      </c>
      <c r="C81" s="5" t="s">
        <v>75</v>
      </c>
    </row>
    <row r="82" spans="1:3" x14ac:dyDescent="0.25">
      <c r="A82" s="4" t="s">
        <v>72</v>
      </c>
      <c r="B82" s="1">
        <v>20</v>
      </c>
      <c r="C82" s="5" t="s">
        <v>75</v>
      </c>
    </row>
    <row r="83" spans="1:3" ht="15.75" thickBot="1" x14ac:dyDescent="0.3">
      <c r="A83" s="7" t="s">
        <v>73</v>
      </c>
      <c r="B83" s="8">
        <v>5</v>
      </c>
      <c r="C83" s="9" t="s">
        <v>75</v>
      </c>
    </row>
    <row r="84" spans="1:3" ht="16.5" thickTop="1" thickBot="1" x14ac:dyDescent="0.3"/>
    <row r="85" spans="1:3" ht="16.5" thickTop="1" thickBot="1" x14ac:dyDescent="0.3">
      <c r="A85" s="10" t="s">
        <v>74</v>
      </c>
      <c r="B85" s="11">
        <v>2</v>
      </c>
      <c r="C85" s="12" t="s">
        <v>75</v>
      </c>
    </row>
    <row r="86" spans="1:3" ht="16.5" thickTop="1" thickBot="1" x14ac:dyDescent="0.3"/>
    <row r="87" spans="1:3" ht="15.75" thickTop="1" x14ac:dyDescent="0.25">
      <c r="A87" s="33" t="s">
        <v>17</v>
      </c>
      <c r="B87" s="34"/>
      <c r="C87" s="35"/>
    </row>
    <row r="88" spans="1:3" ht="30" customHeight="1" x14ac:dyDescent="0.25">
      <c r="A88" s="45" t="s">
        <v>19</v>
      </c>
      <c r="B88" s="46"/>
      <c r="C88" s="47"/>
    </row>
    <row r="89" spans="1:3" x14ac:dyDescent="0.25">
      <c r="A89" s="36" t="s">
        <v>18</v>
      </c>
      <c r="B89" s="37"/>
      <c r="C89" s="38"/>
    </row>
    <row r="90" spans="1:3" x14ac:dyDescent="0.25">
      <c r="A90" s="4" t="s">
        <v>0</v>
      </c>
      <c r="B90" s="1">
        <f>$B$25</f>
        <v>9</v>
      </c>
      <c r="C90" s="5" t="s">
        <v>11</v>
      </c>
    </row>
    <row r="91" spans="1:3" x14ac:dyDescent="0.25">
      <c r="A91" s="4" t="s">
        <v>1</v>
      </c>
      <c r="B91" s="1">
        <f>$B$26</f>
        <v>24</v>
      </c>
      <c r="C91" s="5" t="s">
        <v>13</v>
      </c>
    </row>
    <row r="92" spans="1:3" x14ac:dyDescent="0.25">
      <c r="A92" s="4" t="s">
        <v>2</v>
      </c>
      <c r="B92" s="1">
        <f>B91*B90*12</f>
        <v>2592</v>
      </c>
      <c r="C92" s="5" t="s">
        <v>11</v>
      </c>
    </row>
    <row r="93" spans="1:3" x14ac:dyDescent="0.25">
      <c r="A93" s="4"/>
      <c r="B93" s="1"/>
      <c r="C93" s="5"/>
    </row>
    <row r="94" spans="1:3" ht="45" x14ac:dyDescent="0.25">
      <c r="A94" s="6" t="s">
        <v>37</v>
      </c>
      <c r="B94" s="1">
        <f>(0.2)*B91*12</f>
        <v>57.600000000000009</v>
      </c>
      <c r="C94" s="5" t="s">
        <v>11</v>
      </c>
    </row>
    <row r="95" spans="1:3" x14ac:dyDescent="0.25">
      <c r="A95" s="4" t="s">
        <v>4</v>
      </c>
      <c r="B95" s="1">
        <f>(1)*12</f>
        <v>12</v>
      </c>
      <c r="C95" s="5" t="s">
        <v>11</v>
      </c>
    </row>
    <row r="96" spans="1:3" ht="60" x14ac:dyDescent="0.25">
      <c r="A96" s="6" t="s">
        <v>39</v>
      </c>
      <c r="B96" s="1">
        <f>3*4</f>
        <v>12</v>
      </c>
      <c r="C96" s="5" t="s">
        <v>11</v>
      </c>
    </row>
    <row r="97" spans="1:3" ht="30" x14ac:dyDescent="0.25">
      <c r="A97" s="6" t="s">
        <v>38</v>
      </c>
      <c r="B97" s="1">
        <f>12*2</f>
        <v>24</v>
      </c>
      <c r="C97" s="5" t="s">
        <v>11</v>
      </c>
    </row>
    <row r="98" spans="1:3" x14ac:dyDescent="0.25">
      <c r="A98" s="4"/>
      <c r="B98" s="1"/>
      <c r="C98" s="5"/>
    </row>
    <row r="99" spans="1:3" x14ac:dyDescent="0.25">
      <c r="A99" s="4" t="s">
        <v>7</v>
      </c>
      <c r="B99" s="1">
        <f>B97+B96+B95+B94</f>
        <v>105.60000000000001</v>
      </c>
      <c r="C99" s="5" t="s">
        <v>11</v>
      </c>
    </row>
    <row r="100" spans="1:3" x14ac:dyDescent="0.25">
      <c r="A100" s="4" t="s">
        <v>8</v>
      </c>
      <c r="B100" s="1">
        <f>B92-B99</f>
        <v>2486.4</v>
      </c>
      <c r="C100" s="5" t="s">
        <v>11</v>
      </c>
    </row>
    <row r="101" spans="1:3" x14ac:dyDescent="0.25">
      <c r="A101" s="4" t="s">
        <v>9</v>
      </c>
      <c r="B101" s="1">
        <f>B100/(B100+B99)</f>
        <v>0.95925925925925926</v>
      </c>
      <c r="C101" s="5" t="s">
        <v>12</v>
      </c>
    </row>
    <row r="102" spans="1:3" ht="15.75" thickBot="1" x14ac:dyDescent="0.3">
      <c r="A102" s="4" t="s">
        <v>10</v>
      </c>
      <c r="B102" s="2">
        <f>+(1+1+1+1)/4</f>
        <v>1</v>
      </c>
      <c r="C102" s="5" t="s">
        <v>11</v>
      </c>
    </row>
    <row r="103" spans="1:3" x14ac:dyDescent="0.25">
      <c r="A103" s="4" t="s">
        <v>71</v>
      </c>
      <c r="B103" s="1">
        <v>15</v>
      </c>
      <c r="C103" s="5" t="s">
        <v>75</v>
      </c>
    </row>
    <row r="104" spans="1:3" x14ac:dyDescent="0.25">
      <c r="A104" s="4" t="s">
        <v>72</v>
      </c>
      <c r="B104" s="1">
        <f>B103*8</f>
        <v>120</v>
      </c>
      <c r="C104" s="5" t="s">
        <v>75</v>
      </c>
    </row>
    <row r="105" spans="1:3" ht="15.75" thickBot="1" x14ac:dyDescent="0.3">
      <c r="A105" s="7" t="s">
        <v>73</v>
      </c>
      <c r="B105" s="8">
        <v>7</v>
      </c>
      <c r="C105" s="9" t="s">
        <v>75</v>
      </c>
    </row>
    <row r="106" spans="1:3" ht="16.5" thickTop="1" thickBot="1" x14ac:dyDescent="0.3"/>
    <row r="107" spans="1:3" ht="16.5" thickTop="1" thickBot="1" x14ac:dyDescent="0.3">
      <c r="A107" s="10" t="s">
        <v>74</v>
      </c>
      <c r="B107" s="11">
        <v>2</v>
      </c>
      <c r="C107" s="12" t="s">
        <v>75</v>
      </c>
    </row>
    <row r="108" spans="1:3" ht="16.5" thickTop="1" thickBot="1" x14ac:dyDescent="0.3"/>
    <row r="109" spans="1:3" ht="15.75" thickTop="1" x14ac:dyDescent="0.25">
      <c r="A109" s="33" t="s">
        <v>22</v>
      </c>
      <c r="B109" s="34"/>
      <c r="C109" s="35"/>
    </row>
    <row r="110" spans="1:3" x14ac:dyDescent="0.25">
      <c r="A110" s="45" t="s">
        <v>25</v>
      </c>
      <c r="B110" s="46"/>
      <c r="C110" s="47"/>
    </row>
    <row r="111" spans="1:3" x14ac:dyDescent="0.25">
      <c r="A111" s="36" t="s">
        <v>24</v>
      </c>
      <c r="B111" s="37"/>
      <c r="C111" s="38"/>
    </row>
    <row r="112" spans="1:3" x14ac:dyDescent="0.25">
      <c r="A112" s="4" t="s">
        <v>0</v>
      </c>
      <c r="B112" s="1">
        <f>$B$25</f>
        <v>9</v>
      </c>
      <c r="C112" s="5" t="s">
        <v>11</v>
      </c>
    </row>
    <row r="113" spans="1:3" x14ac:dyDescent="0.25">
      <c r="A113" s="4" t="s">
        <v>1</v>
      </c>
      <c r="B113" s="1">
        <f>$B$26</f>
        <v>24</v>
      </c>
      <c r="C113" s="5" t="s">
        <v>13</v>
      </c>
    </row>
    <row r="114" spans="1:3" x14ac:dyDescent="0.25">
      <c r="A114" s="4" t="s">
        <v>2</v>
      </c>
      <c r="B114" s="1">
        <f>B113*B112*12</f>
        <v>2592</v>
      </c>
      <c r="C114" s="5" t="s">
        <v>11</v>
      </c>
    </row>
    <row r="115" spans="1:3" x14ac:dyDescent="0.25">
      <c r="A115" s="4"/>
      <c r="B115" s="1"/>
      <c r="C115" s="5"/>
    </row>
    <row r="116" spans="1:3" ht="210" x14ac:dyDescent="0.25">
      <c r="A116" s="6" t="s">
        <v>42</v>
      </c>
      <c r="B116" s="1">
        <f>(2)*4*12</f>
        <v>96</v>
      </c>
      <c r="C116" s="5" t="s">
        <v>11</v>
      </c>
    </row>
    <row r="117" spans="1:3" x14ac:dyDescent="0.25">
      <c r="A117" s="4" t="s">
        <v>4</v>
      </c>
      <c r="B117" s="1">
        <f>(4)*12</f>
        <v>48</v>
      </c>
      <c r="C117" s="5" t="s">
        <v>11</v>
      </c>
    </row>
    <row r="118" spans="1:3" ht="45" x14ac:dyDescent="0.25">
      <c r="A118" s="6" t="s">
        <v>43</v>
      </c>
      <c r="B118" s="1">
        <f>3*8</f>
        <v>24</v>
      </c>
      <c r="C118" s="5" t="s">
        <v>11</v>
      </c>
    </row>
    <row r="119" spans="1:3" x14ac:dyDescent="0.25">
      <c r="A119" s="4" t="s">
        <v>6</v>
      </c>
      <c r="B119" s="1">
        <f>12*8</f>
        <v>96</v>
      </c>
      <c r="C119" s="5" t="s">
        <v>11</v>
      </c>
    </row>
    <row r="120" spans="1:3" x14ac:dyDescent="0.25">
      <c r="A120" s="4"/>
      <c r="B120" s="1"/>
      <c r="C120" s="5"/>
    </row>
    <row r="121" spans="1:3" x14ac:dyDescent="0.25">
      <c r="A121" s="4" t="s">
        <v>7</v>
      </c>
      <c r="B121" s="1">
        <f>B119+B118+B117+B116</f>
        <v>264</v>
      </c>
      <c r="C121" s="5" t="s">
        <v>11</v>
      </c>
    </row>
    <row r="122" spans="1:3" x14ac:dyDescent="0.25">
      <c r="A122" s="4" t="s">
        <v>8</v>
      </c>
      <c r="B122" s="1">
        <f>B114-B121</f>
        <v>2328</v>
      </c>
      <c r="C122" s="5" t="s">
        <v>11</v>
      </c>
    </row>
    <row r="123" spans="1:3" x14ac:dyDescent="0.25">
      <c r="A123" s="4" t="s">
        <v>9</v>
      </c>
      <c r="B123" s="1">
        <f>B122/(B122+B121)</f>
        <v>0.89814814814814814</v>
      </c>
      <c r="C123" s="5" t="s">
        <v>12</v>
      </c>
    </row>
    <row r="124" spans="1:3" ht="15.75" thickBot="1" x14ac:dyDescent="0.3">
      <c r="A124" s="4" t="s">
        <v>10</v>
      </c>
      <c r="B124" s="2">
        <f>+(8+1+1+1)/4</f>
        <v>2.75</v>
      </c>
      <c r="C124" s="5" t="s">
        <v>11</v>
      </c>
    </row>
    <row r="125" spans="1:3" x14ac:dyDescent="0.25">
      <c r="A125" s="4" t="s">
        <v>71</v>
      </c>
      <c r="B125" s="1">
        <v>45</v>
      </c>
      <c r="C125" s="5" t="s">
        <v>75</v>
      </c>
    </row>
    <row r="126" spans="1:3" x14ac:dyDescent="0.25">
      <c r="A126" s="4" t="s">
        <v>72</v>
      </c>
      <c r="B126" s="1">
        <v>45</v>
      </c>
      <c r="C126" s="5" t="s">
        <v>75</v>
      </c>
    </row>
    <row r="127" spans="1:3" ht="15.75" thickBot="1" x14ac:dyDescent="0.3">
      <c r="A127" s="7" t="s">
        <v>73</v>
      </c>
      <c r="B127" s="8">
        <v>7</v>
      </c>
      <c r="C127" s="9" t="s">
        <v>75</v>
      </c>
    </row>
    <row r="128" spans="1:3" ht="16.5" thickTop="1" thickBot="1" x14ac:dyDescent="0.3"/>
    <row r="129" spans="1:3" ht="16.5" thickTop="1" thickBot="1" x14ac:dyDescent="0.3">
      <c r="A129" s="10" t="s">
        <v>74</v>
      </c>
      <c r="B129" s="11">
        <v>5</v>
      </c>
      <c r="C129" s="12" t="s">
        <v>75</v>
      </c>
    </row>
    <row r="130" spans="1:3" ht="16.5" thickTop="1" thickBot="1" x14ac:dyDescent="0.3"/>
    <row r="131" spans="1:3" ht="15.75" thickTop="1" x14ac:dyDescent="0.25">
      <c r="A131" s="33" t="s">
        <v>27</v>
      </c>
      <c r="B131" s="34"/>
      <c r="C131" s="35"/>
    </row>
    <row r="132" spans="1:3" x14ac:dyDescent="0.25">
      <c r="A132" s="45" t="s">
        <v>69</v>
      </c>
      <c r="B132" s="46"/>
      <c r="C132" s="47"/>
    </row>
    <row r="133" spans="1:3" x14ac:dyDescent="0.25">
      <c r="A133" s="36" t="s">
        <v>68</v>
      </c>
      <c r="B133" s="37"/>
      <c r="C133" s="38"/>
    </row>
    <row r="134" spans="1:3" x14ac:dyDescent="0.25">
      <c r="A134" s="4" t="s">
        <v>0</v>
      </c>
      <c r="B134" s="1">
        <f>$B$25</f>
        <v>9</v>
      </c>
      <c r="C134" s="5" t="s">
        <v>11</v>
      </c>
    </row>
    <row r="135" spans="1:3" x14ac:dyDescent="0.25">
      <c r="A135" s="4" t="s">
        <v>1</v>
      </c>
      <c r="B135" s="1">
        <f>$B$26</f>
        <v>24</v>
      </c>
      <c r="C135" s="5" t="s">
        <v>13</v>
      </c>
    </row>
    <row r="136" spans="1:3" x14ac:dyDescent="0.25">
      <c r="A136" s="4" t="s">
        <v>2</v>
      </c>
      <c r="B136" s="1">
        <f>B135*B134*12</f>
        <v>2592</v>
      </c>
      <c r="C136" s="5" t="s">
        <v>11</v>
      </c>
    </row>
    <row r="137" spans="1:3" x14ac:dyDescent="0.25">
      <c r="A137" s="4"/>
      <c r="B137" s="1"/>
      <c r="C137" s="5"/>
    </row>
    <row r="138" spans="1:3" x14ac:dyDescent="0.25">
      <c r="A138" s="4" t="s">
        <v>3</v>
      </c>
      <c r="B138" s="1">
        <f>(1)*12</f>
        <v>12</v>
      </c>
      <c r="C138" s="5" t="s">
        <v>11</v>
      </c>
    </row>
    <row r="139" spans="1:3" x14ac:dyDescent="0.25">
      <c r="A139" s="4" t="s">
        <v>4</v>
      </c>
      <c r="B139" s="1">
        <f>(2)*12</f>
        <v>24</v>
      </c>
      <c r="C139" s="5" t="s">
        <v>11</v>
      </c>
    </row>
    <row r="140" spans="1:3" ht="30" x14ac:dyDescent="0.25">
      <c r="A140" s="6" t="s">
        <v>70</v>
      </c>
      <c r="B140" s="1">
        <f>1*12</f>
        <v>12</v>
      </c>
      <c r="C140" s="5" t="s">
        <v>11</v>
      </c>
    </row>
    <row r="141" spans="1:3" x14ac:dyDescent="0.25">
      <c r="A141" s="4" t="s">
        <v>6</v>
      </c>
      <c r="B141" s="1">
        <f>12*2</f>
        <v>24</v>
      </c>
      <c r="C141" s="5" t="s">
        <v>11</v>
      </c>
    </row>
    <row r="142" spans="1:3" x14ac:dyDescent="0.25">
      <c r="A142" s="4"/>
      <c r="B142" s="1"/>
      <c r="C142" s="5"/>
    </row>
    <row r="143" spans="1:3" x14ac:dyDescent="0.25">
      <c r="A143" s="4" t="s">
        <v>7</v>
      </c>
      <c r="B143" s="1">
        <f>B141+B140+B139+B138</f>
        <v>72</v>
      </c>
      <c r="C143" s="5" t="s">
        <v>11</v>
      </c>
    </row>
    <row r="144" spans="1:3" x14ac:dyDescent="0.25">
      <c r="A144" s="4" t="s">
        <v>8</v>
      </c>
      <c r="B144" s="1">
        <f>B136-B143</f>
        <v>2520</v>
      </c>
      <c r="C144" s="5" t="s">
        <v>11</v>
      </c>
    </row>
    <row r="145" spans="1:3" x14ac:dyDescent="0.25">
      <c r="A145" s="4" t="s">
        <v>9</v>
      </c>
      <c r="B145" s="1">
        <f>B144/(B144+B143)</f>
        <v>0.97222222222222221</v>
      </c>
      <c r="C145" s="5" t="s">
        <v>12</v>
      </c>
    </row>
    <row r="146" spans="1:3" ht="15.75" thickBot="1" x14ac:dyDescent="0.3">
      <c r="A146" s="4" t="s">
        <v>10</v>
      </c>
      <c r="B146" s="2">
        <f>+(2)/4</f>
        <v>0.5</v>
      </c>
      <c r="C146" s="5" t="s">
        <v>11</v>
      </c>
    </row>
    <row r="147" spans="1:3" x14ac:dyDescent="0.25">
      <c r="A147" s="4" t="s">
        <v>71</v>
      </c>
      <c r="B147" s="1">
        <f>B148/8</f>
        <v>1.25</v>
      </c>
      <c r="C147" s="5" t="s">
        <v>75</v>
      </c>
    </row>
    <row r="148" spans="1:3" x14ac:dyDescent="0.25">
      <c r="A148" s="4" t="s">
        <v>72</v>
      </c>
      <c r="B148" s="1">
        <v>10</v>
      </c>
      <c r="C148" s="5" t="s">
        <v>75</v>
      </c>
    </row>
    <row r="149" spans="1:3" ht="15.75" thickBot="1" x14ac:dyDescent="0.3">
      <c r="A149" s="7" t="s">
        <v>73</v>
      </c>
      <c r="B149" s="8">
        <v>5</v>
      </c>
      <c r="C149" s="9" t="s">
        <v>75</v>
      </c>
    </row>
    <row r="150" spans="1:3" ht="16.5" thickTop="1" thickBot="1" x14ac:dyDescent="0.3"/>
    <row r="151" spans="1:3" ht="16.5" thickTop="1" thickBot="1" x14ac:dyDescent="0.3">
      <c r="A151" s="10" t="s">
        <v>74</v>
      </c>
      <c r="B151" s="11">
        <v>2</v>
      </c>
      <c r="C151" s="12" t="s">
        <v>75</v>
      </c>
    </row>
    <row r="152" spans="1:3" ht="16.5" thickTop="1" thickBot="1" x14ac:dyDescent="0.3"/>
    <row r="153" spans="1:3" ht="15.75" thickTop="1" x14ac:dyDescent="0.25">
      <c r="A153" s="33" t="s">
        <v>27</v>
      </c>
      <c r="B153" s="34"/>
      <c r="C153" s="35"/>
    </row>
    <row r="154" spans="1:3" x14ac:dyDescent="0.25">
      <c r="A154" s="45" t="s">
        <v>28</v>
      </c>
      <c r="B154" s="46"/>
      <c r="C154" s="47"/>
    </row>
    <row r="155" spans="1:3" x14ac:dyDescent="0.25">
      <c r="A155" s="36" t="s">
        <v>26</v>
      </c>
      <c r="B155" s="37"/>
      <c r="C155" s="38"/>
    </row>
    <row r="156" spans="1:3" x14ac:dyDescent="0.25">
      <c r="A156" s="4" t="s">
        <v>0</v>
      </c>
      <c r="B156" s="1">
        <f>$B$25</f>
        <v>9</v>
      </c>
      <c r="C156" s="5" t="s">
        <v>11</v>
      </c>
    </row>
    <row r="157" spans="1:3" x14ac:dyDescent="0.25">
      <c r="A157" s="4" t="s">
        <v>1</v>
      </c>
      <c r="B157" s="1">
        <f>$B$26</f>
        <v>24</v>
      </c>
      <c r="C157" s="5" t="s">
        <v>13</v>
      </c>
    </row>
    <row r="158" spans="1:3" x14ac:dyDescent="0.25">
      <c r="A158" s="4" t="s">
        <v>2</v>
      </c>
      <c r="B158" s="1">
        <f>B157*B156*12</f>
        <v>2592</v>
      </c>
      <c r="C158" s="5" t="s">
        <v>11</v>
      </c>
    </row>
    <row r="159" spans="1:3" x14ac:dyDescent="0.25">
      <c r="A159" s="4"/>
      <c r="B159" s="1"/>
      <c r="C159" s="5"/>
    </row>
    <row r="160" spans="1:3" x14ac:dyDescent="0.25">
      <c r="A160" s="4" t="s">
        <v>3</v>
      </c>
      <c r="B160" s="1">
        <f>(1)*4*12</f>
        <v>48</v>
      </c>
      <c r="C160" s="5" t="s">
        <v>11</v>
      </c>
    </row>
    <row r="161" spans="1:3" x14ac:dyDescent="0.25">
      <c r="A161" s="4" t="s">
        <v>4</v>
      </c>
      <c r="B161" s="1">
        <f>(2)*12</f>
        <v>24</v>
      </c>
      <c r="C161" s="5" t="s">
        <v>11</v>
      </c>
    </row>
    <row r="162" spans="1:3" ht="30" x14ac:dyDescent="0.25">
      <c r="A162" s="6" t="s">
        <v>45</v>
      </c>
      <c r="B162" s="1">
        <f>3*8</f>
        <v>24</v>
      </c>
      <c r="C162" s="5" t="s">
        <v>11</v>
      </c>
    </row>
    <row r="163" spans="1:3" x14ac:dyDescent="0.25">
      <c r="A163" s="4" t="s">
        <v>6</v>
      </c>
      <c r="B163" s="1">
        <f>12*4</f>
        <v>48</v>
      </c>
      <c r="C163" s="5" t="s">
        <v>11</v>
      </c>
    </row>
    <row r="164" spans="1:3" x14ac:dyDescent="0.25">
      <c r="A164" s="4"/>
      <c r="B164" s="1"/>
      <c r="C164" s="5"/>
    </row>
    <row r="165" spans="1:3" x14ac:dyDescent="0.25">
      <c r="A165" s="4" t="s">
        <v>7</v>
      </c>
      <c r="B165" s="1">
        <f>B163+B162+B161+B160</f>
        <v>144</v>
      </c>
      <c r="C165" s="5" t="s">
        <v>11</v>
      </c>
    </row>
    <row r="166" spans="1:3" x14ac:dyDescent="0.25">
      <c r="A166" s="4" t="s">
        <v>8</v>
      </c>
      <c r="B166" s="1">
        <f>B158-B165</f>
        <v>2448</v>
      </c>
      <c r="C166" s="5" t="s">
        <v>11</v>
      </c>
    </row>
    <row r="167" spans="1:3" x14ac:dyDescent="0.25">
      <c r="A167" s="4" t="s">
        <v>9</v>
      </c>
      <c r="B167" s="1">
        <f>B166/(B166+B165)</f>
        <v>0.94444444444444442</v>
      </c>
      <c r="C167" s="5" t="s">
        <v>12</v>
      </c>
    </row>
    <row r="168" spans="1:3" ht="15.75" thickBot="1" x14ac:dyDescent="0.3">
      <c r="A168" s="4" t="s">
        <v>10</v>
      </c>
      <c r="B168" s="2">
        <f>+(2+1+1+1)/4</f>
        <v>1.25</v>
      </c>
      <c r="C168" s="5" t="s">
        <v>11</v>
      </c>
    </row>
    <row r="169" spans="1:3" x14ac:dyDescent="0.25">
      <c r="A169" s="4" t="s">
        <v>71</v>
      </c>
      <c r="B169" s="1">
        <f>B170/8</f>
        <v>1.25</v>
      </c>
      <c r="C169" s="5" t="s">
        <v>75</v>
      </c>
    </row>
    <row r="170" spans="1:3" x14ac:dyDescent="0.25">
      <c r="A170" s="4" t="s">
        <v>72</v>
      </c>
      <c r="B170" s="1">
        <v>10</v>
      </c>
      <c r="C170" s="5" t="s">
        <v>75</v>
      </c>
    </row>
    <row r="171" spans="1:3" ht="15.75" thickBot="1" x14ac:dyDescent="0.3">
      <c r="A171" s="7" t="s">
        <v>73</v>
      </c>
      <c r="B171" s="8">
        <v>5</v>
      </c>
      <c r="C171" s="9" t="s">
        <v>75</v>
      </c>
    </row>
    <row r="172" spans="1:3" ht="16.5" thickTop="1" thickBot="1" x14ac:dyDescent="0.3"/>
    <row r="173" spans="1:3" ht="16.5" thickTop="1" thickBot="1" x14ac:dyDescent="0.3">
      <c r="A173" s="10" t="s">
        <v>74</v>
      </c>
      <c r="B173" s="11">
        <v>2</v>
      </c>
      <c r="C173" s="12" t="s">
        <v>75</v>
      </c>
    </row>
    <row r="174" spans="1:3" ht="16.5" thickTop="1" thickBot="1" x14ac:dyDescent="0.3"/>
    <row r="175" spans="1:3" ht="27" customHeight="1" thickTop="1" x14ac:dyDescent="0.25">
      <c r="A175" s="33" t="s">
        <v>29</v>
      </c>
      <c r="B175" s="34"/>
      <c r="C175" s="35"/>
    </row>
    <row r="176" spans="1:3" x14ac:dyDescent="0.25">
      <c r="A176" s="48" t="s">
        <v>27</v>
      </c>
      <c r="B176" s="49"/>
      <c r="C176" s="50"/>
    </row>
    <row r="177" spans="1:3" x14ac:dyDescent="0.25">
      <c r="A177" s="36" t="s">
        <v>76</v>
      </c>
      <c r="B177" s="37"/>
      <c r="C177" s="38"/>
    </row>
    <row r="178" spans="1:3" x14ac:dyDescent="0.25">
      <c r="A178" s="4" t="s">
        <v>0</v>
      </c>
      <c r="B178" s="1">
        <f>$B$25</f>
        <v>9</v>
      </c>
      <c r="C178" s="5" t="s">
        <v>11</v>
      </c>
    </row>
    <row r="179" spans="1:3" x14ac:dyDescent="0.25">
      <c r="A179" s="4" t="s">
        <v>1</v>
      </c>
      <c r="B179" s="1">
        <f>$B$26</f>
        <v>24</v>
      </c>
      <c r="C179" s="5" t="s">
        <v>13</v>
      </c>
    </row>
    <row r="180" spans="1:3" x14ac:dyDescent="0.25">
      <c r="A180" s="4" t="s">
        <v>2</v>
      </c>
      <c r="B180" s="1">
        <f>B179*B178*12</f>
        <v>2592</v>
      </c>
      <c r="C180" s="5" t="s">
        <v>11</v>
      </c>
    </row>
    <row r="181" spans="1:3" x14ac:dyDescent="0.25">
      <c r="A181" s="4"/>
      <c r="B181" s="1"/>
      <c r="C181" s="5"/>
    </row>
    <row r="182" spans="1:3" x14ac:dyDescent="0.25">
      <c r="A182" s="4" t="s">
        <v>3</v>
      </c>
      <c r="B182" s="1">
        <f>(1)*4*12</f>
        <v>48</v>
      </c>
      <c r="C182" s="5" t="s">
        <v>11</v>
      </c>
    </row>
    <row r="183" spans="1:3" x14ac:dyDescent="0.25">
      <c r="A183" s="4" t="s">
        <v>4</v>
      </c>
      <c r="B183" s="1">
        <f>(2)*12</f>
        <v>24</v>
      </c>
      <c r="C183" s="5" t="s">
        <v>11</v>
      </c>
    </row>
    <row r="184" spans="1:3" ht="30" x14ac:dyDescent="0.25">
      <c r="A184" s="6" t="s">
        <v>44</v>
      </c>
      <c r="B184" s="1">
        <f>3*8</f>
        <v>24</v>
      </c>
      <c r="C184" s="5" t="s">
        <v>11</v>
      </c>
    </row>
    <row r="185" spans="1:3" x14ac:dyDescent="0.25">
      <c r="A185" s="4" t="s">
        <v>6</v>
      </c>
      <c r="B185" s="1">
        <f>12*4</f>
        <v>48</v>
      </c>
      <c r="C185" s="5" t="s">
        <v>11</v>
      </c>
    </row>
    <row r="186" spans="1:3" x14ac:dyDescent="0.25">
      <c r="A186" s="4"/>
      <c r="B186" s="1"/>
      <c r="C186" s="5"/>
    </row>
    <row r="187" spans="1:3" x14ac:dyDescent="0.25">
      <c r="A187" s="4" t="s">
        <v>7</v>
      </c>
      <c r="B187" s="1">
        <f>B185+B184+B183+B182</f>
        <v>144</v>
      </c>
      <c r="C187" s="5" t="s">
        <v>11</v>
      </c>
    </row>
    <row r="188" spans="1:3" x14ac:dyDescent="0.25">
      <c r="A188" s="4" t="s">
        <v>8</v>
      </c>
      <c r="B188" s="1">
        <f>B180-B187</f>
        <v>2448</v>
      </c>
      <c r="C188" s="5" t="s">
        <v>11</v>
      </c>
    </row>
    <row r="189" spans="1:3" x14ac:dyDescent="0.25">
      <c r="A189" s="4" t="s">
        <v>9</v>
      </c>
      <c r="B189" s="1">
        <f>B188/(B188+B187)</f>
        <v>0.94444444444444442</v>
      </c>
      <c r="C189" s="5" t="s">
        <v>12</v>
      </c>
    </row>
    <row r="190" spans="1:3" ht="15.75" thickBot="1" x14ac:dyDescent="0.3">
      <c r="A190" s="4" t="s">
        <v>10</v>
      </c>
      <c r="B190" s="2">
        <f>+(2)/4</f>
        <v>0.5</v>
      </c>
      <c r="C190" s="5" t="s">
        <v>11</v>
      </c>
    </row>
    <row r="191" spans="1:3" x14ac:dyDescent="0.25">
      <c r="A191" s="4" t="s">
        <v>71</v>
      </c>
      <c r="B191" s="1">
        <v>2</v>
      </c>
      <c r="C191" s="5" t="s">
        <v>75</v>
      </c>
    </row>
    <row r="192" spans="1:3" x14ac:dyDescent="0.25">
      <c r="A192" s="4" t="s">
        <v>72</v>
      </c>
      <c r="B192" s="1">
        <v>16</v>
      </c>
      <c r="C192" s="5" t="s">
        <v>75</v>
      </c>
    </row>
    <row r="193" spans="1:3" ht="15.75" thickBot="1" x14ac:dyDescent="0.3">
      <c r="A193" s="7" t="s">
        <v>73</v>
      </c>
      <c r="B193" s="8">
        <v>2</v>
      </c>
      <c r="C193" s="9" t="s">
        <v>75</v>
      </c>
    </row>
    <row r="194" spans="1:3" ht="16.5" thickTop="1" thickBot="1" x14ac:dyDescent="0.3"/>
    <row r="195" spans="1:3" ht="16.5" thickTop="1" thickBot="1" x14ac:dyDescent="0.3">
      <c r="A195" s="10" t="s">
        <v>74</v>
      </c>
      <c r="B195" s="11">
        <v>2</v>
      </c>
      <c r="C195" s="12" t="s">
        <v>75</v>
      </c>
    </row>
    <row r="196" spans="1:3" ht="15.75" thickTop="1" x14ac:dyDescent="0.25"/>
  </sheetData>
  <mergeCells count="24">
    <mergeCell ref="A133:C133"/>
    <mergeCell ref="A89:C89"/>
    <mergeCell ref="A88:C88"/>
    <mergeCell ref="A24:C24"/>
    <mergeCell ref="A23:C23"/>
    <mergeCell ref="A44:C44"/>
    <mergeCell ref="A45:C45"/>
    <mergeCell ref="A87:C87"/>
    <mergeCell ref="A2:C2"/>
    <mergeCell ref="A3:C3"/>
    <mergeCell ref="A131:C131"/>
    <mergeCell ref="A177:C177"/>
    <mergeCell ref="A65:C65"/>
    <mergeCell ref="A66:C66"/>
    <mergeCell ref="A67:C67"/>
    <mergeCell ref="A109:C109"/>
    <mergeCell ref="A110:C110"/>
    <mergeCell ref="A111:C111"/>
    <mergeCell ref="A153:C153"/>
    <mergeCell ref="A154:C154"/>
    <mergeCell ref="A155:C155"/>
    <mergeCell ref="A175:C175"/>
    <mergeCell ref="A176:C176"/>
    <mergeCell ref="A132:C132"/>
  </mergeCells>
  <hyperlinks>
    <hyperlink ref="A44" r:id="rId1" location=":~:text=After%20the%20new%20machine%20is,fuel%20tank%20should%20be%20cleaned.&amp;text=The%20system%20oil%20temperature%20should,not%20exceed%2070%20%C2%B0C." xr:uid="{60422AFF-22B2-403F-97A6-7C111BF5F0D1}"/>
    <hyperlink ref="A87" r:id="rId2" xr:uid="{11ABF077-9A8D-4E55-8C30-DE809E560395}"/>
    <hyperlink ref="A66" r:id="rId3" xr:uid="{EAF4B299-6662-44BD-9CAC-2416D5D7CC15}"/>
    <hyperlink ref="A65" r:id="rId4" xr:uid="{2A91829F-CF7D-4AFC-BAC8-282D5F12889B}"/>
    <hyperlink ref="A109" r:id="rId5" xr:uid="{A457DADE-CAA6-44B8-9C07-1A7D9147C1EB}"/>
    <hyperlink ref="A110" r:id="rId6" xr:uid="{217736C7-9E03-41B1-8DF4-2F64A2148444}"/>
    <hyperlink ref="A88" r:id="rId7" xr:uid="{CEB0E322-FDAA-4020-9254-6EC298159746}"/>
    <hyperlink ref="A23" r:id="rId8" xr:uid="{B039E1B5-AAD6-4993-A5A3-DC4662F190BC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A3D7-0B25-4D19-96A3-8CC1F6FCF3A9}">
  <dimension ref="A1:G21"/>
  <sheetViews>
    <sheetView zoomScale="140" zoomScaleNormal="140" workbookViewId="0">
      <selection activeCell="G7" sqref="G7"/>
    </sheetView>
  </sheetViews>
  <sheetFormatPr baseColWidth="10" defaultRowHeight="15" x14ac:dyDescent="0.25"/>
  <cols>
    <col min="1" max="1" width="34.28515625" bestFit="1" customWidth="1"/>
  </cols>
  <sheetData>
    <row r="1" spans="1:7" ht="16.5" thickTop="1" thickBot="1" x14ac:dyDescent="0.3">
      <c r="A1" s="54" t="s">
        <v>48</v>
      </c>
      <c r="B1" s="55"/>
      <c r="C1" s="55"/>
      <c r="D1" s="60">
        <f>D3*D11*D20</f>
        <v>0.43909148437500006</v>
      </c>
      <c r="E1" s="61"/>
    </row>
    <row r="2" spans="1:7" ht="16.5" thickTop="1" thickBot="1" x14ac:dyDescent="0.3">
      <c r="A2" s="17"/>
      <c r="B2" s="17"/>
      <c r="C2" s="17"/>
      <c r="D2" s="62"/>
      <c r="E2" s="62"/>
    </row>
    <row r="3" spans="1:7" ht="16.5" thickTop="1" thickBot="1" x14ac:dyDescent="0.3">
      <c r="A3" s="54" t="s">
        <v>49</v>
      </c>
      <c r="B3" s="55"/>
      <c r="C3" s="55"/>
      <c r="D3" s="60">
        <f>E9/E7</f>
        <v>0.56625000000000003</v>
      </c>
      <c r="E3" s="61"/>
    </row>
    <row r="4" spans="1:7" ht="16.5" thickTop="1" thickBot="1" x14ac:dyDescent="0.3">
      <c r="A4" s="17"/>
      <c r="B4" s="18" t="s">
        <v>50</v>
      </c>
      <c r="C4" s="18" t="s">
        <v>51</v>
      </c>
      <c r="D4" s="18" t="s">
        <v>52</v>
      </c>
      <c r="E4" s="18" t="s">
        <v>53</v>
      </c>
    </row>
    <row r="5" spans="1:7" ht="16.5" thickTop="1" thickBot="1" x14ac:dyDescent="0.3">
      <c r="A5" s="18" t="s">
        <v>54</v>
      </c>
      <c r="B5" s="18">
        <f>7*4*12</f>
        <v>336</v>
      </c>
      <c r="C5" s="18">
        <f t="shared" ref="C5" si="0">B5*24</f>
        <v>8064</v>
      </c>
      <c r="D5" s="18">
        <f t="shared" ref="D5:E5" si="1">C5*60</f>
        <v>483840</v>
      </c>
      <c r="E5" s="18">
        <f t="shared" si="1"/>
        <v>29030400</v>
      </c>
    </row>
    <row r="6" spans="1:7" ht="16.5" thickTop="1" thickBot="1" x14ac:dyDescent="0.3">
      <c r="A6" s="18" t="s">
        <v>55</v>
      </c>
      <c r="B6" s="18">
        <f>B5-B7</f>
        <v>96</v>
      </c>
      <c r="C6" s="18">
        <f>C5-C7</f>
        <v>5664</v>
      </c>
      <c r="D6" s="18">
        <f>D5-D7</f>
        <v>339840</v>
      </c>
      <c r="E6" s="18">
        <f>E5-E7</f>
        <v>20390400</v>
      </c>
    </row>
    <row r="7" spans="1:7" ht="16.5" thickTop="1" thickBot="1" x14ac:dyDescent="0.3">
      <c r="A7" s="19" t="s">
        <v>56</v>
      </c>
      <c r="B7" s="19">
        <f>5*4*12</f>
        <v>240</v>
      </c>
      <c r="C7" s="18">
        <f>B7*10</f>
        <v>2400</v>
      </c>
      <c r="D7" s="19">
        <f>C7*60</f>
        <v>144000</v>
      </c>
      <c r="E7" s="19">
        <f>D7*60</f>
        <v>8640000</v>
      </c>
    </row>
    <row r="8" spans="1:7" ht="16.5" thickTop="1" thickBot="1" x14ac:dyDescent="0.3">
      <c r="A8" s="18" t="s">
        <v>57</v>
      </c>
      <c r="B8" s="19">
        <f>C8/10</f>
        <v>104.1</v>
      </c>
      <c r="C8" s="19">
        <f>'Plant Simulation'!C11+0.1*C7</f>
        <v>1041</v>
      </c>
      <c r="D8" s="18">
        <f>C8*60</f>
        <v>62460</v>
      </c>
      <c r="E8" s="18">
        <f>D8*60</f>
        <v>3747600</v>
      </c>
    </row>
    <row r="9" spans="1:7" ht="16.5" thickTop="1" thickBot="1" x14ac:dyDescent="0.3">
      <c r="A9" s="19" t="s">
        <v>58</v>
      </c>
      <c r="B9" s="19">
        <f t="shared" ref="B9:D9" si="2">B7-B8</f>
        <v>135.9</v>
      </c>
      <c r="C9" s="19">
        <f t="shared" si="2"/>
        <v>1359</v>
      </c>
      <c r="D9" s="19">
        <f t="shared" si="2"/>
        <v>81540</v>
      </c>
      <c r="E9" s="19">
        <f>E7-E8</f>
        <v>4892400</v>
      </c>
    </row>
    <row r="10" spans="1:7" ht="16.5" thickTop="1" thickBot="1" x14ac:dyDescent="0.3">
      <c r="A10" s="57"/>
      <c r="B10" s="55"/>
      <c r="C10" s="55"/>
      <c r="D10" s="55"/>
      <c r="E10" s="55"/>
    </row>
    <row r="11" spans="1:7" ht="16.5" thickTop="1" thickBot="1" x14ac:dyDescent="0.3">
      <c r="A11" s="54" t="s">
        <v>59</v>
      </c>
      <c r="B11" s="55"/>
      <c r="C11" s="55"/>
      <c r="D11" s="58">
        <f>E15*E18</f>
        <v>0.81625000000000014</v>
      </c>
      <c r="E11" s="59"/>
    </row>
    <row r="12" spans="1:7" ht="16.5" thickTop="1" thickBot="1" x14ac:dyDescent="0.3">
      <c r="A12" s="18" t="s">
        <v>60</v>
      </c>
      <c r="B12" s="17"/>
      <c r="C12" s="17"/>
      <c r="D12" s="17"/>
      <c r="E12" s="20">
        <f>G14*12</f>
        <v>7836</v>
      </c>
    </row>
    <row r="13" spans="1:7" ht="16.5" thickTop="1" thickBot="1" x14ac:dyDescent="0.3">
      <c r="A13" s="18" t="s">
        <v>61</v>
      </c>
      <c r="B13" s="63">
        <f>C13/24</f>
        <v>1.2761613067891782E-2</v>
      </c>
      <c r="C13" s="64">
        <f>D13/60</f>
        <v>0.30627871362940279</v>
      </c>
      <c r="D13" s="64">
        <f>E13/60</f>
        <v>18.376722817764168</v>
      </c>
      <c r="E13" s="28">
        <f>(10*60*60)/(653/20)</f>
        <v>1102.6033690658501</v>
      </c>
      <c r="F13" s="29" t="s">
        <v>86</v>
      </c>
      <c r="G13" s="30">
        <f>10*5*4</f>
        <v>200</v>
      </c>
    </row>
    <row r="14" spans="1:7" ht="16.5" thickTop="1" thickBot="1" x14ac:dyDescent="0.3">
      <c r="A14" s="18" t="s">
        <v>62</v>
      </c>
      <c r="B14" s="18">
        <f t="shared" ref="B14:D14" si="3">B9</f>
        <v>135.9</v>
      </c>
      <c r="C14" s="18">
        <f t="shared" si="3"/>
        <v>1359</v>
      </c>
      <c r="D14" s="18">
        <f t="shared" si="3"/>
        <v>81540</v>
      </c>
      <c r="E14" s="28">
        <f>E7</f>
        <v>8640000</v>
      </c>
      <c r="F14" s="31" t="s">
        <v>87</v>
      </c>
      <c r="G14" s="32">
        <v>653</v>
      </c>
    </row>
    <row r="15" spans="1:7" ht="16.5" thickTop="1" thickBot="1" x14ac:dyDescent="0.3">
      <c r="A15" s="19" t="s">
        <v>63</v>
      </c>
      <c r="B15" s="19">
        <f t="shared" ref="B15:E15" si="4">B12*B13/B14</f>
        <v>0</v>
      </c>
      <c r="C15" s="19">
        <f t="shared" si="4"/>
        <v>0</v>
      </c>
      <c r="D15" s="19">
        <f t="shared" si="4"/>
        <v>0</v>
      </c>
      <c r="E15" s="21">
        <f t="shared" si="4"/>
        <v>1.0000000000000002</v>
      </c>
    </row>
    <row r="16" spans="1:7" ht="16.5" thickTop="1" thickBot="1" x14ac:dyDescent="0.3">
      <c r="A16" s="18" t="s">
        <v>64</v>
      </c>
      <c r="B16" s="17"/>
      <c r="C16" s="17"/>
      <c r="D16" s="17"/>
      <c r="E16" s="20">
        <f>MIN((2+2+Falla!B18+Falla!B19+Falla!B21*8+Falla!B39+Falla!B40+Falla!B42*8+Falla!B60+Falla!B61+Falla!B63*8+Falla!B82+Falla!B83+Falla!B85*8+Falla!B104+Falla!B105+Falla!B107*8+Falla!B126+Falla!B127+Falla!B129*8+Falla!B148+Falla!B149+Falla!B151*8+Falla!B170+Falla!B171+Falla!B173*8+Falla!B192+Falla!B193+Falla!B195*8)/8,MAX(Falla!B17,Falla!B38,Falla!B59,Falla!B81,Falla!B103,Falla!B147,Falla!B169,Falla!B191))*60</f>
        <v>900</v>
      </c>
    </row>
    <row r="17" spans="1:5" ht="16.5" thickTop="1" thickBot="1" x14ac:dyDescent="0.3">
      <c r="A17" s="18" t="str">
        <f t="shared" ref="A17:E17" si="5">A13</f>
        <v>Tiempo de ciclo real</v>
      </c>
      <c r="B17" s="65">
        <f t="shared" si="5"/>
        <v>1.2761613067891782E-2</v>
      </c>
      <c r="C17" s="66">
        <f t="shared" si="5"/>
        <v>0.30627871362940279</v>
      </c>
      <c r="D17" s="66">
        <f t="shared" si="5"/>
        <v>18.376722817764168</v>
      </c>
      <c r="E17" s="20">
        <f t="shared" si="5"/>
        <v>1102.6033690658501</v>
      </c>
    </row>
    <row r="18" spans="1:5" ht="16.5" thickTop="1" thickBot="1" x14ac:dyDescent="0.3">
      <c r="A18" s="19" t="s">
        <v>65</v>
      </c>
      <c r="B18" s="19"/>
      <c r="C18" s="19"/>
      <c r="D18" s="19"/>
      <c r="E18" s="21">
        <f>E16/E17</f>
        <v>0.81624999999999992</v>
      </c>
    </row>
    <row r="19" spans="1:5" ht="16.5" thickTop="1" thickBot="1" x14ac:dyDescent="0.3">
      <c r="A19" s="17"/>
      <c r="B19" s="17"/>
      <c r="C19" s="17"/>
      <c r="D19" s="17"/>
      <c r="E19" s="17"/>
    </row>
    <row r="20" spans="1:5" ht="16.5" thickTop="1" thickBot="1" x14ac:dyDescent="0.3">
      <c r="A20" s="54" t="s">
        <v>66</v>
      </c>
      <c r="B20" s="55"/>
      <c r="C20" s="55"/>
      <c r="D20" s="56">
        <v>0.95</v>
      </c>
      <c r="E20" s="55"/>
    </row>
    <row r="21" spans="1:5" ht="15.75" thickTop="1" x14ac:dyDescent="0.25"/>
  </sheetData>
  <mergeCells count="9">
    <mergeCell ref="A20:C20"/>
    <mergeCell ref="D20:E20"/>
    <mergeCell ref="A1:C1"/>
    <mergeCell ref="D1:E1"/>
    <mergeCell ref="A3:C3"/>
    <mergeCell ref="D3:E3"/>
    <mergeCell ref="A10:E10"/>
    <mergeCell ref="A11:C11"/>
    <mergeCell ref="D11:E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48838-D19B-489F-8163-CED9235FB0D8}">
  <dimension ref="A1:D12"/>
  <sheetViews>
    <sheetView workbookViewId="0">
      <selection activeCell="C11" sqref="C11"/>
    </sheetView>
  </sheetViews>
  <sheetFormatPr baseColWidth="10" defaultRowHeight="15" x14ac:dyDescent="0.25"/>
  <cols>
    <col min="3" max="3" width="15.42578125" customWidth="1"/>
    <col min="4" max="4" width="11.85546875" bestFit="1" customWidth="1"/>
  </cols>
  <sheetData>
    <row r="1" spans="1:4" ht="15.75" thickBot="1" x14ac:dyDescent="0.3">
      <c r="A1" s="22" t="s">
        <v>77</v>
      </c>
      <c r="B1" s="22" t="s">
        <v>78</v>
      </c>
      <c r="C1" s="22" t="s">
        <v>79</v>
      </c>
    </row>
    <row r="2" spans="1:4" ht="15.75" thickBot="1" x14ac:dyDescent="0.3">
      <c r="A2" s="23" t="s">
        <v>46</v>
      </c>
      <c r="B2" s="24">
        <v>3.3700000000000001E-2</v>
      </c>
      <c r="C2" s="26">
        <v>0.28060185185185188</v>
      </c>
      <c r="D2" s="27"/>
    </row>
    <row r="3" spans="1:4" ht="15.75" thickBot="1" x14ac:dyDescent="0.3">
      <c r="A3" s="23" t="s">
        <v>80</v>
      </c>
      <c r="B3" s="24">
        <v>7.5300000000000006E-2</v>
      </c>
      <c r="C3" s="26">
        <v>0.62727767361111109</v>
      </c>
    </row>
    <row r="4" spans="1:4" ht="15.75" thickBot="1" x14ac:dyDescent="0.3">
      <c r="A4" s="23" t="s">
        <v>81</v>
      </c>
      <c r="B4" s="24">
        <v>4.3200000000000002E-2</v>
      </c>
      <c r="C4" s="26">
        <v>0.36030799768518523</v>
      </c>
    </row>
    <row r="5" spans="1:4" ht="15.75" thickBot="1" x14ac:dyDescent="0.3">
      <c r="A5" s="23" t="s">
        <v>23</v>
      </c>
      <c r="B5" s="24">
        <v>4.3200000000000002E-2</v>
      </c>
      <c r="C5" s="26">
        <v>0.36017188657407412</v>
      </c>
    </row>
    <row r="6" spans="1:4" ht="15.75" thickBot="1" x14ac:dyDescent="0.3">
      <c r="A6" s="23" t="s">
        <v>82</v>
      </c>
      <c r="B6" s="24">
        <v>0.1095</v>
      </c>
      <c r="C6" s="26">
        <v>0.91281196759259264</v>
      </c>
    </row>
    <row r="7" spans="1:4" ht="15.75" thickBot="1" x14ac:dyDescent="0.3">
      <c r="A7" s="23" t="s">
        <v>83</v>
      </c>
      <c r="B7" s="24">
        <v>5.9299999999999999E-2</v>
      </c>
      <c r="C7" s="26">
        <v>0.49404015046296296</v>
      </c>
    </row>
    <row r="8" spans="1:4" ht="29.25" thickBot="1" x14ac:dyDescent="0.3">
      <c r="A8" s="23" t="s">
        <v>68</v>
      </c>
      <c r="B8" s="24">
        <v>2.9600000000000001E-2</v>
      </c>
      <c r="C8" s="26">
        <v>0.24648118055555557</v>
      </c>
    </row>
    <row r="9" spans="1:4" ht="15.75" thickBot="1" x14ac:dyDescent="0.3">
      <c r="A9" s="23" t="s">
        <v>26</v>
      </c>
      <c r="B9" s="24">
        <v>5.7799999999999997E-2</v>
      </c>
      <c r="C9" s="26">
        <v>0.48189756944444445</v>
      </c>
    </row>
    <row r="10" spans="1:4" ht="29.25" thickBot="1" x14ac:dyDescent="0.3">
      <c r="A10" s="23" t="s">
        <v>84</v>
      </c>
      <c r="B10" s="24">
        <v>6.0699999999999997E-2</v>
      </c>
      <c r="C10" s="26">
        <v>0.50544373842592594</v>
      </c>
    </row>
    <row r="11" spans="1:4" ht="16.5" thickTop="1" thickBot="1" x14ac:dyDescent="0.3">
      <c r="A11" s="25" t="s">
        <v>85</v>
      </c>
      <c r="C11" s="19">
        <f>(6.75+3+8.75+8.75+10+6+11.5+12)*12</f>
        <v>801</v>
      </c>
    </row>
    <row r="12" spans="1: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Falla</vt:lpstr>
      <vt:lpstr>KPIs</vt:lpstr>
      <vt:lpstr>Plant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Luis Felipe Gutierrez Garnica</cp:lastModifiedBy>
  <cp:lastPrinted>2023-09-10T13:50:52Z</cp:lastPrinted>
  <dcterms:created xsi:type="dcterms:W3CDTF">2015-06-05T18:19:34Z</dcterms:created>
  <dcterms:modified xsi:type="dcterms:W3CDTF">2023-11-23T06:43:22Z</dcterms:modified>
</cp:coreProperties>
</file>