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Lev Ts\Documents\Analytics\GitHub\bookstore-plan-fact-monitoring\excel\"/>
    </mc:Choice>
  </mc:AlternateContent>
  <xr:revisionPtr revIDLastSave="0" documentId="13_ncr:1_{D7A5655A-DBE8-48BA-B33A-EE23996263D0}" xr6:coauthVersionLast="47" xr6:coauthVersionMax="47" xr10:uidLastSave="{00000000-0000-0000-0000-000000000000}"/>
  <bookViews>
    <workbookView xWindow="-110" yWindow="-110" windowWidth="25820" windowHeight="15620" tabRatio="892" xr2:uid="{00000000-000D-0000-FFFF-FFFF00000000}"/>
  </bookViews>
  <sheets>
    <sheet name="Сегодня" sheetId="1" r:id="rId1"/>
    <sheet name="Данные" sheetId="6" r:id="rId2"/>
    <sheet name="История" sheetId="7" r:id="rId3"/>
  </sheets>
  <definedNames>
    <definedName name="ExternalData_1" localSheetId="1" hidden="1">Данные!$E$3:$L$5</definedName>
    <definedName name="ExternalData_2" localSheetId="1" hidden="1">Данные!$E$9:$R$10</definedName>
    <definedName name="ExternalData_3" localSheetId="0" hidden="1">Сегодня!$B$32:$F$36</definedName>
    <definedName name="ExternalData_4" localSheetId="0" hidden="1">Сегодня!$B$39:$M$40</definedName>
    <definedName name="ExternalData_5" localSheetId="0" hidden="1">Сегодня!$M$7:$P$21</definedName>
  </definedNames>
  <calcPr calcId="191029"/>
  <pivotCaches>
    <pivotCache cacheId="0" r:id="rId4"/>
    <pivotCache cacheId="1" r:id="rId5"/>
    <pivotCache cacheId="3" r:id="rId6"/>
    <pivotCache cacheId="4" r:id="rId7"/>
    <pivotCache cacheId="21" r:id="rId8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ublic mart_plan_fact_9a9fdd31-b6a8-4809-a9e7-76a623217805" name="public mart_plan_fact" connection="Запрос — public mart_plan_fact"/>
          <x15:modelTable id="public mart_daily_breakdown_2c2ce88b-7933-46ae-886d-bfed4091c964" name="public mart_daily_breakdown" connection="Запрос — public mart_daily_breakdown"/>
          <x15:modelTable id="public mart_sales_trends_ba16ed67-1d5a-41a0-a07d-9b9e3584c411" name="public mart_sales_trends" connection="Запрос — public mart_sales_trends"/>
          <x15:modelTable id="public mart_plan_fact_history_88cd3505-f8fd-46b4-9986-2066942d0d6b" name="public mart_plan_fact_history" connection="Запрос — public mart_plan_fact_history"/>
        </x15:modelTables>
        <x15:extLst>
          <ext xmlns:x16="http://schemas.microsoft.com/office/spreadsheetml/2014/11/main" uri="{9835A34E-60A6-4A7C-AAB8-D5F71C897F49}">
            <x16:modelTimeGroupings>
              <x16:modelTimeGrouping tableName="public mart_sales_trends" columnName="month_start" columnId="month_start">
                <x16:calculatedTimeColumn columnName="month_start (Год)" columnId="month_start (Год)" contentType="years" isSelected="1"/>
                <x16:calculatedTimeColumn columnName="month_start (Квартал)" columnId="month_start (Квартал)" contentType="quarters" isSelected="1"/>
                <x16:calculatedTimeColumn columnName="month_start (Индекс месяца)" columnId="month_start (Индекс месяца)" contentType="monthsindex" isSelected="1"/>
                <x16:calculatedTimeColumn columnName="month_start (Месяц)" columnId="month_start (Месяц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" l="1"/>
  <c r="E9" i="1" a="1"/>
  <c r="E9" i="1" s="1"/>
  <c r="H12" i="1" s="1"/>
  <c r="K3" i="1"/>
  <c r="E27" i="6"/>
  <c r="C2" i="6"/>
  <c r="E34" i="7"/>
  <c r="E47" i="7"/>
  <c r="E31" i="7"/>
  <c r="E45" i="7"/>
  <c r="E43" i="7"/>
  <c r="E40" i="7"/>
  <c r="E35" i="7"/>
  <c r="E49" i="7"/>
  <c r="E33" i="7"/>
  <c r="E29" i="7"/>
  <c r="E26" i="7"/>
  <c r="E24" i="7"/>
  <c r="E23" i="7"/>
  <c r="E22" i="7"/>
  <c r="E37" i="7"/>
  <c r="E21" i="7"/>
  <c r="E19" i="7"/>
  <c r="E48" i="7"/>
  <c r="E32" i="7"/>
  <c r="E30" i="7"/>
  <c r="E28" i="7"/>
  <c r="E27" i="7"/>
  <c r="E25" i="7"/>
  <c r="E38" i="7"/>
  <c r="E20" i="7"/>
  <c r="E46" i="7"/>
  <c r="E44" i="7"/>
  <c r="E39" i="7"/>
  <c r="E42" i="7"/>
  <c r="E36" i="7"/>
  <c r="E41" i="7"/>
  <c r="K8" i="1"/>
  <c r="K30" i="1"/>
  <c r="K33" i="1"/>
  <c r="K31" i="1"/>
  <c r="K21" i="1"/>
  <c r="K28" i="1"/>
  <c r="K19" i="1"/>
  <c r="K27" i="1"/>
  <c r="K36" i="1"/>
  <c r="K22" i="1"/>
  <c r="K34" i="1"/>
  <c r="K35" i="1"/>
  <c r="K32" i="1"/>
  <c r="K29" i="1"/>
  <c r="K20" i="1"/>
  <c r="H13" i="1" l="1"/>
  <c r="H8" i="1"/>
  <c r="C23" i="1"/>
  <c r="C19" i="1"/>
  <c r="C15" i="1"/>
  <c r="C11" i="1"/>
  <c r="F23" i="1" a="1"/>
  <c r="F23" i="1" s="1"/>
  <c r="F19" i="1" a="1"/>
  <c r="F19" i="1" s="1"/>
  <c r="F15" i="1" a="1"/>
  <c r="F15" i="1" s="1"/>
  <c r="F11" i="1" a="1"/>
  <c r="F11" i="1" s="1"/>
  <c r="E26" i="1" a="1"/>
  <c r="E26" i="1" s="1"/>
  <c r="E22" i="1" a="1"/>
  <c r="E22" i="1" s="1"/>
  <c r="E18" i="1" a="1"/>
  <c r="E18" i="1" s="1"/>
  <c r="E14" i="1" a="1"/>
  <c r="E14" i="1" s="1"/>
  <c r="E10" i="1" a="1"/>
  <c r="E10" i="1" s="1"/>
  <c r="E17" i="1" a="1"/>
  <c r="E17" i="1" s="1"/>
  <c r="E25" i="1" a="1"/>
  <c r="E25" i="1" s="1"/>
  <c r="E21" i="1" a="1"/>
  <c r="E21" i="1" s="1"/>
  <c r="E13" i="1" a="1"/>
  <c r="E13" i="1" s="1"/>
  <c r="B26" i="1"/>
  <c r="B25" i="1"/>
  <c r="B22" i="1"/>
  <c r="B21" i="1"/>
  <c r="B18" i="1"/>
  <c r="B17" i="1"/>
  <c r="B14" i="1"/>
  <c r="B13" i="1"/>
  <c r="B10" i="1"/>
  <c r="B9" i="1"/>
  <c r="C5" i="6" l="1"/>
  <c r="C4" i="6"/>
  <c r="C3" i="6" l="1"/>
  <c r="C8" i="6" s="1" a="1"/>
  <c r="C8" i="6" s="1"/>
  <c r="C6" i="6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7C6F8A7-924F-4D02-8544-C4F55F35ADAF}" keepAlive="1" name="ThisWorkbookDataModel" description="Модель данных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1149AE76-6DF6-4D43-897F-929DD00FBC17}" name="Запрос — public mart_daily_breakdown" description="Соединение с запросом &quot;public mart_daily_breakdown&quot; в книге." type="100" refreshedVersion="8" minRefreshableVersion="5">
    <extLst>
      <ext xmlns:x15="http://schemas.microsoft.com/office/spreadsheetml/2010/11/main" uri="{DE250136-89BD-433C-8126-D09CA5730AF9}">
        <x15:connection id="c66e82bf-74c7-4b40-8966-f6f6d368ffb8"/>
      </ext>
    </extLst>
  </connection>
  <connection id="3" xr16:uid="{866E241B-4837-46B1-852F-92BF25444E2E}" keepAlive="1" name="Запрос — public mart_daily_pulse" description="Соединение с запросом &quot;public mart_daily_pulse&quot; в книге." type="5" refreshedVersion="8" background="1" saveData="1">
    <dbPr connection="Provider=Microsoft.Mashup.OleDb.1;Data Source=$Workbook$;Location=&quot;public mart_daily_pulse&quot;;Extended Properties=&quot;&quot;" command="SELECT * FROM [public mart_daily_pulse]"/>
  </connection>
  <connection id="4" xr16:uid="{9832F61F-01B2-41F7-BB8C-84E4D65D14BD}" keepAlive="1" name="Запрос — public mart_daily_pulse (2)" description="Соединение с запросом &quot;public mart_daily_pulse (2)&quot; в книге." type="5" refreshedVersion="8" background="1" saveData="1">
    <dbPr connection="Provider=Microsoft.Mashup.OleDb.1;Data Source=$Workbook$;Location=&quot;public mart_daily_pulse (2)&quot;;Extended Properties=&quot;&quot;" command="SELECT * FROM [public mart_daily_pulse (2)]"/>
  </connection>
  <connection id="5" xr16:uid="{017A9B47-4679-42CE-A1A7-D19E8DF57352}" keepAlive="1" name="Запрос — public mart_daily_revenue_mtd" description="Соединение с запросом &quot;public mart_daily_revenue_mtd&quot; в книге." type="5" refreshedVersion="8" background="1" saveData="1">
    <dbPr connection="Provider=Microsoft.Mashup.OleDb.1;Data Source=$Workbook$;Location=&quot;public mart_daily_revenue_mtd&quot;;Extended Properties=&quot;&quot;" command="SELECT * FROM [public mart_daily_revenue_mtd]"/>
  </connection>
  <connection id="6" xr16:uid="{A113959F-8087-495D-BE4C-E58F872320C4}" keepAlive="1" name="Запрос — public mart_daily_revenue_mtd (2)" description="Соединение с запросом &quot;public mart_daily_revenue_mtd (2)&quot; в книге." type="5" refreshedVersion="8" background="1" saveData="1">
    <dbPr connection="Provider=Microsoft.Mashup.OleDb.1;Data Source=$Workbook$;Location=&quot;public mart_daily_revenue_mtd (2)&quot;;Extended Properties=&quot;&quot;" command="SELECT * FROM [public mart_daily_revenue_mtd (2)]"/>
  </connection>
  <connection id="7" xr16:uid="{8711D62F-96BB-4959-AF20-047F9B27E13A}" keepAlive="1" name="Запрос — public mart_daily_top5" description="Соединение с запросом &quot;public mart_daily_top5&quot; в книге." type="5" refreshedVersion="8" background="1" saveData="1">
    <dbPr connection="Provider=Microsoft.Mashup.OleDb.1;Data Source=$Workbook$;Location=&quot;public mart_daily_top5&quot;;Extended Properties=&quot;&quot;" command="SELECT * FROM [public mart_daily_top5]"/>
  </connection>
  <connection id="8" xr16:uid="{DDE7AAAE-8F88-4927-B4DE-3BC57B3F5CF0}" keepAlive="1" name="Запрос — public mart_daily_top5 (2)" description="Соединение с запросом &quot;public mart_daily_top5 (2)&quot; в книге." type="5" refreshedVersion="8" background="1" saveData="1">
    <dbPr connection="Provider=Microsoft.Mashup.OleDb.1;Data Source=$Workbook$;Location=&quot;public mart_daily_top5 (2)&quot;;Extended Properties=&quot;&quot;" command="SELECT * FROM [public mart_daily_top5 (2)]"/>
  </connection>
  <connection id="9" xr16:uid="{A474218A-9CBB-450D-A6CE-E28AA384CD0A}" keepAlive="1" name="Запрос — public mart_inventory_alerts" description="Соединение с запросом &quot;public mart_inventory_alerts&quot; в книге." type="5" refreshedVersion="8" background="1" saveData="1">
    <dbPr connection="Provider=Microsoft.Mashup.OleDb.1;Data Source=$Workbook$;Location=&quot;public mart_inventory_alerts&quot;;Extended Properties=&quot;&quot;" command="SELECT * FROM [public mart_inventory_alerts]"/>
  </connection>
  <connection id="10" xr16:uid="{0BFEE7F9-AD88-4AA5-85DB-759A4F5F9DD6}" keepAlive="1" name="Запрос — public mart_inventory_alerts (2)" description="Соединение с запросом &quot;public mart_inventory_alerts (2)&quot; в книге." type="5" refreshedVersion="8" background="1" saveData="1">
    <dbPr connection="Provider=Microsoft.Mashup.OleDb.1;Data Source=$Workbook$;Location=&quot;public mart_inventory_alerts (2)&quot;;Extended Properties=&quot;&quot;" command="SELECT * FROM [public mart_inventory_alerts (2)]"/>
  </connection>
  <connection id="11" xr16:uid="{F208099B-FDD2-41CA-B44C-CB333833A6EE}" keepAlive="1" name="Запрос — public mart_mtd_pulse" description="Соединение с запросом &quot;public mart_mtd_pulse&quot; в книге." type="5" refreshedVersion="8" background="1" saveData="1">
    <dbPr connection="Provider=Microsoft.Mashup.OleDb.1;Data Source=$Workbook$;Location=&quot;public mart_mtd_pulse&quot;;Extended Properties=&quot;&quot;" command="SELECT * FROM [public mart_mtd_pulse]"/>
  </connection>
  <connection id="12" xr16:uid="{35C20337-EE50-4856-B6E1-AB2E55D885FE}" keepAlive="1" name="Запрос — public mart_mtd_pulse (2)" description="Соединение с запросом &quot;public mart_mtd_pulse (2)&quot; в книге." type="5" refreshedVersion="8" background="1" saveData="1">
    <dbPr connection="Provider=Microsoft.Mashup.OleDb.1;Data Source=$Workbook$;Location=&quot;public mart_mtd_pulse (2)&quot;;Extended Properties=&quot;&quot;" command="SELECT * FROM [public mart_mtd_pulse (2)]"/>
  </connection>
  <connection id="13" xr16:uid="{9D63C72C-2826-4734-A0B2-1B5A0B0C79A1}" name="Запрос — public mart_plan_fact" description="Соединение с запросом &quot;public mart_plan_fact&quot; в книге." type="100" refreshedVersion="8" minRefreshableVersion="5">
    <extLst>
      <ext xmlns:x15="http://schemas.microsoft.com/office/spreadsheetml/2010/11/main" uri="{DE250136-89BD-433C-8126-D09CA5730AF9}">
        <x15:connection id="e0bff401-841a-4df3-839a-7d153cbb38c2"/>
      </ext>
    </extLst>
  </connection>
  <connection id="14" xr16:uid="{AF266869-3A2C-4E94-A247-71C53E6BA087}" name="Запрос — public mart_plan_fact_history" description="Соединение с запросом &quot;public mart_plan_fact_history&quot; в книге." type="100" refreshedVersion="8" minRefreshableVersion="5">
    <extLst>
      <ext xmlns:x15="http://schemas.microsoft.com/office/spreadsheetml/2010/11/main" uri="{DE250136-89BD-433C-8126-D09CA5730AF9}">
        <x15:connection id="4e494e05-52c4-4d7c-81f0-fbc01522906f"/>
      </ext>
    </extLst>
  </connection>
  <connection id="15" xr16:uid="{A4EE3DFF-9771-4009-934E-00CFF7A3F574}" name="Запрос — public mart_sales_trends" description="Соединение с запросом &quot;public mart_sales_trends&quot; в книге." type="100" refreshedVersion="8" minRefreshableVersion="5">
    <extLst>
      <ext xmlns:x15="http://schemas.microsoft.com/office/spreadsheetml/2010/11/main" uri="{DE250136-89BD-433C-8126-D09CA5730AF9}">
        <x15:connection id="6179855c-5c9b-4cd0-a1e1-a8f69a746cc9"/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<sst xmlns="http://schemas.openxmlformats.org/spreadsheetml/2006/main" count="147" uniqueCount="117">
  <si>
    <t>day_type</t>
  </si>
  <si>
    <t>report_date</t>
  </si>
  <si>
    <t>prev_date</t>
  </si>
  <si>
    <t>total_revenue</t>
  </si>
  <si>
    <t>total_orders</t>
  </si>
  <si>
    <t>avg_order_value</t>
  </si>
  <si>
    <t>total_gross_profit</t>
  </si>
  <si>
    <t>gross_margin</t>
  </si>
  <si>
    <t>today</t>
  </si>
  <si>
    <t>yesterday</t>
  </si>
  <si>
    <t>month_start</t>
  </si>
  <si>
    <t>month_to_date</t>
  </si>
  <si>
    <t>mtd_revenue</t>
  </si>
  <si>
    <t>mtd_orders</t>
  </si>
  <si>
    <t>mtd_net_qty</t>
  </si>
  <si>
    <t>mtd_gross_profit</t>
  </si>
  <si>
    <t>mtd_gross_margin</t>
  </si>
  <si>
    <t>prev_mtd_revenue</t>
  </si>
  <si>
    <t>prev_mtd_orders</t>
  </si>
  <si>
    <t>prev_mtd_net_qty</t>
  </si>
  <si>
    <t>prev_mtd_gross_profit</t>
  </si>
  <si>
    <t>prev_mtd_gross_margin</t>
  </si>
  <si>
    <t>product_id</t>
  </si>
  <si>
    <t>title</t>
  </si>
  <si>
    <t>format</t>
  </si>
  <si>
    <t>Annual Subscription</t>
  </si>
  <si>
    <t>Subscription</t>
  </si>
  <si>
    <t>Падаль конструкция (History)</t>
  </si>
  <si>
    <t>Hardcover</t>
  </si>
  <si>
    <t>Пастух ночь тысяча (Science)</t>
  </si>
  <si>
    <t>Audiobook</t>
  </si>
  <si>
    <t>Нож скользить (Science)</t>
  </si>
  <si>
    <t>Роскошный добиться (Mystery)</t>
  </si>
  <si>
    <t>genre</t>
  </si>
  <si>
    <t>publisher</t>
  </si>
  <si>
    <t>closing_stock</t>
  </si>
  <si>
    <t>is_low_stock</t>
  </si>
  <si>
    <t>stock_date</t>
  </si>
  <si>
    <t>avg_daily_sales_30d</t>
  </si>
  <si>
    <t>days_until_stockout</t>
  </si>
  <si>
    <t>recommended_order_qty</t>
  </si>
  <si>
    <t>alert_level</t>
  </si>
  <si>
    <t>Дата:</t>
  </si>
  <si>
    <t>public_mart_daily_pulse</t>
  </si>
  <si>
    <t>Выручка</t>
  </si>
  <si>
    <t>Средний чек</t>
  </si>
  <si>
    <t>Покупки</t>
  </si>
  <si>
    <t>Валовая прибыль</t>
  </si>
  <si>
    <t>Валовая маржа</t>
  </si>
  <si>
    <t>public_mart_mtd_pulse</t>
  </si>
  <si>
    <t>mtd_avg_order_value</t>
  </si>
  <si>
    <t>prev_mtd_avg_order_value</t>
  </si>
  <si>
    <t>Дата</t>
  </si>
  <si>
    <t>Год</t>
  </si>
  <si>
    <t>Месяц</t>
  </si>
  <si>
    <t>День</t>
  </si>
  <si>
    <t>Всего дней</t>
  </si>
  <si>
    <t>Дни месяца</t>
  </si>
  <si>
    <t>Выполнение плана</t>
  </si>
  <si>
    <t>Факт</t>
  </si>
  <si>
    <t>План</t>
  </si>
  <si>
    <t>Прогноз закрытия месяца</t>
  </si>
  <si>
    <t>Разбивка по жанрам</t>
  </si>
  <si>
    <t>Biography</t>
  </si>
  <si>
    <t>Business</t>
  </si>
  <si>
    <t>Children</t>
  </si>
  <si>
    <t>Fantasy</t>
  </si>
  <si>
    <t>Fiction</t>
  </si>
  <si>
    <t>History</t>
  </si>
  <si>
    <t>Mystery</t>
  </si>
  <si>
    <t>Poetry</t>
  </si>
  <si>
    <t>Romance</t>
  </si>
  <si>
    <t>Science</t>
  </si>
  <si>
    <t>Общий итог</t>
  </si>
  <si>
    <t>Жанр</t>
  </si>
  <si>
    <t>Выполнение</t>
  </si>
  <si>
    <t>Разбивка по форматам</t>
  </si>
  <si>
    <t>eBook</t>
  </si>
  <si>
    <t>Paperback</t>
  </si>
  <si>
    <t>Формат</t>
  </si>
  <si>
    <t>Топ-5 товаров дня</t>
  </si>
  <si>
    <t>Название</t>
  </si>
  <si>
    <t>Ранг</t>
  </si>
  <si>
    <t>ID</t>
  </si>
  <si>
    <t>Low-stock виджет</t>
  </si>
  <si>
    <t>Чистая выручка</t>
  </si>
  <si>
    <t>Выручка по месяцам</t>
  </si>
  <si>
    <t>Выполнение плана по месяцам</t>
  </si>
  <si>
    <t>2024</t>
  </si>
  <si>
    <t>Квартал1</t>
  </si>
  <si>
    <t>янв</t>
  </si>
  <si>
    <t>фев</t>
  </si>
  <si>
    <t>мар</t>
  </si>
  <si>
    <t>Квартал2</t>
  </si>
  <si>
    <t>апр</t>
  </si>
  <si>
    <t>2025</t>
  </si>
  <si>
    <t>2026</t>
  </si>
  <si>
    <t>Возвраты</t>
  </si>
  <si>
    <t>date</t>
  </si>
  <si>
    <t>Месяцы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</si>
  <si>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</si>
  <si>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</si>
  <si>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</si>
  <si>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</si>
  <si>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</si>
  <si>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</si>
  <si>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</si>
  <si>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</si>
  <si>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</si>
  <si>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</si>
  <si>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</si>
  <si>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</si>
  <si>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Текущий месяц</t>
  </si>
  <si>
    <t>KPI</t>
  </si>
  <si>
    <t>Динамика по дням</t>
  </si>
  <si>
    <t>Покупок</t>
  </si>
  <si>
    <t>ОПЕРАТИВНЫЙ ОТЧЁТ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</si>
</sst>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%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charset val="204"/>
    </font>
    <font>
      <b/>
      <sz val="10"/>
      <color theme="1"/>
      <name val="Calibri"/>
      <family val="2"/>
      <charset val="204"/>
    </font>
    <font>
      <sz val="10"/>
      <color theme="1"/>
      <name val="Calibri"/>
      <family val="2"/>
      <charset val="204"/>
    </font>
    <font>
      <sz val="10"/>
      <color theme="2" tint="-0.499984740745262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13">
    <border>
      <left/>
      <right/>
      <top/>
      <bottom/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499984740745262"/>
      </top>
      <bottom/>
      <diagonal/>
    </border>
    <border>
      <left/>
      <right/>
      <top style="thin">
        <color theme="0" tint="-0.249977111117893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7">
    <xf numFmtId="0" fontId="0" fillId="0" borderId="0" xfId="0"/>
    <xf numFmtId="14" fontId="0" fillId="0" borderId="0" xfId="0" applyNumberFormat="1"/>
    <xf numFmtId="0" fontId="2" fillId="0" borderId="0" xfId="0" applyFont="1"/>
    <xf numFmtId="3" fontId="0" fillId="0" borderId="0" xfId="0" applyNumberFormat="1"/>
    <xf numFmtId="9" fontId="0" fillId="0" borderId="0" xfId="1" applyFont="1"/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3" fillId="0" borderId="1" xfId="0" applyFont="1" applyBorder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9" fontId="0" fillId="0" borderId="0" xfId="0" applyNumberFormat="1"/>
    <xf numFmtId="0" fontId="3" fillId="2" borderId="1" xfId="0" applyFont="1" applyFill="1" applyBorder="1"/>
    <xf numFmtId="0" fontId="2" fillId="0" borderId="0" xfId="0" applyFont="1" applyBorder="1"/>
    <xf numFmtId="14" fontId="0" fillId="0" borderId="0" xfId="0" applyNumberFormat="1" applyBorder="1"/>
    <xf numFmtId="0" fontId="0" fillId="0" borderId="0" xfId="0" applyBorder="1"/>
    <xf numFmtId="0" fontId="2" fillId="0" borderId="4" xfId="0" applyFont="1" applyBorder="1"/>
    <xf numFmtId="0" fontId="0" fillId="0" borderId="4" xfId="0" applyBorder="1"/>
    <xf numFmtId="0" fontId="2" fillId="0" borderId="5" xfId="0" applyFont="1" applyBorder="1"/>
    <xf numFmtId="14" fontId="0" fillId="0" borderId="5" xfId="0" applyNumberFormat="1" applyBorder="1"/>
    <xf numFmtId="14" fontId="0" fillId="0" borderId="4" xfId="0" applyNumberFormat="1" applyBorder="1"/>
    <xf numFmtId="0" fontId="0" fillId="0" borderId="0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5" xfId="0" applyBorder="1"/>
    <xf numFmtId="3" fontId="0" fillId="0" borderId="0" xfId="0" applyNumberFormat="1" applyAlignment="1">
      <alignment horizontal="left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right" vertical="center"/>
    </xf>
    <xf numFmtId="14" fontId="6" fillId="0" borderId="0" xfId="0" applyNumberFormat="1" applyFont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6" fillId="0" borderId="5" xfId="0" applyFont="1" applyBorder="1" applyAlignment="1">
      <alignment horizontal="right" vertical="center"/>
    </xf>
    <xf numFmtId="0" fontId="7" fillId="0" borderId="5" xfId="0" applyFont="1" applyBorder="1" applyAlignment="1">
      <alignment horizontal="left" vertical="center"/>
    </xf>
    <xf numFmtId="3" fontId="7" fillId="0" borderId="0" xfId="0" applyNumberFormat="1" applyFont="1" applyAlignment="1">
      <alignment vertical="center"/>
    </xf>
    <xf numFmtId="3" fontId="5" fillId="0" borderId="0" xfId="0" applyNumberFormat="1" applyFont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9" fontId="8" fillId="0" borderId="8" xfId="1" applyFont="1" applyBorder="1" applyAlignment="1">
      <alignment horizontal="right" vertical="center"/>
    </xf>
    <xf numFmtId="9" fontId="8" fillId="0" borderId="8" xfId="1" applyFont="1" applyBorder="1" applyAlignment="1">
      <alignment vertical="center"/>
    </xf>
    <xf numFmtId="9" fontId="8" fillId="0" borderId="0" xfId="1" applyFont="1" applyBorder="1" applyAlignment="1">
      <alignment horizontal="left" vertical="center"/>
    </xf>
    <xf numFmtId="0" fontId="7" fillId="0" borderId="8" xfId="0" applyFont="1" applyBorder="1" applyAlignment="1">
      <alignment vertical="center"/>
    </xf>
    <xf numFmtId="0" fontId="7" fillId="0" borderId="0" xfId="0" pivotButton="1" applyFont="1" applyAlignment="1">
      <alignment vertical="center"/>
    </xf>
    <xf numFmtId="0" fontId="6" fillId="0" borderId="1" xfId="0" applyFont="1" applyBorder="1" applyAlignment="1">
      <alignment horizontal="right" vertical="center"/>
    </xf>
    <xf numFmtId="3" fontId="7" fillId="0" borderId="0" xfId="0" applyNumberFormat="1" applyFont="1" applyAlignment="1">
      <alignment horizontal="right" vertical="center"/>
    </xf>
    <xf numFmtId="9" fontId="7" fillId="0" borderId="0" xfId="1" applyFont="1" applyAlignment="1">
      <alignment horizontal="right" vertical="center"/>
    </xf>
    <xf numFmtId="9" fontId="7" fillId="0" borderId="6" xfId="1" applyFont="1" applyBorder="1" applyAlignment="1">
      <alignment horizontal="right" vertical="center"/>
    </xf>
    <xf numFmtId="0" fontId="8" fillId="0" borderId="8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3" fontId="7" fillId="0" borderId="2" xfId="0" applyNumberFormat="1" applyFont="1" applyBorder="1" applyAlignment="1">
      <alignment horizontal="right" vertical="center"/>
    </xf>
    <xf numFmtId="9" fontId="7" fillId="0" borderId="2" xfId="1" applyFont="1" applyBorder="1" applyAlignment="1">
      <alignment horizontal="right" vertical="center"/>
    </xf>
    <xf numFmtId="14" fontId="7" fillId="0" borderId="0" xfId="0" applyNumberFormat="1" applyFont="1" applyAlignment="1">
      <alignment vertical="center"/>
    </xf>
    <xf numFmtId="164" fontId="5" fillId="0" borderId="0" xfId="1" applyNumberFormat="1" applyFont="1" applyAlignment="1">
      <alignment horizontal="left" vertical="center"/>
    </xf>
    <xf numFmtId="9" fontId="7" fillId="0" borderId="0" xfId="1" applyFont="1" applyAlignment="1">
      <alignment vertical="center"/>
    </xf>
    <xf numFmtId="0" fontId="6" fillId="0" borderId="0" xfId="0" applyFont="1" applyBorder="1" applyAlignment="1">
      <alignment horizontal="right" vertical="center"/>
    </xf>
    <xf numFmtId="0" fontId="6" fillId="0" borderId="0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3" xfId="0" applyFont="1" applyBorder="1" applyAlignment="1">
      <alignment horizontal="right" vertical="center"/>
    </xf>
    <xf numFmtId="9" fontId="7" fillId="0" borderId="0" xfId="1" applyFont="1" applyBorder="1" applyAlignment="1">
      <alignment vertical="center"/>
    </xf>
    <xf numFmtId="3" fontId="7" fillId="0" borderId="2" xfId="0" applyNumberFormat="1" applyFont="1" applyBorder="1" applyAlignment="1">
      <alignment vertical="center"/>
    </xf>
    <xf numFmtId="9" fontId="7" fillId="0" borderId="2" xfId="1" applyFont="1" applyBorder="1" applyAlignment="1">
      <alignment vertical="center"/>
    </xf>
    <xf numFmtId="0" fontId="6" fillId="0" borderId="4" xfId="0" applyFont="1" applyBorder="1" applyAlignment="1">
      <alignment vertical="center"/>
    </xf>
    <xf numFmtId="3" fontId="6" fillId="0" borderId="0" xfId="0" applyNumberFormat="1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9" fontId="6" fillId="0" borderId="0" xfId="1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Border="1" applyAlignment="1">
      <alignment vertical="center"/>
    </xf>
    <xf numFmtId="3" fontId="6" fillId="0" borderId="0" xfId="0" applyNumberFormat="1" applyFont="1" applyBorder="1" applyAlignment="1">
      <alignment horizontal="right" vertical="center"/>
    </xf>
    <xf numFmtId="0" fontId="8" fillId="0" borderId="0" xfId="0" applyFont="1" applyBorder="1" applyAlignment="1">
      <alignment horizontal="right" vertical="center"/>
    </xf>
    <xf numFmtId="9" fontId="6" fillId="0" borderId="9" xfId="1" applyFont="1" applyBorder="1" applyAlignment="1">
      <alignment horizontal="center" vertical="center"/>
    </xf>
    <xf numFmtId="9" fontId="6" fillId="0" borderId="7" xfId="1" applyFont="1" applyBorder="1" applyAlignment="1">
      <alignment horizontal="center" vertical="center"/>
    </xf>
    <xf numFmtId="9" fontId="6" fillId="0" borderId="10" xfId="1" applyFont="1" applyBorder="1" applyAlignment="1">
      <alignment horizontal="center" vertical="center"/>
    </xf>
    <xf numFmtId="9" fontId="6" fillId="0" borderId="11" xfId="1" applyFont="1" applyBorder="1" applyAlignment="1">
      <alignment horizontal="center" vertical="center"/>
    </xf>
    <xf numFmtId="9" fontId="6" fillId="0" borderId="2" xfId="1" applyFont="1" applyBorder="1" applyAlignment="1">
      <alignment horizontal="center" vertical="center"/>
    </xf>
    <xf numFmtId="9" fontId="6" fillId="0" borderId="12" xfId="1" applyFont="1" applyBorder="1" applyAlignment="1">
      <alignment horizontal="center" vertical="center"/>
    </xf>
    <xf numFmtId="14" fontId="7" fillId="0" borderId="0" xfId="0" applyNumberFormat="1" applyFont="1" applyBorder="1" applyAlignment="1">
      <alignment horizontal="left" vertical="center"/>
    </xf>
    <xf numFmtId="3" fontId="7" fillId="0" borderId="0" xfId="0" applyNumberFormat="1" applyFont="1" applyBorder="1" applyAlignment="1">
      <alignment vertical="center"/>
    </xf>
  </cellXfs>
  <cellStyles count="2">
    <cellStyle name="Обычный" xfId="0" builtinId="0"/>
    <cellStyle name="Процентный" xfId="1" builtinId="5"/>
  </cellStyles>
  <dxfs count="89">
    <dxf>
      <font>
        <color rgb="FFC00000"/>
      </font>
    </dxf>
    <dxf>
      <font>
        <color theme="9" tint="-0.24994659260841701"/>
      </font>
    </dxf>
    <dxf>
      <font>
        <strike val="0"/>
        <outline val="0"/>
        <shadow val="0"/>
        <u val="none"/>
        <vertAlign val="baseline"/>
        <sz val="10"/>
        <name val="Calibri"/>
        <family val="2"/>
        <charset val="204"/>
        <scheme val="none"/>
      </font>
      <numFmt numFmtId="3" formatCode="#,##0"/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charset val="204"/>
        <scheme val="none"/>
      </font>
      <numFmt numFmtId="3" formatCode="#,##0"/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charset val="204"/>
        <scheme val="none"/>
      </font>
      <numFmt numFmtId="3" formatCode="#,##0"/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charset val="204"/>
        <scheme val="none"/>
      </font>
      <numFmt numFmtId="19" formatCode="dd/mm/yyyy"/>
      <alignment horizontal="left" vertical="center" textRotation="0" wrapText="0" indent="0" justifyLastLine="0" shrinkToFit="0" readingOrder="0"/>
    </dxf>
    <dxf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thin">
          <color theme="1"/>
        </top>
      </border>
    </dxf>
    <dxf>
      <font>
        <b/>
        <color theme="1"/>
      </font>
      <border>
        <bottom style="thin">
          <color theme="1"/>
        </bottom>
      </border>
    </dxf>
    <dxf>
      <font>
        <color theme="1"/>
      </font>
      <border>
        <top style="thin">
          <color theme="0" tint="-0.24994659260841701"/>
        </top>
        <bottom style="thin">
          <color theme="0" tint="-0.24994659260841701"/>
        </bottom>
        <horizontal style="thin">
          <color theme="0" tint="-0.24994659260841701"/>
        </horizontal>
      </border>
    </dxf>
    <dxf>
      <font>
        <strike val="0"/>
        <outline val="0"/>
        <shadow val="0"/>
        <u val="none"/>
        <vertAlign val="baseline"/>
        <sz val="10"/>
        <name val="Calibri"/>
        <family val="2"/>
        <charset val="204"/>
        <scheme val="none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charset val="204"/>
        <scheme val="none"/>
      </font>
      <numFmt numFmtId="3" formatCode="#,##0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charset val="204"/>
        <scheme val="none"/>
      </font>
      <numFmt numFmtId="0" formatCode="General"/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charset val="204"/>
        <scheme val="none"/>
      </font>
      <numFmt numFmtId="0" formatCode="General"/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charset val="204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charset val="204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charset val="204"/>
        <scheme val="none"/>
      </font>
      <alignment vertical="center" textRotation="0" wrapText="0" indent="0" justifyLastLine="0" shrinkToFit="0" readingOrder="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trike val="0"/>
        <outline val="0"/>
        <shadow val="0"/>
        <u val="none"/>
        <vertAlign val="baseline"/>
        <sz val="10"/>
        <name val="Calibri"/>
        <family val="2"/>
        <charset val="204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charset val="204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charset val="204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charset val="204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charset val="204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charset val="204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charset val="204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charset val="204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charset val="204"/>
        <scheme val="none"/>
      </font>
      <numFmt numFmtId="19" formatCode="dd/mm/yyyy"/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charset val="204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charset val="204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charset val="204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charset val="204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charset val="204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charset val="204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charset val="204"/>
        <scheme val="none"/>
      </font>
      <alignment vertical="center" textRotation="0" wrapText="0" indent="0" justifyLastLine="0" shrinkToFit="0" readingOrder="0"/>
    </dxf>
    <dxf>
      <font>
        <name val="Calibri"/>
        <family val="2"/>
        <charset val="204"/>
      </font>
    </dxf>
    <dxf>
      <font>
        <name val="Calibri"/>
        <family val="2"/>
        <charset val="204"/>
      </font>
    </dxf>
    <dxf>
      <font>
        <name val="Calibri"/>
        <family val="2"/>
        <charset val="204"/>
      </font>
    </dxf>
    <dxf>
      <font>
        <name val="Calibri"/>
        <family val="2"/>
        <charset val="204"/>
      </font>
    </dxf>
    <dxf>
      <font>
        <name val="Calibri"/>
        <family val="2"/>
        <charset val="204"/>
      </font>
    </dxf>
    <dxf>
      <font>
        <name val="Calibri"/>
        <family val="2"/>
        <charset val="204"/>
      </font>
    </dxf>
    <dxf>
      <font>
        <name val="Calibri"/>
        <family val="2"/>
        <charset val="204"/>
      </font>
    </dxf>
    <dxf>
      <font>
        <name val="Calibri"/>
        <family val="2"/>
        <charset val="204"/>
      </font>
    </dxf>
    <dxf>
      <font>
        <name val="Calibri"/>
        <family val="2"/>
        <charset val="204"/>
      </font>
    </dxf>
    <dxf>
      <font>
        <name val="Calibri"/>
        <family val="2"/>
        <charset val="204"/>
      </font>
    </dxf>
    <dxf>
      <numFmt numFmtId="3" formatCode="#,##0"/>
    </dxf>
    <dxf>
      <alignment horizontal="left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right"/>
    </dxf>
    <dxf>
      <alignment horizontal="right"/>
    </dxf>
    <dxf>
      <alignment horizontal="right"/>
    </dxf>
    <dxf>
      <numFmt numFmtId="13" formatCode="0%"/>
    </dxf>
    <dxf>
      <numFmt numFmtId="3" formatCode="#,##0"/>
    </dxf>
    <dxf>
      <numFmt numFmtId="3" formatCode="#,##0"/>
    </dxf>
    <dxf>
      <numFmt numFmtId="3" formatCode="#,##0"/>
    </dxf>
    <dxf>
      <border>
        <bottom style="thin">
          <color theme="0" tint="-0.499984740745262"/>
        </bottom>
      </border>
    </dxf>
    <dxf>
      <border>
        <bottom style="thin">
          <color theme="0" tint="-0.499984740745262"/>
        </bottom>
      </border>
    </dxf>
    <dxf>
      <border>
        <bottom style="thin">
          <color theme="0" tint="-0.499984740745262"/>
        </bottom>
      </border>
    </dxf>
    <dxf>
      <border>
        <bottom style="thin">
          <color theme="0" tint="-0.499984740745262"/>
        </bottom>
      </border>
    </dxf>
    <dxf>
      <numFmt numFmtId="3" formatCode="#,##0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0" formatCode="General"/>
    </dxf>
    <dxf>
      <alignment horizontal="general" vertical="bottom" textRotation="0" wrapText="1" indent="0" justifyLastLine="0" shrinkToFit="0" readingOrder="0"/>
    </dxf>
  </dxfs>
  <tableStyles count="1" defaultTableStyle="TableStyleLight1" defaultPivotStyle="PivotStyleLight16">
    <tableStyle name="TableStyleLight1 2" pivot="0" count="7" xr9:uid="{20179FA9-1517-435A-9550-6DCBA3C9EB23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</tableStyles>
  <colors>
    <mruColors>
      <color rgb="FFFAE1CE"/>
      <color rgb="FFF9CCB5"/>
      <color rgb="FF88AE9D"/>
      <color rgb="FFB9CFC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5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4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2.xml"/><Relationship Id="rId15" Type="http://schemas.openxmlformats.org/officeDocument/2006/relationships/calcChain" Target="calcChain.xml"/><Relationship Id="rId10" Type="http://schemas.openxmlformats.org/officeDocument/2006/relationships/connections" Target="connections.xml"/><Relationship Id="rId4" Type="http://schemas.openxmlformats.org/officeDocument/2006/relationships/pivotCacheDefinition" Target="pivotCache/pivotCacheDefinition1.xml"/><Relationship Id="rId9" Type="http://schemas.openxmlformats.org/officeDocument/2006/relationships/theme" Target="theme/theme1.xml"/><Relationship Id="rId14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Сегодня!$N$7</c:f>
              <c:strCache>
                <c:ptCount val="1"/>
                <c:pt idx="0">
                  <c:v>Чистая выручка</c:v>
                </c:pt>
              </c:strCache>
            </c:strRef>
          </c:tx>
          <c:spPr>
            <a:ln w="25400" cap="rnd">
              <a:solidFill>
                <a:srgbClr val="88AE9D"/>
              </a:solidFill>
              <a:round/>
            </a:ln>
            <a:effectLst/>
          </c:spPr>
          <c:marker>
            <c:symbol val="none"/>
          </c:marker>
          <c:cat>
            <c:numRef>
              <c:f>Сегодня!$M$8:$M$21</c:f>
              <c:numCache>
                <c:formatCode>m/d/yyyy</c:formatCode>
                <c:ptCount val="14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</c:numCache>
            </c:numRef>
          </c:cat>
          <c:val>
            <c:numRef>
              <c:f>Сегодня!$N$8:$N$21</c:f>
              <c:numCache>
                <c:formatCode>#,##0</c:formatCode>
                <c:ptCount val="14"/>
                <c:pt idx="0">
                  <c:v>477417.99</c:v>
                </c:pt>
                <c:pt idx="1">
                  <c:v>457417.23</c:v>
                </c:pt>
                <c:pt idx="2">
                  <c:v>540786.09</c:v>
                </c:pt>
                <c:pt idx="3">
                  <c:v>527045.55000000005</c:v>
                </c:pt>
                <c:pt idx="4">
                  <c:v>473509.46</c:v>
                </c:pt>
                <c:pt idx="5">
                  <c:v>480800.75</c:v>
                </c:pt>
                <c:pt idx="6">
                  <c:v>565194.02</c:v>
                </c:pt>
                <c:pt idx="7">
                  <c:v>481399.15</c:v>
                </c:pt>
                <c:pt idx="8">
                  <c:v>452385.45</c:v>
                </c:pt>
                <c:pt idx="9">
                  <c:v>435220.77</c:v>
                </c:pt>
                <c:pt idx="10">
                  <c:v>487648.31</c:v>
                </c:pt>
                <c:pt idx="11">
                  <c:v>434732.65</c:v>
                </c:pt>
                <c:pt idx="12">
                  <c:v>511640.34</c:v>
                </c:pt>
                <c:pt idx="13">
                  <c:v>456149.43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75D-4C3F-B184-203D98EA5522}"/>
            </c:ext>
          </c:extLst>
        </c:ser>
        <c:ser>
          <c:idx val="1"/>
          <c:order val="1"/>
          <c:tx>
            <c:strRef>
              <c:f>Сегодня!$O$7</c:f>
              <c:strCache>
                <c:ptCount val="1"/>
                <c:pt idx="0">
                  <c:v>Валовая прибыль</c:v>
                </c:pt>
              </c:strCache>
            </c:strRef>
          </c:tx>
          <c:spPr>
            <a:ln w="2540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Сегодня!$M$8:$M$21</c:f>
              <c:numCache>
                <c:formatCode>m/d/yyyy</c:formatCode>
                <c:ptCount val="14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</c:numCache>
            </c:numRef>
          </c:cat>
          <c:val>
            <c:numRef>
              <c:f>Сегодня!$O$8:$O$21</c:f>
              <c:numCache>
                <c:formatCode>#,##0</c:formatCode>
                <c:ptCount val="14"/>
                <c:pt idx="0">
                  <c:v>274303.94</c:v>
                </c:pt>
                <c:pt idx="1">
                  <c:v>267560.88</c:v>
                </c:pt>
                <c:pt idx="2">
                  <c:v>313030.34000000003</c:v>
                </c:pt>
                <c:pt idx="3">
                  <c:v>284616.90000000002</c:v>
                </c:pt>
                <c:pt idx="4">
                  <c:v>264130.76</c:v>
                </c:pt>
                <c:pt idx="5">
                  <c:v>272374.09999999998</c:v>
                </c:pt>
                <c:pt idx="6">
                  <c:v>317143.12</c:v>
                </c:pt>
                <c:pt idx="7">
                  <c:v>269888.3</c:v>
                </c:pt>
                <c:pt idx="8">
                  <c:v>255173.65</c:v>
                </c:pt>
                <c:pt idx="9">
                  <c:v>243035.12</c:v>
                </c:pt>
                <c:pt idx="10">
                  <c:v>265837.71000000002</c:v>
                </c:pt>
                <c:pt idx="11">
                  <c:v>244450.05</c:v>
                </c:pt>
                <c:pt idx="12">
                  <c:v>281654.94</c:v>
                </c:pt>
                <c:pt idx="13">
                  <c:v>255547.83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75D-4C3F-B184-203D98EA55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3253439"/>
        <c:axId val="273254399"/>
      </c:lineChart>
      <c:lineChart>
        <c:grouping val="standard"/>
        <c:varyColors val="0"/>
        <c:ser>
          <c:idx val="2"/>
          <c:order val="2"/>
          <c:tx>
            <c:strRef>
              <c:f>Сегодня!$P$7</c:f>
              <c:strCache>
                <c:ptCount val="1"/>
                <c:pt idx="0">
                  <c:v>Покупок</c:v>
                </c:pt>
              </c:strCache>
            </c:strRef>
          </c:tx>
          <c:spPr>
            <a:ln w="2540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Сегодня!$M$8:$M$21</c:f>
              <c:numCache>
                <c:formatCode>m/d/yyyy</c:formatCode>
                <c:ptCount val="14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</c:numCache>
            </c:numRef>
          </c:cat>
          <c:val>
            <c:numRef>
              <c:f>Сегодня!$P$8:$P$21</c:f>
              <c:numCache>
                <c:formatCode>#,##0</c:formatCode>
                <c:ptCount val="14"/>
                <c:pt idx="0">
                  <c:v>306</c:v>
                </c:pt>
                <c:pt idx="1">
                  <c:v>276</c:v>
                </c:pt>
                <c:pt idx="2">
                  <c:v>332</c:v>
                </c:pt>
                <c:pt idx="3">
                  <c:v>310</c:v>
                </c:pt>
                <c:pt idx="4">
                  <c:v>303</c:v>
                </c:pt>
                <c:pt idx="5">
                  <c:v>301</c:v>
                </c:pt>
                <c:pt idx="6">
                  <c:v>324</c:v>
                </c:pt>
                <c:pt idx="7">
                  <c:v>297</c:v>
                </c:pt>
                <c:pt idx="8">
                  <c:v>322</c:v>
                </c:pt>
                <c:pt idx="9">
                  <c:v>279</c:v>
                </c:pt>
                <c:pt idx="10">
                  <c:v>283</c:v>
                </c:pt>
                <c:pt idx="11">
                  <c:v>292</c:v>
                </c:pt>
                <c:pt idx="12">
                  <c:v>317</c:v>
                </c:pt>
                <c:pt idx="13">
                  <c:v>292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275D-4C3F-B184-203D98EA55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4255119"/>
        <c:axId val="274254639"/>
      </c:lineChart>
      <c:dateAx>
        <c:axId val="273253439"/>
        <c:scaling>
          <c:orientation val="minMax"/>
        </c:scaling>
        <c:delete val="0"/>
        <c:axPos val="b"/>
        <c:majorGridlines>
          <c:spPr>
            <a:ln w="635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" sourceLinked="0"/>
        <c:majorTickMark val="none"/>
        <c:minorTickMark val="none"/>
        <c:tickLblPos val="nextTo"/>
        <c:spPr>
          <a:noFill/>
          <a:ln w="6350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73254399"/>
        <c:crosses val="autoZero"/>
        <c:auto val="1"/>
        <c:lblOffset val="100"/>
        <c:baseTimeUnit val="days"/>
      </c:dateAx>
      <c:valAx>
        <c:axId val="273254399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6350">
            <a:solidFill>
              <a:schemeClr val="bg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73253439"/>
        <c:crosses val="autoZero"/>
        <c:crossBetween val="between"/>
      </c:valAx>
      <c:valAx>
        <c:axId val="274254639"/>
        <c:scaling>
          <c:orientation val="minMax"/>
        </c:scaling>
        <c:delete val="0"/>
        <c:axPos val="r"/>
        <c:numFmt formatCode="#,##0" sourceLinked="1"/>
        <c:majorTickMark val="out"/>
        <c:minorTickMark val="none"/>
        <c:tickLblPos val="nextTo"/>
        <c:spPr>
          <a:noFill/>
          <a:ln w="6350">
            <a:solidFill>
              <a:schemeClr val="bg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74255119"/>
        <c:crosses val="max"/>
        <c:crossBetween val="between"/>
      </c:valAx>
      <c:dateAx>
        <c:axId val="274255119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74254639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217049</xdr:colOff>
      <xdr:row>5</xdr:row>
      <xdr:rowOff>120650</xdr:rowOff>
    </xdr:from>
    <xdr:to>
      <xdr:col>23</xdr:col>
      <xdr:colOff>593253</xdr:colOff>
      <xdr:row>21</xdr:row>
      <xdr:rowOff>108693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821377BB-3D8F-C0D8-EAD2-C76A561CD2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hchinova" refreshedDate="46132.630323495374" backgroundQuery="1" createdVersion="8" refreshedVersion="8" minRefreshableVersion="3" recordCount="0" supportSubquery="1" supportAdvancedDrill="1" xr:uid="{104281D0-C7CC-4230-8975-405CCDDD87C9}">
  <cacheSource type="external" connectionId="1"/>
  <cacheFields count="4">
    <cacheField name="[Measures].[Сумма по столбцу fact_amount 2]" caption="Сумма по столбцу fact_amount 2" numFmtId="0" hierarchy="72" level="32767"/>
    <cacheField name="[Measures].[Сумма по столбцу plan_amount 2]" caption="Сумма по столбцу plan_amount 2" numFmtId="0" hierarchy="73" level="32767"/>
    <cacheField name="[public mart_plan_fact_history].[year].[year]" caption="year" numFmtId="0" hierarchy="23" level="1">
      <sharedItems containsSemiMixedTypes="0" containsString="0" containsNumber="1" containsInteger="1" minValue="2024" maxValue="2026" count="3">
        <n v="2024"/>
        <n v="2025"/>
        <n v="2026"/>
      </sharedItems>
      <extLst>
        <ext xmlns:x15="http://schemas.microsoft.com/office/spreadsheetml/2010/11/main" uri="{4F2E5C28-24EA-4eb8-9CBF-B6C8F9C3D259}">
          <x15:cachedUniqueNames>
            <x15:cachedUniqueName index="0" name="[public mart_plan_fact_history].[year].&amp;[2024]"/>
            <x15:cachedUniqueName index="1" name="[public mart_plan_fact_history].[year].&amp;[2025]"/>
            <x15:cachedUniqueName index="2" name="[public mart_plan_fact_history].[year].&amp;[2026]"/>
          </x15:cachedUniqueNames>
        </ext>
      </extLst>
    </cacheField>
    <cacheField name="[public mart_plan_fact_history].[month].[month]" caption="month" numFmtId="0" hierarchy="24" level="1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  <extLst>
        <ext xmlns:x15="http://schemas.microsoft.com/office/spreadsheetml/2010/11/main" uri="{4F2E5C28-24EA-4eb8-9CBF-B6C8F9C3D259}">
          <x15:cachedUniqueNames>
            <x15:cachedUniqueName index="0" name="[public mart_plan_fact_history].[month].&amp;[1]"/>
            <x15:cachedUniqueName index="1" name="[public mart_plan_fact_history].[month].&amp;[2]"/>
            <x15:cachedUniqueName index="2" name="[public mart_plan_fact_history].[month].&amp;[3]"/>
            <x15:cachedUniqueName index="3" name="[public mart_plan_fact_history].[month].&amp;[4]"/>
            <x15:cachedUniqueName index="4" name="[public mart_plan_fact_history].[month].&amp;[5]"/>
            <x15:cachedUniqueName index="5" name="[public mart_plan_fact_history].[month].&amp;[6]"/>
            <x15:cachedUniqueName index="6" name="[public mart_plan_fact_history].[month].&amp;[7]"/>
            <x15:cachedUniqueName index="7" name="[public mart_plan_fact_history].[month].&amp;[8]"/>
            <x15:cachedUniqueName index="8" name="[public mart_plan_fact_history].[month].&amp;[9]"/>
            <x15:cachedUniqueName index="9" name="[public mart_plan_fact_history].[month].&amp;[10]"/>
            <x15:cachedUniqueName index="10" name="[public mart_plan_fact_history].[month].&amp;[11]"/>
            <x15:cachedUniqueName index="11" name="[public mart_plan_fact_history].[month].&amp;[12]"/>
          </x15:cachedUniqueNames>
        </ext>
      </extLst>
    </cacheField>
  </cacheFields>
  <cacheHierarchies count="74">
    <cacheHierarchy uniqueName="[public mart_daily_breakdown].[day_type]" caption="day_type" attribute="1" defaultMemberUniqueName="[public mart_daily_breakdown].[day_type].[All]" allUniqueName="[public mart_daily_breakdown].[day_type].[All]" dimensionUniqueName="[public mart_daily_breakdown]" displayFolder="" count="0" memberValueDatatype="130" unbalanced="0"/>
    <cacheHierarchy uniqueName="[public mart_daily_breakdown].[genre]" caption="genre" attribute="1" defaultMemberUniqueName="[public mart_daily_breakdown].[genre].[All]" allUniqueName="[public mart_daily_breakdown].[genre].[All]" dimensionUniqueName="[public mart_daily_breakdown]" displayFolder="" count="0" memberValueDatatype="130" unbalanced="0"/>
    <cacheHierarchy uniqueName="[public mart_daily_breakdown].[format]" caption="format" attribute="1" defaultMemberUniqueName="[public mart_daily_breakdown].[format].[All]" allUniqueName="[public mart_daily_breakdown].[format].[All]" dimensionUniqueName="[public mart_daily_breakdown]" displayFolder="" count="0" memberValueDatatype="130" unbalanced="0"/>
    <cacheHierarchy uniqueName="[public mart_daily_breakdown].[orders]" caption="orders" attribute="1" defaultMemberUniqueName="[public mart_daily_breakdown].[orders].[All]" allUniqueName="[public mart_daily_breakdown].[orders].[All]" dimensionUniqueName="[public mart_daily_breakdown]" displayFolder="" count="0" memberValueDatatype="20" unbalanced="0"/>
    <cacheHierarchy uniqueName="[public mart_daily_breakdown].[net_qty]" caption="net_qty" attribute="1" defaultMemberUniqueName="[public mart_daily_breakdown].[net_qty].[All]" allUniqueName="[public mart_daily_breakdown].[net_qty].[All]" dimensionUniqueName="[public mart_daily_breakdown]" displayFolder="" count="0" memberValueDatatype="20" unbalanced="0"/>
    <cacheHierarchy uniqueName="[public mart_daily_breakdown].[net_revenue]" caption="net_revenue" attribute="1" defaultMemberUniqueName="[public mart_daily_breakdown].[net_revenue].[All]" allUniqueName="[public mart_daily_breakdown].[net_revenue].[All]" dimensionUniqueName="[public mart_daily_breakdown]" displayFolder="" count="0" memberValueDatatype="5" unbalanced="0"/>
    <cacheHierarchy uniqueName="[public mart_daily_breakdown].[gross_profit]" caption="gross_profit" attribute="1" defaultMemberUniqueName="[public mart_daily_breakdown].[gross_profit].[All]" allUniqueName="[public mart_daily_breakdown].[gross_profit].[All]" dimensionUniqueName="[public mart_daily_breakdown]" displayFolder="" count="0" memberValueDatatype="5" unbalanced="0"/>
    <cacheHierarchy uniqueName="[public mart_plan_fact].[genre]" caption="genre" attribute="1" defaultMemberUniqueName="[public mart_plan_fact].[genre].[All]" allUniqueName="[public mart_plan_fact].[genre].[All]" dimensionUniqueName="[public mart_plan_fact]" displayFolder="" count="0" memberValueDatatype="130" unbalanced="0"/>
    <cacheHierarchy uniqueName="[public mart_plan_fact].[format]" caption="format" attribute="1" defaultMemberUniqueName="[public mart_plan_fact].[format].[All]" allUniqueName="[public mart_plan_fact].[format].[All]" dimensionUniqueName="[public mart_plan_fact]" displayFolder="" count="0" memberValueDatatype="130" unbalanced="0"/>
    <cacheHierarchy uniqueName="[public mart_plan_fact].[year]" caption="year" attribute="1" defaultMemberUniqueName="[public mart_plan_fact].[year].[All]" allUniqueName="[public mart_plan_fact].[year].[All]" dimensionUniqueName="[public mart_plan_fact]" displayFolder="" count="0" memberValueDatatype="20" unbalanced="0"/>
    <cacheHierarchy uniqueName="[public mart_plan_fact].[month]" caption="month" attribute="1" defaultMemberUniqueName="[public mart_plan_fact].[month].[All]" allUniqueName="[public mart_plan_fact].[month].[All]" dimensionUniqueName="[public mart_plan_fact]" displayFolder="" count="0" memberValueDatatype="20" unbalanced="0"/>
    <cacheHierarchy uniqueName="[public mart_plan_fact].[plan_qty]" caption="plan_qty" attribute="1" defaultMemberUniqueName="[public mart_plan_fact].[plan_qty].[All]" allUniqueName="[public mart_plan_fact].[plan_qty].[All]" dimensionUniqueName="[public mart_plan_fact]" displayFolder="" count="0" memberValueDatatype="20" unbalanced="0"/>
    <cacheHierarchy uniqueName="[public mart_plan_fact].[plan_amount]" caption="plan_amount" attribute="1" defaultMemberUniqueName="[public mart_plan_fact].[plan_amount].[All]" allUniqueName="[public mart_plan_fact].[plan_amount].[All]" dimensionUniqueName="[public mart_plan_fact]" displayFolder="" count="0" memberValueDatatype="5" unbalanced="0"/>
    <cacheHierarchy uniqueName="[public mart_plan_fact].[plan_qty_to_date]" caption="plan_qty_to_date" attribute="1" defaultMemberUniqueName="[public mart_plan_fact].[plan_qty_to_date].[All]" allUniqueName="[public mart_plan_fact].[plan_qty_to_date].[All]" dimensionUniqueName="[public mart_plan_fact]" displayFolder="" count="0" memberValueDatatype="5" unbalanced="0"/>
    <cacheHierarchy uniqueName="[public mart_plan_fact].[plan_amount_to_date]" caption="plan_amount_to_date" attribute="1" defaultMemberUniqueName="[public mart_plan_fact].[plan_amount_to_date].[All]" allUniqueName="[public mart_plan_fact].[plan_amount_to_date].[All]" dimensionUniqueName="[public mart_plan_fact]" displayFolder="" count="0" memberValueDatatype="5" unbalanced="0"/>
    <cacheHierarchy uniqueName="[public mart_plan_fact].[plan_margin_target]" caption="plan_margin_target" attribute="1" defaultMemberUniqueName="[public mart_plan_fact].[plan_margin_target].[All]" allUniqueName="[public mart_plan_fact].[plan_margin_target].[All]" dimensionUniqueName="[public mart_plan_fact]" displayFolder="" count="0" memberValueDatatype="5" unbalanced="0"/>
    <cacheHierarchy uniqueName="[public mart_plan_fact].[fact_qty]" caption="fact_qty" attribute="1" defaultMemberUniqueName="[public mart_plan_fact].[fact_qty].[All]" allUniqueName="[public mart_plan_fact].[fact_qty].[All]" dimensionUniqueName="[public mart_plan_fact]" displayFolder="" count="0" memberValueDatatype="20" unbalanced="0"/>
    <cacheHierarchy uniqueName="[public mart_plan_fact].[fact_amount]" caption="fact_amount" attribute="1" defaultMemberUniqueName="[public mart_plan_fact].[fact_amount].[All]" allUniqueName="[public mart_plan_fact].[fact_amount].[All]" dimensionUniqueName="[public mart_plan_fact]" displayFolder="" count="0" memberValueDatatype="5" unbalanced="0"/>
    <cacheHierarchy uniqueName="[public mart_plan_fact].[pct_of_plan_to_date]" caption="pct_of_plan_to_date" attribute="1" defaultMemberUniqueName="[public mart_plan_fact].[pct_of_plan_to_date].[All]" allUniqueName="[public mart_plan_fact].[pct_of_plan_to_date].[All]" dimensionUniqueName="[public mart_plan_fact]" displayFolder="" count="0" memberValueDatatype="5" unbalanced="0"/>
    <cacheHierarchy uniqueName="[public mart_plan_fact].[delta_amount_to_date]" caption="delta_amount_to_date" attribute="1" defaultMemberUniqueName="[public mart_plan_fact].[delta_amount_to_date].[All]" allUniqueName="[public mart_plan_fact].[delta_amount_to_date].[All]" dimensionUniqueName="[public mart_plan_fact]" displayFolder="" count="0" memberValueDatatype="5" unbalanced="0"/>
    <cacheHierarchy uniqueName="[public mart_plan_fact].[report_date]" caption="report_date" attribute="1" time="1" defaultMemberUniqueName="[public mart_plan_fact].[report_date].[All]" allUniqueName="[public mart_plan_fact].[report_date].[All]" dimensionUniqueName="[public mart_plan_fact]" displayFolder="" count="0" memberValueDatatype="7" unbalanced="0"/>
    <cacheHierarchy uniqueName="[public mart_plan_fact_history].[genre]" caption="genre" attribute="1" defaultMemberUniqueName="[public mart_plan_fact_history].[genre].[All]" allUniqueName="[public mart_plan_fact_history].[genre].[All]" dimensionUniqueName="[public mart_plan_fact_history]" displayFolder="" count="0" memberValueDatatype="130" unbalanced="0"/>
    <cacheHierarchy uniqueName="[public mart_plan_fact_history].[format]" caption="format" attribute="1" defaultMemberUniqueName="[public mart_plan_fact_history].[format].[All]" allUniqueName="[public mart_plan_fact_history].[format].[All]" dimensionUniqueName="[public mart_plan_fact_history]" displayFolder="" count="0" memberValueDatatype="130" unbalanced="0"/>
    <cacheHierarchy uniqueName="[public mart_plan_fact_history].[year]" caption="year" attribute="1" defaultMemberUniqueName="[public mart_plan_fact_history].[year].[All]" allUniqueName="[public mart_plan_fact_history].[year].[All]" dimensionUniqueName="[public mart_plan_fact_history]" displayFolder="" count="2" memberValueDatatype="20" unbalanced="0">
      <fieldsUsage count="2">
        <fieldUsage x="-1"/>
        <fieldUsage x="2"/>
      </fieldsUsage>
    </cacheHierarchy>
    <cacheHierarchy uniqueName="[public mart_plan_fact_history].[month]" caption="month" attribute="1" defaultMemberUniqueName="[public mart_plan_fact_history].[month].[All]" allUniqueName="[public mart_plan_fact_history].[month].[All]" dimensionUniqueName="[public mart_plan_fact_history]" displayFolder="" count="2" memberValueDatatype="20" unbalanced="0">
      <fieldsUsage count="2">
        <fieldUsage x="-1"/>
        <fieldUsage x="3"/>
      </fieldsUsage>
    </cacheHierarchy>
    <cacheHierarchy uniqueName="[public mart_plan_fact_history].[plan_qty]" caption="plan_qty" attribute="1" defaultMemberUniqueName="[public mart_plan_fact_history].[plan_qty].[All]" allUniqueName="[public mart_plan_fact_history].[plan_qty].[All]" dimensionUniqueName="[public mart_plan_fact_history]" displayFolder="" count="0" memberValueDatatype="20" unbalanced="0"/>
    <cacheHierarchy uniqueName="[public mart_plan_fact_history].[plan_amount]" caption="plan_amount" attribute="1" defaultMemberUniqueName="[public mart_plan_fact_history].[plan_amount].[All]" allUniqueName="[public mart_plan_fact_history].[plan_amount].[All]" dimensionUniqueName="[public mart_plan_fact_history]" displayFolder="" count="0" memberValueDatatype="5" unbalanced="0"/>
    <cacheHierarchy uniqueName="[public mart_plan_fact_history].[plan_margin_target]" caption="plan_margin_target" attribute="1" defaultMemberUniqueName="[public mart_plan_fact_history].[plan_margin_target].[All]" allUniqueName="[public mart_plan_fact_history].[plan_margin_target].[All]" dimensionUniqueName="[public mart_plan_fact_history]" displayFolder="" count="0" memberValueDatatype="5" unbalanced="0"/>
    <cacheHierarchy uniqueName="[public mart_plan_fact_history].[fact_qty]" caption="fact_qty" attribute="1" defaultMemberUniqueName="[public mart_plan_fact_history].[fact_qty].[All]" allUniqueName="[public mart_plan_fact_history].[fact_qty].[All]" dimensionUniqueName="[public mart_plan_fact_history]" displayFolder="" count="0" memberValueDatatype="20" unbalanced="0"/>
    <cacheHierarchy uniqueName="[public mart_plan_fact_history].[fact_amount]" caption="fact_amount" attribute="1" defaultMemberUniqueName="[public mart_plan_fact_history].[fact_amount].[All]" allUniqueName="[public mart_plan_fact_history].[fact_amount].[All]" dimensionUniqueName="[public mart_plan_fact_history]" displayFolder="" count="0" memberValueDatatype="5" unbalanced="0"/>
    <cacheHierarchy uniqueName="[public mart_plan_fact_history].[pct_of_plan]" caption="pct_of_plan" attribute="1" defaultMemberUniqueName="[public mart_plan_fact_history].[pct_of_plan].[All]" allUniqueName="[public mart_plan_fact_history].[pct_of_plan].[All]" dimensionUniqueName="[public mart_plan_fact_history]" displayFolder="" count="0" memberValueDatatype="5" unbalanced="0"/>
    <cacheHierarchy uniqueName="[public mart_plan_fact_history].[delta_amount]" caption="delta_amount" attribute="1" defaultMemberUniqueName="[public mart_plan_fact_history].[delta_amount].[All]" allUniqueName="[public mart_plan_fact_history].[delta_amount].[All]" dimensionUniqueName="[public mart_plan_fact_history]" displayFolder="" count="0" memberValueDatatype="5" unbalanced="0"/>
    <cacheHierarchy uniqueName="[public mart_plan_fact_history].[month_status]" caption="month_status" attribute="1" defaultMemberUniqueName="[public mart_plan_fact_history].[month_status].[All]" allUniqueName="[public mart_plan_fact_history].[month_status].[All]" dimensionUniqueName="[public mart_plan_fact_history]" displayFolder="" count="0" memberValueDatatype="130" unbalanced="0"/>
    <cacheHierarchy uniqueName="[public mart_sales_trends].[year]" caption="year" attribute="1" defaultMemberUniqueName="[public mart_sales_trends].[year].[All]" allUniqueName="[public mart_sales_trends].[year].[All]" dimensionUniqueName="[public mart_sales_trends]" displayFolder="" count="0" memberValueDatatype="20" unbalanced="0"/>
    <cacheHierarchy uniqueName="[public mart_sales_trends].[month]" caption="month" attribute="1" defaultMemberUniqueName="[public mart_sales_trends].[month].[All]" allUniqueName="[public mart_sales_trends].[month].[All]" dimensionUniqueName="[public mart_sales_trends]" displayFolder="" count="0" memberValueDatatype="20" unbalanced="0"/>
    <cacheHierarchy uniqueName="[public mart_sales_trends].[quarter]" caption="quarter" attribute="1" defaultMemberUniqueName="[public mart_sales_trends].[quarter].[All]" allUniqueName="[public mart_sales_trends].[quarter].[All]" dimensionUniqueName="[public mart_sales_trends]" displayFolder="" count="0" memberValueDatatype="20" unbalanced="0"/>
    <cacheHierarchy uniqueName="[public mart_sales_trends].[month_start]" caption="month_start" attribute="1" time="1" defaultMemberUniqueName="[public mart_sales_trends].[month_start].[All]" allUniqueName="[public mart_sales_trends].[month_start].[All]" dimensionUniqueName="[public mart_sales_trends]" displayFolder="" count="0" memberValueDatatype="7" unbalanced="0"/>
    <cacheHierarchy uniqueName="[public mart_sales_trends].[genre]" caption="genre" attribute="1" defaultMemberUniqueName="[public mart_sales_trends].[genre].[All]" allUniqueName="[public mart_sales_trends].[genre].[All]" dimensionUniqueName="[public mart_sales_trends]" displayFolder="" count="0" memberValueDatatype="130" unbalanced="0"/>
    <cacheHierarchy uniqueName="[public mart_sales_trends].[format]" caption="format" attribute="1" defaultMemberUniqueName="[public mart_sales_trends].[format].[All]" allUniqueName="[public mart_sales_trends].[format].[All]" dimensionUniqueName="[public mart_sales_trends]" displayFolder="" count="0" memberValueDatatype="130" unbalanced="0"/>
    <cacheHierarchy uniqueName="[public mart_sales_trends].[language]" caption="language" attribute="1" defaultMemberUniqueName="[public mart_sales_trends].[language].[All]" allUniqueName="[public mart_sales_trends].[language].[All]" dimensionUniqueName="[public mart_sales_trends]" displayFolder="" count="0" memberValueDatatype="130" unbalanced="0"/>
    <cacheHierarchy uniqueName="[public mart_sales_trends].[orders]" caption="orders" attribute="1" defaultMemberUniqueName="[public mart_sales_trends].[orders].[All]" allUniqueName="[public mart_sales_trends].[orders].[All]" dimensionUniqueName="[public mart_sales_trends]" displayFolder="" count="0" memberValueDatatype="20" unbalanced="0"/>
    <cacheHierarchy uniqueName="[public mart_sales_trends].[gross_qty]" caption="gross_qty" attribute="1" defaultMemberUniqueName="[public mart_sales_trends].[gross_qty].[All]" allUniqueName="[public mart_sales_trends].[gross_qty].[All]" dimensionUniqueName="[public mart_sales_trends]" displayFolder="" count="0" memberValueDatatype="20" unbalanced="0"/>
    <cacheHierarchy uniqueName="[public mart_sales_trends].[return_qty]" caption="return_qty" attribute="1" defaultMemberUniqueName="[public mart_sales_trends].[return_qty].[All]" allUniqueName="[public mart_sales_trends].[return_qty].[All]" dimensionUniqueName="[public mart_sales_trends]" displayFolder="" count="0" memberValueDatatype="20" unbalanced="0"/>
    <cacheHierarchy uniqueName="[public mart_sales_trends].[net_qty]" caption="net_qty" attribute="1" defaultMemberUniqueName="[public mart_sales_trends].[net_qty].[All]" allUniqueName="[public mart_sales_trends].[net_qty].[All]" dimensionUniqueName="[public mart_sales_trends]" displayFolder="" count="0" memberValueDatatype="20" unbalanced="0"/>
    <cacheHierarchy uniqueName="[public mart_sales_trends].[gross_revenue]" caption="gross_revenue" attribute="1" defaultMemberUniqueName="[public mart_sales_trends].[gross_revenue].[All]" allUniqueName="[public mart_sales_trends].[gross_revenue].[All]" dimensionUniqueName="[public mart_sales_trends]" displayFolder="" count="0" memberValueDatatype="5" unbalanced="0"/>
    <cacheHierarchy uniqueName="[public mart_sales_trends].[return_revenue]" caption="return_revenue" attribute="1" defaultMemberUniqueName="[public mart_sales_trends].[return_revenue].[All]" allUniqueName="[public mart_sales_trends].[return_revenue].[All]" dimensionUniqueName="[public mart_sales_trends]" displayFolder="" count="0" memberValueDatatype="5" unbalanced="0"/>
    <cacheHierarchy uniqueName="[public mart_sales_trends].[net_revenue]" caption="net_revenue" attribute="1" defaultMemberUniqueName="[public mart_sales_trends].[net_revenue].[All]" allUniqueName="[public mart_sales_trends].[net_revenue].[All]" dimensionUniqueName="[public mart_sales_trends]" displayFolder="" count="0" memberValueDatatype="5" unbalanced="0"/>
    <cacheHierarchy uniqueName="[public mart_sales_trends].[total_cost]" caption="total_cost" attribute="1" defaultMemberUniqueName="[public mart_sales_trends].[total_cost].[All]" allUniqueName="[public mart_sales_trends].[total_cost].[All]" dimensionUniqueName="[public mart_sales_trends]" displayFolder="" count="0" memberValueDatatype="5" unbalanced="0"/>
    <cacheHierarchy uniqueName="[public mart_sales_trends].[gross_profit]" caption="gross_profit" attribute="1" defaultMemberUniqueName="[public mart_sales_trends].[gross_profit].[All]" allUniqueName="[public mart_sales_trends].[gross_profit].[All]" dimensionUniqueName="[public mart_sales_trends]" displayFolder="" count="0" memberValueDatatype="5" unbalanced="0"/>
    <cacheHierarchy uniqueName="[public mart_sales_trends].[gross_margin]" caption="gross_margin" attribute="1" defaultMemberUniqueName="[public mart_sales_trends].[gross_margin].[All]" allUniqueName="[public mart_sales_trends].[gross_margin].[All]" dimensionUniqueName="[public mart_sales_trends]" displayFolder="" count="0" memberValueDatatype="5" unbalanced="0"/>
    <cacheHierarchy uniqueName="[public mart_sales_trends].[promo_orders]" caption="promo_orders" attribute="1" defaultMemberUniqueName="[public mart_sales_trends].[promo_orders].[All]" allUniqueName="[public mart_sales_trends].[promo_orders].[All]" dimensionUniqueName="[public mart_sales_trends]" displayFolder="" count="0" memberValueDatatype="20" unbalanced="0"/>
    <cacheHierarchy uniqueName="[public mart_sales_trends].[promo_revenue]" caption="promo_revenue" attribute="1" defaultMemberUniqueName="[public mart_sales_trends].[promo_revenue].[All]" allUniqueName="[public mart_sales_trends].[promo_revenue].[All]" dimensionUniqueName="[public mart_sales_trends]" displayFolder="" count="0" memberValueDatatype="5" unbalanced="0"/>
    <cacheHierarchy uniqueName="[public mart_sales_trends].[lost_sales_qty]" caption="lost_sales_qty" attribute="1" defaultMemberUniqueName="[public mart_sales_trends].[lost_sales_qty].[All]" allUniqueName="[public mart_sales_trends].[lost_sales_qty].[All]" dimensionUniqueName="[public mart_sales_trends]" displayFolder="" count="0" memberValueDatatype="20" unbalanced="0"/>
    <cacheHierarchy uniqueName="[public mart_sales_trends].[avg_order_value]" caption="avg_order_value" attribute="1" defaultMemberUniqueName="[public mart_sales_trends].[avg_order_value].[All]" allUniqueName="[public mart_sales_trends].[avg_order_value].[All]" dimensionUniqueName="[public mart_sales_trends]" displayFolder="" count="0" memberValueDatatype="5" unbalanced="0"/>
    <cacheHierarchy uniqueName="[public mart_sales_trends].[month_start (Год)]" caption="month_start (Год)" attribute="1" defaultMemberUniqueName="[public mart_sales_trends].[month_start (Год)].[All]" allUniqueName="[public mart_sales_trends].[month_start (Год)].[All]" dimensionUniqueName="[public mart_sales_trends]" displayFolder="" count="0" memberValueDatatype="130" unbalanced="0"/>
    <cacheHierarchy uniqueName="[public mart_sales_trends].[month_start (Квартал)]" caption="month_start (Квартал)" attribute="1" defaultMemberUniqueName="[public mart_sales_trends].[month_start (Квартал)].[All]" allUniqueName="[public mart_sales_trends].[month_start (Квартал)].[All]" dimensionUniqueName="[public mart_sales_trends]" displayFolder="" count="0" memberValueDatatype="130" unbalanced="0"/>
    <cacheHierarchy uniqueName="[public mart_sales_trends].[month_start (Месяц)]" caption="month_start (Месяц)" attribute="1" defaultMemberUniqueName="[public mart_sales_trends].[month_start (Месяц)].[All]" allUniqueName="[public mart_sales_trends].[month_start (Месяц)].[All]" dimensionUniqueName="[public mart_sales_trends]" displayFolder="" count="0" memberValueDatatype="130" unbalanced="0"/>
    <cacheHierarchy uniqueName="[public mart_sales_trends].[month_start (Индекс месяца)]" caption="month_start (Индекс месяца)" attribute="1" defaultMemberUniqueName="[public mart_sales_trends].[month_start (Индекс месяца)].[All]" allUniqueName="[public mart_sales_trends].[month_start (Индекс месяца)].[All]" dimensionUniqueName="[public mart_sales_trends]" displayFolder="" count="0" memberValueDatatype="20" unbalanced="0" hidden="1"/>
    <cacheHierarchy uniqueName="[Measures].[__XL_Count public mart_plan_fact]" caption="__XL_Count public mart_plan_fact" measure="1" displayFolder="" measureGroup="public mart_plan_fact" count="0" hidden="1"/>
    <cacheHierarchy uniqueName="[Measures].[__XL_Count public mart_daily_breakdown]" caption="__XL_Count public mart_daily_breakdown" measure="1" displayFolder="" measureGroup="public mart_daily_breakdown" count="0" hidden="1"/>
    <cacheHierarchy uniqueName="[Measures].[__XL_Count public mart_sales_trends]" caption="__XL_Count public mart_sales_trends" measure="1" displayFolder="" measureGroup="public mart_sales_trends" count="0" hidden="1"/>
    <cacheHierarchy uniqueName="[Measures].[__XL_Count public mart_plan_fact_history]" caption="__XL_Count public mart_plan_fact_history" measure="1" displayFolder="" measureGroup="public mart_plan_fact_history" count="0" hidden="1"/>
    <cacheHierarchy uniqueName="[Measures].[__No measures defined]" caption="__No measures defined" measure="1" displayFolder="" count="0" hidden="1"/>
    <cacheHierarchy uniqueName="[Measures].[Сумма по столбцу fact_amount]" caption="Сумма по столбцу fact_amount" measure="1" displayFolder="" measureGroup="public mart_plan_fact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Сумма по столбцу plan_amount]" caption="Сумма по столбцу plan_amount" measure="1" displayFolder="" measureGroup="public mart_plan_fact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Сумма по столбцу gross_revenue]" caption="Сумма по столбцу gross_revenue" measure="1" displayFolder="" measureGroup="public mart_sales_trend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Сумма по столбцу return_revenue]" caption="Сумма по столбцу return_revenue" measure="1" displayFolder="" measureGroup="public mart_sales_trends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Сумма по столбцу net_revenue]" caption="Сумма по столбцу net_revenue" measure="1" displayFolder="" measureGroup="public mart_sales_trends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Сумма по столбцу gross_profit]" caption="Сумма по столбцу gross_profit" measure="1" displayFolder="" measureGroup="public mart_sales_trends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Сумма по столбцу gross_margin]" caption="Сумма по столбцу gross_margin" measure="1" displayFolder="" measureGroup="public mart_sales_trends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Сумма по столбцу orders]" caption="Сумма по столбцу orders" measure="1" displayFolder="" measureGroup="public mart_sales_trend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Среднее по столбцу gross_margin]" caption="Среднее по столбцу gross_margin" measure="1" displayFolder="" measureGroup="public mart_sales_trends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Сумма по столбцу fact_amount 2]" caption="Сумма по столбцу fact_amount 2" measure="1" displayFolder="" measureGroup="public mart_plan_fact_history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Сумма по столбцу plan_amount 2]" caption="Сумма по столбцу plan_amount 2" measure="1" displayFolder="" measureGroup="public mart_plan_fact_history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6"/>
        </ext>
      </extLst>
    </cacheHierarchy>
  </cacheHierarchies>
  <kpis count="0"/>
  <dimensions count="5">
    <dimension measure="1" name="Measures" uniqueName="[Measures]" caption="Measures"/>
    <dimension name="public mart_daily_breakdown" uniqueName="[public mart_daily_breakdown]" caption="public mart_daily_breakdown"/>
    <dimension name="public mart_plan_fact" uniqueName="[public mart_plan_fact]" caption="public mart_plan_fact"/>
    <dimension name="public mart_plan_fact_history" uniqueName="[public mart_plan_fact_history]" caption="public mart_plan_fact_history"/>
    <dimension name="public mart_sales_trends" uniqueName="[public mart_sales_trends]" caption="public mart_sales_trends"/>
  </dimensions>
  <measureGroups count="4">
    <measureGroup name="public mart_daily_breakdown" caption="public mart_daily_breakdown"/>
    <measureGroup name="public mart_plan_fact" caption="public mart_plan_fact"/>
    <measureGroup name="public mart_plan_fact_history" caption="public mart_plan_fact_history"/>
    <measureGroup name="public mart_sales_trends" caption="public mart_sales_trends"/>
  </measureGroups>
  <maps count="4">
    <map measureGroup="0" dimension="1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hchinova" refreshedDate="46132.630324537036" backgroundQuery="1" createdVersion="8" refreshedVersion="8" minRefreshableVersion="3" recordCount="0" supportSubquery="1" supportAdvancedDrill="1" xr:uid="{9B7EFAE7-7D50-47FF-8EE4-F4AFCFDED72E}">
  <cacheSource type="external" connectionId="1"/>
  <cacheFields count="9">
    <cacheField name="[public mart_sales_trends].[month_start (Месяц)].[month_start (Месяц)]" caption="month_start (Месяц)" numFmtId="0" hierarchy="56" level="1">
      <sharedItems count="4">
        <s v="янв"/>
        <s v="фев"/>
        <s v="мар"/>
        <s v="апр"/>
      </sharedItems>
    </cacheField>
    <cacheField name="[public mart_sales_trends].[month_start (Квартал)].[month_start (Квартал)]" caption="month_start (Квартал)" numFmtId="0" hierarchy="55" level="1">
      <sharedItems count="2">
        <s v="Квартал1"/>
        <s v="Квартал2"/>
      </sharedItems>
    </cacheField>
    <cacheField name="[public mart_sales_trends].[month_start (Год)].[month_start (Год)]" caption="month_start (Год)" numFmtId="0" hierarchy="54" level="1">
      <sharedItems count="3">
        <s v="2024"/>
        <s v="2025"/>
        <s v="2026"/>
      </sharedItems>
    </cacheField>
    <cacheField name="[Measures].[Сумма по столбцу gross_revenue]" caption="Сумма по столбцу gross_revenue" numFmtId="0" hierarchy="65" level="32767"/>
    <cacheField name="[Measures].[Сумма по столбцу return_revenue]" caption="Сумма по столбцу return_revenue" numFmtId="0" hierarchy="66" level="32767"/>
    <cacheField name="[Measures].[Сумма по столбцу net_revenue]" caption="Сумма по столбцу net_revenue" numFmtId="0" hierarchy="67" level="32767"/>
    <cacheField name="[Measures].[Сумма по столбцу gross_profit]" caption="Сумма по столбцу gross_profit" numFmtId="0" hierarchy="68" level="32767"/>
    <cacheField name="[Measures].[Сумма по столбцу orders]" caption="Сумма по столбцу orders" numFmtId="0" hierarchy="70" level="32767"/>
    <cacheField name="[Measures].[Среднее по столбцу gross_margin]" caption="Среднее по столбцу gross_margin" numFmtId="0" hierarchy="71" level="32767"/>
  </cacheFields>
  <cacheHierarchies count="74">
    <cacheHierarchy uniqueName="[public mart_daily_breakdown].[day_type]" caption="day_type" attribute="1" defaultMemberUniqueName="[public mart_daily_breakdown].[day_type].[All]" allUniqueName="[public mart_daily_breakdown].[day_type].[All]" dimensionUniqueName="[public mart_daily_breakdown]" displayFolder="" count="0" memberValueDatatype="130" unbalanced="0"/>
    <cacheHierarchy uniqueName="[public mart_daily_breakdown].[genre]" caption="genre" attribute="1" defaultMemberUniqueName="[public mart_daily_breakdown].[genre].[All]" allUniqueName="[public mart_daily_breakdown].[genre].[All]" dimensionUniqueName="[public mart_daily_breakdown]" displayFolder="" count="0" memberValueDatatype="130" unbalanced="0"/>
    <cacheHierarchy uniqueName="[public mart_daily_breakdown].[format]" caption="format" attribute="1" defaultMemberUniqueName="[public mart_daily_breakdown].[format].[All]" allUniqueName="[public mart_daily_breakdown].[format].[All]" dimensionUniqueName="[public mart_daily_breakdown]" displayFolder="" count="0" memberValueDatatype="130" unbalanced="0"/>
    <cacheHierarchy uniqueName="[public mart_daily_breakdown].[orders]" caption="orders" attribute="1" defaultMemberUniqueName="[public mart_daily_breakdown].[orders].[All]" allUniqueName="[public mart_daily_breakdown].[orders].[All]" dimensionUniqueName="[public mart_daily_breakdown]" displayFolder="" count="0" memberValueDatatype="20" unbalanced="0"/>
    <cacheHierarchy uniqueName="[public mart_daily_breakdown].[net_qty]" caption="net_qty" attribute="1" defaultMemberUniqueName="[public mart_daily_breakdown].[net_qty].[All]" allUniqueName="[public mart_daily_breakdown].[net_qty].[All]" dimensionUniqueName="[public mart_daily_breakdown]" displayFolder="" count="0" memberValueDatatype="20" unbalanced="0"/>
    <cacheHierarchy uniqueName="[public mart_daily_breakdown].[net_revenue]" caption="net_revenue" attribute="1" defaultMemberUniqueName="[public mart_daily_breakdown].[net_revenue].[All]" allUniqueName="[public mart_daily_breakdown].[net_revenue].[All]" dimensionUniqueName="[public mart_daily_breakdown]" displayFolder="" count="0" memberValueDatatype="5" unbalanced="0"/>
    <cacheHierarchy uniqueName="[public mart_daily_breakdown].[gross_profit]" caption="gross_profit" attribute="1" defaultMemberUniqueName="[public mart_daily_breakdown].[gross_profit].[All]" allUniqueName="[public mart_daily_breakdown].[gross_profit].[All]" dimensionUniqueName="[public mart_daily_breakdown]" displayFolder="" count="0" memberValueDatatype="5" unbalanced="0"/>
    <cacheHierarchy uniqueName="[public mart_plan_fact].[genre]" caption="genre" attribute="1" defaultMemberUniqueName="[public mart_plan_fact].[genre].[All]" allUniqueName="[public mart_plan_fact].[genre].[All]" dimensionUniqueName="[public mart_plan_fact]" displayFolder="" count="0" memberValueDatatype="130" unbalanced="0"/>
    <cacheHierarchy uniqueName="[public mart_plan_fact].[format]" caption="format" attribute="1" defaultMemberUniqueName="[public mart_plan_fact].[format].[All]" allUniqueName="[public mart_plan_fact].[format].[All]" dimensionUniqueName="[public mart_plan_fact]" displayFolder="" count="0" memberValueDatatype="130" unbalanced="0"/>
    <cacheHierarchy uniqueName="[public mart_plan_fact].[year]" caption="year" attribute="1" defaultMemberUniqueName="[public mart_plan_fact].[year].[All]" allUniqueName="[public mart_plan_fact].[year].[All]" dimensionUniqueName="[public mart_plan_fact]" displayFolder="" count="0" memberValueDatatype="20" unbalanced="0"/>
    <cacheHierarchy uniqueName="[public mart_plan_fact].[month]" caption="month" attribute="1" defaultMemberUniqueName="[public mart_plan_fact].[month].[All]" allUniqueName="[public mart_plan_fact].[month].[All]" dimensionUniqueName="[public mart_plan_fact]" displayFolder="" count="0" memberValueDatatype="20" unbalanced="0"/>
    <cacheHierarchy uniqueName="[public mart_plan_fact].[plan_qty]" caption="plan_qty" attribute="1" defaultMemberUniqueName="[public mart_plan_fact].[plan_qty].[All]" allUniqueName="[public mart_plan_fact].[plan_qty].[All]" dimensionUniqueName="[public mart_plan_fact]" displayFolder="" count="0" memberValueDatatype="20" unbalanced="0"/>
    <cacheHierarchy uniqueName="[public mart_plan_fact].[plan_amount]" caption="plan_amount" attribute="1" defaultMemberUniqueName="[public mart_plan_fact].[plan_amount].[All]" allUniqueName="[public mart_plan_fact].[plan_amount].[All]" dimensionUniqueName="[public mart_plan_fact]" displayFolder="" count="0" memberValueDatatype="5" unbalanced="0"/>
    <cacheHierarchy uniqueName="[public mart_plan_fact].[plan_qty_to_date]" caption="plan_qty_to_date" attribute="1" defaultMemberUniqueName="[public mart_plan_fact].[plan_qty_to_date].[All]" allUniqueName="[public mart_plan_fact].[plan_qty_to_date].[All]" dimensionUniqueName="[public mart_plan_fact]" displayFolder="" count="0" memberValueDatatype="5" unbalanced="0"/>
    <cacheHierarchy uniqueName="[public mart_plan_fact].[plan_amount_to_date]" caption="plan_amount_to_date" attribute="1" defaultMemberUniqueName="[public mart_plan_fact].[plan_amount_to_date].[All]" allUniqueName="[public mart_plan_fact].[plan_amount_to_date].[All]" dimensionUniqueName="[public mart_plan_fact]" displayFolder="" count="0" memberValueDatatype="5" unbalanced="0"/>
    <cacheHierarchy uniqueName="[public mart_plan_fact].[plan_margin_target]" caption="plan_margin_target" attribute="1" defaultMemberUniqueName="[public mart_plan_fact].[plan_margin_target].[All]" allUniqueName="[public mart_plan_fact].[plan_margin_target].[All]" dimensionUniqueName="[public mart_plan_fact]" displayFolder="" count="0" memberValueDatatype="5" unbalanced="0"/>
    <cacheHierarchy uniqueName="[public mart_plan_fact].[fact_qty]" caption="fact_qty" attribute="1" defaultMemberUniqueName="[public mart_plan_fact].[fact_qty].[All]" allUniqueName="[public mart_plan_fact].[fact_qty].[All]" dimensionUniqueName="[public mart_plan_fact]" displayFolder="" count="0" memberValueDatatype="20" unbalanced="0"/>
    <cacheHierarchy uniqueName="[public mart_plan_fact].[fact_amount]" caption="fact_amount" attribute="1" defaultMemberUniqueName="[public mart_plan_fact].[fact_amount].[All]" allUniqueName="[public mart_plan_fact].[fact_amount].[All]" dimensionUniqueName="[public mart_plan_fact]" displayFolder="" count="0" memberValueDatatype="5" unbalanced="0"/>
    <cacheHierarchy uniqueName="[public mart_plan_fact].[pct_of_plan_to_date]" caption="pct_of_plan_to_date" attribute="1" defaultMemberUniqueName="[public mart_plan_fact].[pct_of_plan_to_date].[All]" allUniqueName="[public mart_plan_fact].[pct_of_plan_to_date].[All]" dimensionUniqueName="[public mart_plan_fact]" displayFolder="" count="0" memberValueDatatype="5" unbalanced="0"/>
    <cacheHierarchy uniqueName="[public mart_plan_fact].[delta_amount_to_date]" caption="delta_amount_to_date" attribute="1" defaultMemberUniqueName="[public mart_plan_fact].[delta_amount_to_date].[All]" allUniqueName="[public mart_plan_fact].[delta_amount_to_date].[All]" dimensionUniqueName="[public mart_plan_fact]" displayFolder="" count="0" memberValueDatatype="5" unbalanced="0"/>
    <cacheHierarchy uniqueName="[public mart_plan_fact].[report_date]" caption="report_date" attribute="1" time="1" defaultMemberUniqueName="[public mart_plan_fact].[report_date].[All]" allUniqueName="[public mart_plan_fact].[report_date].[All]" dimensionUniqueName="[public mart_plan_fact]" displayFolder="" count="0" memberValueDatatype="7" unbalanced="0"/>
    <cacheHierarchy uniqueName="[public mart_plan_fact_history].[genre]" caption="genre" attribute="1" defaultMemberUniqueName="[public mart_plan_fact_history].[genre].[All]" allUniqueName="[public mart_plan_fact_history].[genre].[All]" dimensionUniqueName="[public mart_plan_fact_history]" displayFolder="" count="0" memberValueDatatype="130" unbalanced="0"/>
    <cacheHierarchy uniqueName="[public mart_plan_fact_history].[format]" caption="format" attribute="1" defaultMemberUniqueName="[public mart_plan_fact_history].[format].[All]" allUniqueName="[public mart_plan_fact_history].[format].[All]" dimensionUniqueName="[public mart_plan_fact_history]" displayFolder="" count="0" memberValueDatatype="130" unbalanced="0"/>
    <cacheHierarchy uniqueName="[public mart_plan_fact_history].[year]" caption="year" attribute="1" defaultMemberUniqueName="[public mart_plan_fact_history].[year].[All]" allUniqueName="[public mart_plan_fact_history].[year].[All]" dimensionUniqueName="[public mart_plan_fact_history]" displayFolder="" count="0" memberValueDatatype="20" unbalanced="0"/>
    <cacheHierarchy uniqueName="[public mart_plan_fact_history].[month]" caption="month" attribute="1" defaultMemberUniqueName="[public mart_plan_fact_history].[month].[All]" allUniqueName="[public mart_plan_fact_history].[month].[All]" dimensionUniqueName="[public mart_plan_fact_history]" displayFolder="" count="0" memberValueDatatype="20" unbalanced="0"/>
    <cacheHierarchy uniqueName="[public mart_plan_fact_history].[plan_qty]" caption="plan_qty" attribute="1" defaultMemberUniqueName="[public mart_plan_fact_history].[plan_qty].[All]" allUniqueName="[public mart_plan_fact_history].[plan_qty].[All]" dimensionUniqueName="[public mart_plan_fact_history]" displayFolder="" count="0" memberValueDatatype="20" unbalanced="0"/>
    <cacheHierarchy uniqueName="[public mart_plan_fact_history].[plan_amount]" caption="plan_amount" attribute="1" defaultMemberUniqueName="[public mart_plan_fact_history].[plan_amount].[All]" allUniqueName="[public mart_plan_fact_history].[plan_amount].[All]" dimensionUniqueName="[public mart_plan_fact_history]" displayFolder="" count="0" memberValueDatatype="5" unbalanced="0"/>
    <cacheHierarchy uniqueName="[public mart_plan_fact_history].[plan_margin_target]" caption="plan_margin_target" attribute="1" defaultMemberUniqueName="[public mart_plan_fact_history].[plan_margin_target].[All]" allUniqueName="[public mart_plan_fact_history].[plan_margin_target].[All]" dimensionUniqueName="[public mart_plan_fact_history]" displayFolder="" count="0" memberValueDatatype="5" unbalanced="0"/>
    <cacheHierarchy uniqueName="[public mart_plan_fact_history].[fact_qty]" caption="fact_qty" attribute="1" defaultMemberUniqueName="[public mart_plan_fact_history].[fact_qty].[All]" allUniqueName="[public mart_plan_fact_history].[fact_qty].[All]" dimensionUniqueName="[public mart_plan_fact_history]" displayFolder="" count="0" memberValueDatatype="20" unbalanced="0"/>
    <cacheHierarchy uniqueName="[public mart_plan_fact_history].[fact_amount]" caption="fact_amount" attribute="1" defaultMemberUniqueName="[public mart_plan_fact_history].[fact_amount].[All]" allUniqueName="[public mart_plan_fact_history].[fact_amount].[All]" dimensionUniqueName="[public mart_plan_fact_history]" displayFolder="" count="0" memberValueDatatype="5" unbalanced="0"/>
    <cacheHierarchy uniqueName="[public mart_plan_fact_history].[pct_of_plan]" caption="pct_of_plan" attribute="1" defaultMemberUniqueName="[public mart_plan_fact_history].[pct_of_plan].[All]" allUniqueName="[public mart_plan_fact_history].[pct_of_plan].[All]" dimensionUniqueName="[public mart_plan_fact_history]" displayFolder="" count="0" memberValueDatatype="5" unbalanced="0"/>
    <cacheHierarchy uniqueName="[public mart_plan_fact_history].[delta_amount]" caption="delta_amount" attribute="1" defaultMemberUniqueName="[public mart_plan_fact_history].[delta_amount].[All]" allUniqueName="[public mart_plan_fact_history].[delta_amount].[All]" dimensionUniqueName="[public mart_plan_fact_history]" displayFolder="" count="0" memberValueDatatype="5" unbalanced="0"/>
    <cacheHierarchy uniqueName="[public mart_plan_fact_history].[month_status]" caption="month_status" attribute="1" defaultMemberUniqueName="[public mart_plan_fact_history].[month_status].[All]" allUniqueName="[public mart_plan_fact_history].[month_status].[All]" dimensionUniqueName="[public mart_plan_fact_history]" displayFolder="" count="0" memberValueDatatype="130" unbalanced="0"/>
    <cacheHierarchy uniqueName="[public mart_sales_trends].[year]" caption="year" attribute="1" defaultMemberUniqueName="[public mart_sales_trends].[year].[All]" allUniqueName="[public mart_sales_trends].[year].[All]" dimensionUniqueName="[public mart_sales_trends]" displayFolder="" count="0" memberValueDatatype="20" unbalanced="0"/>
    <cacheHierarchy uniqueName="[public mart_sales_trends].[month]" caption="month" attribute="1" defaultMemberUniqueName="[public mart_sales_trends].[month].[All]" allUniqueName="[public mart_sales_trends].[month].[All]" dimensionUniqueName="[public mart_sales_trends]" displayFolder="" count="0" memberValueDatatype="20" unbalanced="0"/>
    <cacheHierarchy uniqueName="[public mart_sales_trends].[quarter]" caption="quarter" attribute="1" defaultMemberUniqueName="[public mart_sales_trends].[quarter].[All]" allUniqueName="[public mart_sales_trends].[quarter].[All]" dimensionUniqueName="[public mart_sales_trends]" displayFolder="" count="0" memberValueDatatype="20" unbalanced="0"/>
    <cacheHierarchy uniqueName="[public mart_sales_trends].[month_start]" caption="month_start" attribute="1" time="1" defaultMemberUniqueName="[public mart_sales_trends].[month_start].[All]" allUniqueName="[public mart_sales_trends].[month_start].[All]" dimensionUniqueName="[public mart_sales_trends]" displayFolder="" count="0" memberValueDatatype="7" unbalanced="0"/>
    <cacheHierarchy uniqueName="[public mart_sales_trends].[genre]" caption="genre" attribute="1" defaultMemberUniqueName="[public mart_sales_trends].[genre].[All]" allUniqueName="[public mart_sales_trends].[genre].[All]" dimensionUniqueName="[public mart_sales_trends]" displayFolder="" count="0" memberValueDatatype="130" unbalanced="0"/>
    <cacheHierarchy uniqueName="[public mart_sales_trends].[format]" caption="format" attribute="1" defaultMemberUniqueName="[public mart_sales_trends].[format].[All]" allUniqueName="[public mart_sales_trends].[format].[All]" dimensionUniqueName="[public mart_sales_trends]" displayFolder="" count="0" memberValueDatatype="130" unbalanced="0"/>
    <cacheHierarchy uniqueName="[public mart_sales_trends].[language]" caption="language" attribute="1" defaultMemberUniqueName="[public mart_sales_trends].[language].[All]" allUniqueName="[public mart_sales_trends].[language].[All]" dimensionUniqueName="[public mart_sales_trends]" displayFolder="" count="0" memberValueDatatype="130" unbalanced="0"/>
    <cacheHierarchy uniqueName="[public mart_sales_trends].[orders]" caption="orders" attribute="1" defaultMemberUniqueName="[public mart_sales_trends].[orders].[All]" allUniqueName="[public mart_sales_trends].[orders].[All]" dimensionUniqueName="[public mart_sales_trends]" displayFolder="" count="0" memberValueDatatype="20" unbalanced="0"/>
    <cacheHierarchy uniqueName="[public mart_sales_trends].[gross_qty]" caption="gross_qty" attribute="1" defaultMemberUniqueName="[public mart_sales_trends].[gross_qty].[All]" allUniqueName="[public mart_sales_trends].[gross_qty].[All]" dimensionUniqueName="[public mart_sales_trends]" displayFolder="" count="0" memberValueDatatype="20" unbalanced="0"/>
    <cacheHierarchy uniqueName="[public mart_sales_trends].[return_qty]" caption="return_qty" attribute="1" defaultMemberUniqueName="[public mart_sales_trends].[return_qty].[All]" allUniqueName="[public mart_sales_trends].[return_qty].[All]" dimensionUniqueName="[public mart_sales_trends]" displayFolder="" count="0" memberValueDatatype="20" unbalanced="0"/>
    <cacheHierarchy uniqueName="[public mart_sales_trends].[net_qty]" caption="net_qty" attribute="1" defaultMemberUniqueName="[public mart_sales_trends].[net_qty].[All]" allUniqueName="[public mart_sales_trends].[net_qty].[All]" dimensionUniqueName="[public mart_sales_trends]" displayFolder="" count="0" memberValueDatatype="20" unbalanced="0"/>
    <cacheHierarchy uniqueName="[public mart_sales_trends].[gross_revenue]" caption="gross_revenue" attribute="1" defaultMemberUniqueName="[public mart_sales_trends].[gross_revenue].[All]" allUniqueName="[public mart_sales_trends].[gross_revenue].[All]" dimensionUniqueName="[public mart_sales_trends]" displayFolder="" count="0" memberValueDatatype="5" unbalanced="0"/>
    <cacheHierarchy uniqueName="[public mart_sales_trends].[return_revenue]" caption="return_revenue" attribute="1" defaultMemberUniqueName="[public mart_sales_trends].[return_revenue].[All]" allUniqueName="[public mart_sales_trends].[return_revenue].[All]" dimensionUniqueName="[public mart_sales_trends]" displayFolder="" count="0" memberValueDatatype="5" unbalanced="0"/>
    <cacheHierarchy uniqueName="[public mart_sales_trends].[net_revenue]" caption="net_revenue" attribute="1" defaultMemberUniqueName="[public mart_sales_trends].[net_revenue].[All]" allUniqueName="[public mart_sales_trends].[net_revenue].[All]" dimensionUniqueName="[public mart_sales_trends]" displayFolder="" count="0" memberValueDatatype="5" unbalanced="0"/>
    <cacheHierarchy uniqueName="[public mart_sales_trends].[total_cost]" caption="total_cost" attribute="1" defaultMemberUniqueName="[public mart_sales_trends].[total_cost].[All]" allUniqueName="[public mart_sales_trends].[total_cost].[All]" dimensionUniqueName="[public mart_sales_trends]" displayFolder="" count="0" memberValueDatatype="5" unbalanced="0"/>
    <cacheHierarchy uniqueName="[public mart_sales_trends].[gross_profit]" caption="gross_profit" attribute="1" defaultMemberUniqueName="[public mart_sales_trends].[gross_profit].[All]" allUniqueName="[public mart_sales_trends].[gross_profit].[All]" dimensionUniqueName="[public mart_sales_trends]" displayFolder="" count="0" memberValueDatatype="5" unbalanced="0"/>
    <cacheHierarchy uniqueName="[public mart_sales_trends].[gross_margin]" caption="gross_margin" attribute="1" defaultMemberUniqueName="[public mart_sales_trends].[gross_margin].[All]" allUniqueName="[public mart_sales_trends].[gross_margin].[All]" dimensionUniqueName="[public mart_sales_trends]" displayFolder="" count="0" memberValueDatatype="5" unbalanced="0"/>
    <cacheHierarchy uniqueName="[public mart_sales_trends].[promo_orders]" caption="promo_orders" attribute="1" defaultMemberUniqueName="[public mart_sales_trends].[promo_orders].[All]" allUniqueName="[public mart_sales_trends].[promo_orders].[All]" dimensionUniqueName="[public mart_sales_trends]" displayFolder="" count="0" memberValueDatatype="20" unbalanced="0"/>
    <cacheHierarchy uniqueName="[public mart_sales_trends].[promo_revenue]" caption="promo_revenue" attribute="1" defaultMemberUniqueName="[public mart_sales_trends].[promo_revenue].[All]" allUniqueName="[public mart_sales_trends].[promo_revenue].[All]" dimensionUniqueName="[public mart_sales_trends]" displayFolder="" count="0" memberValueDatatype="5" unbalanced="0"/>
    <cacheHierarchy uniqueName="[public mart_sales_trends].[lost_sales_qty]" caption="lost_sales_qty" attribute="1" defaultMemberUniqueName="[public mart_sales_trends].[lost_sales_qty].[All]" allUniqueName="[public mart_sales_trends].[lost_sales_qty].[All]" dimensionUniqueName="[public mart_sales_trends]" displayFolder="" count="0" memberValueDatatype="20" unbalanced="0"/>
    <cacheHierarchy uniqueName="[public mart_sales_trends].[avg_order_value]" caption="avg_order_value" attribute="1" defaultMemberUniqueName="[public mart_sales_trends].[avg_order_value].[All]" allUniqueName="[public mart_sales_trends].[avg_order_value].[All]" dimensionUniqueName="[public mart_sales_trends]" displayFolder="" count="0" memberValueDatatype="5" unbalanced="0"/>
    <cacheHierarchy uniqueName="[public mart_sales_trends].[month_start (Год)]" caption="month_start (Год)" attribute="1" defaultMemberUniqueName="[public mart_sales_trends].[month_start (Год)].[All]" allUniqueName="[public mart_sales_trends].[month_start (Год)].[All]" dimensionUniqueName="[public mart_sales_trends]" displayFolder="" count="2" memberValueDatatype="130" unbalanced="0">
      <fieldsUsage count="2">
        <fieldUsage x="-1"/>
        <fieldUsage x="2"/>
      </fieldsUsage>
    </cacheHierarchy>
    <cacheHierarchy uniqueName="[public mart_sales_trends].[month_start (Квартал)]" caption="month_start (Квартал)" attribute="1" defaultMemberUniqueName="[public mart_sales_trends].[month_start (Квартал)].[All]" allUniqueName="[public mart_sales_trends].[month_start (Квартал)].[All]" dimensionUniqueName="[public mart_sales_trends]" displayFolder="" count="2" memberValueDatatype="130" unbalanced="0">
      <fieldsUsage count="2">
        <fieldUsage x="-1"/>
        <fieldUsage x="1"/>
      </fieldsUsage>
    </cacheHierarchy>
    <cacheHierarchy uniqueName="[public mart_sales_trends].[month_start (Месяц)]" caption="month_start (Месяц)" attribute="1" defaultMemberUniqueName="[public mart_sales_trends].[month_start (Месяц)].[All]" allUniqueName="[public mart_sales_trends].[month_start (Месяц)].[All]" dimensionUniqueName="[public mart_sales_trends]" displayFolder="" count="2" memberValueDatatype="130" unbalanced="0">
      <fieldsUsage count="2">
        <fieldUsage x="-1"/>
        <fieldUsage x="0"/>
      </fieldsUsage>
    </cacheHierarchy>
    <cacheHierarchy uniqueName="[public mart_sales_trends].[month_start (Индекс месяца)]" caption="month_start (Индекс месяца)" attribute="1" defaultMemberUniqueName="[public mart_sales_trends].[month_start (Индекс месяца)].[All]" allUniqueName="[public mart_sales_trends].[month_start (Индекс месяца)].[All]" dimensionUniqueName="[public mart_sales_trends]" displayFolder="" count="0" memberValueDatatype="20" unbalanced="0" hidden="1"/>
    <cacheHierarchy uniqueName="[Measures].[__XL_Count public mart_plan_fact]" caption="__XL_Count public mart_plan_fact" measure="1" displayFolder="" measureGroup="public mart_plan_fact" count="0" hidden="1"/>
    <cacheHierarchy uniqueName="[Measures].[__XL_Count public mart_daily_breakdown]" caption="__XL_Count public mart_daily_breakdown" measure="1" displayFolder="" measureGroup="public mart_daily_breakdown" count="0" hidden="1"/>
    <cacheHierarchy uniqueName="[Measures].[__XL_Count public mart_sales_trends]" caption="__XL_Count public mart_sales_trends" measure="1" displayFolder="" measureGroup="public mart_sales_trends" count="0" hidden="1"/>
    <cacheHierarchy uniqueName="[Measures].[__XL_Count public mart_plan_fact_history]" caption="__XL_Count public mart_plan_fact_history" measure="1" displayFolder="" measureGroup="public mart_plan_fact_history" count="0" hidden="1"/>
    <cacheHierarchy uniqueName="[Measures].[__No measures defined]" caption="__No measures defined" measure="1" displayFolder="" count="0" hidden="1"/>
    <cacheHierarchy uniqueName="[Measures].[Сумма по столбцу fact_amount]" caption="Сумма по столбцу fact_amount" measure="1" displayFolder="" measureGroup="public mart_plan_fact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Сумма по столбцу plan_amount]" caption="Сумма по столбцу plan_amount" measure="1" displayFolder="" measureGroup="public mart_plan_fact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Сумма по столбцу gross_revenue]" caption="Сумма по столбцу gross_revenue" measure="1" displayFolder="" measureGroup="public mart_sales_trends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Сумма по столбцу return_revenue]" caption="Сумма по столбцу return_revenue" measure="1" displayFolder="" measureGroup="public mart_sales_trends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Сумма по столбцу net_revenue]" caption="Сумма по столбцу net_revenue" measure="1" displayFolder="" measureGroup="public mart_sales_trends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Сумма по столбцу gross_profit]" caption="Сумма по столбцу gross_profit" measure="1" displayFolder="" measureGroup="public mart_sales_trends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Сумма по столбцу gross_margin]" caption="Сумма по столбцу gross_margin" measure="1" displayFolder="" measureGroup="public mart_sales_trends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Сумма по столбцу orders]" caption="Сумма по столбцу orders" measure="1" displayFolder="" measureGroup="public mart_sales_trends" count="0" oneField="1" hidden="1">
      <fieldsUsage count="1">
        <fieldUsage x="7"/>
      </fieldsUsage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Среднее по столбцу gross_margin]" caption="Среднее по столбцу gross_margin" measure="1" displayFolder="" measureGroup="public mart_sales_trends" count="0" oneField="1" hidden="1">
      <fieldsUsage count="1">
        <fieldUsage x="8"/>
      </fieldsUsage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Сумма по столбцу fact_amount 2]" caption="Сумма по столбцу fact_amount 2" measure="1" displayFolder="" measureGroup="public mart_plan_fact_history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Сумма по столбцу plan_amount 2]" caption="Сумма по столбцу plan_amount 2" measure="1" displayFolder="" measureGroup="public mart_plan_fact_history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</cacheHierarchies>
  <kpis count="0"/>
  <dimensions count="5">
    <dimension measure="1" name="Measures" uniqueName="[Measures]" caption="Measures"/>
    <dimension name="public mart_daily_breakdown" uniqueName="[public mart_daily_breakdown]" caption="public mart_daily_breakdown"/>
    <dimension name="public mart_plan_fact" uniqueName="[public mart_plan_fact]" caption="public mart_plan_fact"/>
    <dimension name="public mart_plan_fact_history" uniqueName="[public mart_plan_fact_history]" caption="public mart_plan_fact_history"/>
    <dimension name="public mart_sales_trends" uniqueName="[public mart_sales_trends]" caption="public mart_sales_trends"/>
  </dimensions>
  <measureGroups count="4">
    <measureGroup name="public mart_daily_breakdown" caption="public mart_daily_breakdown"/>
    <measureGroup name="public mart_plan_fact" caption="public mart_plan_fact"/>
    <measureGroup name="public mart_plan_fact_history" caption="public mart_plan_fact_history"/>
    <measureGroup name="public mart_sales_trends" caption="public mart_sales_trends"/>
  </measureGroups>
  <maps count="4">
    <map measureGroup="0" dimension="1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hchinova" refreshedDate="46132.630326851853" backgroundQuery="1" createdVersion="8" refreshedVersion="8" minRefreshableVersion="3" recordCount="0" supportSubquery="1" supportAdvancedDrill="1" xr:uid="{00334BD0-8877-49B4-B414-7BAABFB9FAB8}">
  <cacheSource type="external" connectionId="1"/>
  <cacheFields count="3">
    <cacheField name="[Measures].[Сумма по столбцу fact_amount]" caption="Сумма по столбцу fact_amount" numFmtId="0" hierarchy="63" level="32767"/>
    <cacheField name="[Measures].[Сумма по столбцу plan_amount]" caption="Сумма по столбцу plan_amount" numFmtId="0" hierarchy="64" level="32767"/>
    <cacheField name="[public mart_plan_fact].[genre].[genre]" caption="genre" numFmtId="0" hierarchy="7" level="1">
      <sharedItems count="10">
        <s v="Biography"/>
        <s v="Business"/>
        <s v="Children"/>
        <s v="Fantasy"/>
        <s v="Fiction"/>
        <s v="History"/>
        <s v="Mystery"/>
        <s v="Poetry"/>
        <s v="Romance"/>
        <s v="Science"/>
      </sharedItems>
    </cacheField>
  </cacheFields>
  <cacheHierarchies count="74">
    <cacheHierarchy uniqueName="[public mart_daily_breakdown].[day_type]" caption="day_type" attribute="1" defaultMemberUniqueName="[public mart_daily_breakdown].[day_type].[All]" allUniqueName="[public mart_daily_breakdown].[day_type].[All]" dimensionUniqueName="[public mart_daily_breakdown]" displayFolder="" count="0" memberValueDatatype="130" unbalanced="0"/>
    <cacheHierarchy uniqueName="[public mart_daily_breakdown].[genre]" caption="genre" attribute="1" defaultMemberUniqueName="[public mart_daily_breakdown].[genre].[All]" allUniqueName="[public mart_daily_breakdown].[genre].[All]" dimensionUniqueName="[public mart_daily_breakdown]" displayFolder="" count="0" memberValueDatatype="130" unbalanced="0"/>
    <cacheHierarchy uniqueName="[public mart_daily_breakdown].[format]" caption="format" attribute="1" defaultMemberUniqueName="[public mart_daily_breakdown].[format].[All]" allUniqueName="[public mart_daily_breakdown].[format].[All]" dimensionUniqueName="[public mart_daily_breakdown]" displayFolder="" count="0" memberValueDatatype="130" unbalanced="0"/>
    <cacheHierarchy uniqueName="[public mart_daily_breakdown].[orders]" caption="orders" attribute="1" defaultMemberUniqueName="[public mart_daily_breakdown].[orders].[All]" allUniqueName="[public mart_daily_breakdown].[orders].[All]" dimensionUniqueName="[public mart_daily_breakdown]" displayFolder="" count="0" memberValueDatatype="20" unbalanced="0"/>
    <cacheHierarchy uniqueName="[public mart_daily_breakdown].[net_qty]" caption="net_qty" attribute="1" defaultMemberUniqueName="[public mart_daily_breakdown].[net_qty].[All]" allUniqueName="[public mart_daily_breakdown].[net_qty].[All]" dimensionUniqueName="[public mart_daily_breakdown]" displayFolder="" count="0" memberValueDatatype="20" unbalanced="0"/>
    <cacheHierarchy uniqueName="[public mart_daily_breakdown].[net_revenue]" caption="net_revenue" attribute="1" defaultMemberUniqueName="[public mart_daily_breakdown].[net_revenue].[All]" allUniqueName="[public mart_daily_breakdown].[net_revenue].[All]" dimensionUniqueName="[public mart_daily_breakdown]" displayFolder="" count="0" memberValueDatatype="5" unbalanced="0"/>
    <cacheHierarchy uniqueName="[public mart_daily_breakdown].[gross_profit]" caption="gross_profit" attribute="1" defaultMemberUniqueName="[public mart_daily_breakdown].[gross_profit].[All]" allUniqueName="[public mart_daily_breakdown].[gross_profit].[All]" dimensionUniqueName="[public mart_daily_breakdown]" displayFolder="" count="0" memberValueDatatype="5" unbalanced="0"/>
    <cacheHierarchy uniqueName="[public mart_plan_fact].[genre]" caption="genre" attribute="1" defaultMemberUniqueName="[public mart_plan_fact].[genre].[All]" allUniqueName="[public mart_plan_fact].[genre].[All]" dimensionUniqueName="[public mart_plan_fact]" displayFolder="" count="2" memberValueDatatype="130" unbalanced="0">
      <fieldsUsage count="2">
        <fieldUsage x="-1"/>
        <fieldUsage x="2"/>
      </fieldsUsage>
    </cacheHierarchy>
    <cacheHierarchy uniqueName="[public mart_plan_fact].[format]" caption="format" attribute="1" defaultMemberUniqueName="[public mart_plan_fact].[format].[All]" allUniqueName="[public mart_plan_fact].[format].[All]" dimensionUniqueName="[public mart_plan_fact]" displayFolder="" count="0" memberValueDatatype="130" unbalanced="0"/>
    <cacheHierarchy uniqueName="[public mart_plan_fact].[year]" caption="year" attribute="1" defaultMemberUniqueName="[public mart_plan_fact].[year].[All]" allUniqueName="[public mart_plan_fact].[year].[All]" dimensionUniqueName="[public mart_plan_fact]" displayFolder="" count="0" memberValueDatatype="20" unbalanced="0"/>
    <cacheHierarchy uniqueName="[public mart_plan_fact].[month]" caption="month" attribute="1" defaultMemberUniqueName="[public mart_plan_fact].[month].[All]" allUniqueName="[public mart_plan_fact].[month].[All]" dimensionUniqueName="[public mart_plan_fact]" displayFolder="" count="0" memberValueDatatype="20" unbalanced="0"/>
    <cacheHierarchy uniqueName="[public mart_plan_fact].[plan_qty]" caption="plan_qty" attribute="1" defaultMemberUniqueName="[public mart_plan_fact].[plan_qty].[All]" allUniqueName="[public mart_plan_fact].[plan_qty].[All]" dimensionUniqueName="[public mart_plan_fact]" displayFolder="" count="0" memberValueDatatype="20" unbalanced="0"/>
    <cacheHierarchy uniqueName="[public mart_plan_fact].[plan_amount]" caption="plan_amount" attribute="1" defaultMemberUniqueName="[public mart_plan_fact].[plan_amount].[All]" allUniqueName="[public mart_plan_fact].[plan_amount].[All]" dimensionUniqueName="[public mart_plan_fact]" displayFolder="" count="0" memberValueDatatype="5" unbalanced="0"/>
    <cacheHierarchy uniqueName="[public mart_plan_fact].[plan_qty_to_date]" caption="plan_qty_to_date" attribute="1" defaultMemberUniqueName="[public mart_plan_fact].[plan_qty_to_date].[All]" allUniqueName="[public mart_plan_fact].[plan_qty_to_date].[All]" dimensionUniqueName="[public mart_plan_fact]" displayFolder="" count="0" memberValueDatatype="5" unbalanced="0"/>
    <cacheHierarchy uniqueName="[public mart_plan_fact].[plan_amount_to_date]" caption="plan_amount_to_date" attribute="1" defaultMemberUniqueName="[public mart_plan_fact].[plan_amount_to_date].[All]" allUniqueName="[public mart_plan_fact].[plan_amount_to_date].[All]" dimensionUniqueName="[public mart_plan_fact]" displayFolder="" count="0" memberValueDatatype="5" unbalanced="0"/>
    <cacheHierarchy uniqueName="[public mart_plan_fact].[plan_margin_target]" caption="plan_margin_target" attribute="1" defaultMemberUniqueName="[public mart_plan_fact].[plan_margin_target].[All]" allUniqueName="[public mart_plan_fact].[plan_margin_target].[All]" dimensionUniqueName="[public mart_plan_fact]" displayFolder="" count="0" memberValueDatatype="5" unbalanced="0"/>
    <cacheHierarchy uniqueName="[public mart_plan_fact].[fact_qty]" caption="fact_qty" attribute="1" defaultMemberUniqueName="[public mart_plan_fact].[fact_qty].[All]" allUniqueName="[public mart_plan_fact].[fact_qty].[All]" dimensionUniqueName="[public mart_plan_fact]" displayFolder="" count="0" memberValueDatatype="20" unbalanced="0"/>
    <cacheHierarchy uniqueName="[public mart_plan_fact].[fact_amount]" caption="fact_amount" attribute="1" defaultMemberUniqueName="[public mart_plan_fact].[fact_amount].[All]" allUniqueName="[public mart_plan_fact].[fact_amount].[All]" dimensionUniqueName="[public mart_plan_fact]" displayFolder="" count="0" memberValueDatatype="5" unbalanced="0"/>
    <cacheHierarchy uniqueName="[public mart_plan_fact].[pct_of_plan_to_date]" caption="pct_of_plan_to_date" attribute="1" defaultMemberUniqueName="[public mart_plan_fact].[pct_of_plan_to_date].[All]" allUniqueName="[public mart_plan_fact].[pct_of_plan_to_date].[All]" dimensionUniqueName="[public mart_plan_fact]" displayFolder="" count="0" memberValueDatatype="5" unbalanced="0"/>
    <cacheHierarchy uniqueName="[public mart_plan_fact].[delta_amount_to_date]" caption="delta_amount_to_date" attribute="1" defaultMemberUniqueName="[public mart_plan_fact].[delta_amount_to_date].[All]" allUniqueName="[public mart_plan_fact].[delta_amount_to_date].[All]" dimensionUniqueName="[public mart_plan_fact]" displayFolder="" count="0" memberValueDatatype="5" unbalanced="0"/>
    <cacheHierarchy uniqueName="[public mart_plan_fact].[report_date]" caption="report_date" attribute="1" time="1" defaultMemberUniqueName="[public mart_plan_fact].[report_date].[All]" allUniqueName="[public mart_plan_fact].[report_date].[All]" dimensionUniqueName="[public mart_plan_fact]" displayFolder="" count="0" memberValueDatatype="7" unbalanced="0"/>
    <cacheHierarchy uniqueName="[public mart_plan_fact_history].[genre]" caption="genre" attribute="1" defaultMemberUniqueName="[public mart_plan_fact_history].[genre].[All]" allUniqueName="[public mart_plan_fact_history].[genre].[All]" dimensionUniqueName="[public mart_plan_fact_history]" displayFolder="" count="0" memberValueDatatype="130" unbalanced="0"/>
    <cacheHierarchy uniqueName="[public mart_plan_fact_history].[format]" caption="format" attribute="1" defaultMemberUniqueName="[public mart_plan_fact_history].[format].[All]" allUniqueName="[public mart_plan_fact_history].[format].[All]" dimensionUniqueName="[public mart_plan_fact_history]" displayFolder="" count="0" memberValueDatatype="130" unbalanced="0"/>
    <cacheHierarchy uniqueName="[public mart_plan_fact_history].[year]" caption="year" attribute="1" defaultMemberUniqueName="[public mart_plan_fact_history].[year].[All]" allUniqueName="[public mart_plan_fact_history].[year].[All]" dimensionUniqueName="[public mart_plan_fact_history]" displayFolder="" count="0" memberValueDatatype="20" unbalanced="0"/>
    <cacheHierarchy uniqueName="[public mart_plan_fact_history].[month]" caption="month" attribute="1" defaultMemberUniqueName="[public mart_plan_fact_history].[month].[All]" allUniqueName="[public mart_plan_fact_history].[month].[All]" dimensionUniqueName="[public mart_plan_fact_history]" displayFolder="" count="0" memberValueDatatype="20" unbalanced="0"/>
    <cacheHierarchy uniqueName="[public mart_plan_fact_history].[plan_qty]" caption="plan_qty" attribute="1" defaultMemberUniqueName="[public mart_plan_fact_history].[plan_qty].[All]" allUniqueName="[public mart_plan_fact_history].[plan_qty].[All]" dimensionUniqueName="[public mart_plan_fact_history]" displayFolder="" count="0" memberValueDatatype="20" unbalanced="0"/>
    <cacheHierarchy uniqueName="[public mart_plan_fact_history].[plan_amount]" caption="plan_amount" attribute="1" defaultMemberUniqueName="[public mart_plan_fact_history].[plan_amount].[All]" allUniqueName="[public mart_plan_fact_history].[plan_amount].[All]" dimensionUniqueName="[public mart_plan_fact_history]" displayFolder="" count="0" memberValueDatatype="5" unbalanced="0"/>
    <cacheHierarchy uniqueName="[public mart_plan_fact_history].[plan_margin_target]" caption="plan_margin_target" attribute="1" defaultMemberUniqueName="[public mart_plan_fact_history].[plan_margin_target].[All]" allUniqueName="[public mart_plan_fact_history].[plan_margin_target].[All]" dimensionUniqueName="[public mart_plan_fact_history]" displayFolder="" count="0" memberValueDatatype="5" unbalanced="0"/>
    <cacheHierarchy uniqueName="[public mart_plan_fact_history].[fact_qty]" caption="fact_qty" attribute="1" defaultMemberUniqueName="[public mart_plan_fact_history].[fact_qty].[All]" allUniqueName="[public mart_plan_fact_history].[fact_qty].[All]" dimensionUniqueName="[public mart_plan_fact_history]" displayFolder="" count="0" memberValueDatatype="20" unbalanced="0"/>
    <cacheHierarchy uniqueName="[public mart_plan_fact_history].[fact_amount]" caption="fact_amount" attribute="1" defaultMemberUniqueName="[public mart_plan_fact_history].[fact_amount].[All]" allUniqueName="[public mart_plan_fact_history].[fact_amount].[All]" dimensionUniqueName="[public mart_plan_fact_history]" displayFolder="" count="0" memberValueDatatype="5" unbalanced="0"/>
    <cacheHierarchy uniqueName="[public mart_plan_fact_history].[pct_of_plan]" caption="pct_of_plan" attribute="1" defaultMemberUniqueName="[public mart_plan_fact_history].[pct_of_plan].[All]" allUniqueName="[public mart_plan_fact_history].[pct_of_plan].[All]" dimensionUniqueName="[public mart_plan_fact_history]" displayFolder="" count="0" memberValueDatatype="5" unbalanced="0"/>
    <cacheHierarchy uniqueName="[public mart_plan_fact_history].[delta_amount]" caption="delta_amount" attribute="1" defaultMemberUniqueName="[public mart_plan_fact_history].[delta_amount].[All]" allUniqueName="[public mart_plan_fact_history].[delta_amount].[All]" dimensionUniqueName="[public mart_plan_fact_history]" displayFolder="" count="0" memberValueDatatype="5" unbalanced="0"/>
    <cacheHierarchy uniqueName="[public mart_plan_fact_history].[month_status]" caption="month_status" attribute="1" defaultMemberUniqueName="[public mart_plan_fact_history].[month_status].[All]" allUniqueName="[public mart_plan_fact_history].[month_status].[All]" dimensionUniqueName="[public mart_plan_fact_history]" displayFolder="" count="0" memberValueDatatype="130" unbalanced="0"/>
    <cacheHierarchy uniqueName="[public mart_sales_trends].[year]" caption="year" attribute="1" defaultMemberUniqueName="[public mart_sales_trends].[year].[All]" allUniqueName="[public mart_sales_trends].[year].[All]" dimensionUniqueName="[public mart_sales_trends]" displayFolder="" count="0" memberValueDatatype="20" unbalanced="0"/>
    <cacheHierarchy uniqueName="[public mart_sales_trends].[month]" caption="month" attribute="1" defaultMemberUniqueName="[public mart_sales_trends].[month].[All]" allUniqueName="[public mart_sales_trends].[month].[All]" dimensionUniqueName="[public mart_sales_trends]" displayFolder="" count="0" memberValueDatatype="20" unbalanced="0"/>
    <cacheHierarchy uniqueName="[public mart_sales_trends].[quarter]" caption="quarter" attribute="1" defaultMemberUniqueName="[public mart_sales_trends].[quarter].[All]" allUniqueName="[public mart_sales_trends].[quarter].[All]" dimensionUniqueName="[public mart_sales_trends]" displayFolder="" count="0" memberValueDatatype="20" unbalanced="0"/>
    <cacheHierarchy uniqueName="[public mart_sales_trends].[month_start]" caption="month_start" attribute="1" time="1" defaultMemberUniqueName="[public mart_sales_trends].[month_start].[All]" allUniqueName="[public mart_sales_trends].[month_start].[All]" dimensionUniqueName="[public mart_sales_trends]" displayFolder="" count="0" memberValueDatatype="7" unbalanced="0"/>
    <cacheHierarchy uniqueName="[public mart_sales_trends].[genre]" caption="genre" attribute="1" defaultMemberUniqueName="[public mart_sales_trends].[genre].[All]" allUniqueName="[public mart_sales_trends].[genre].[All]" dimensionUniqueName="[public mart_sales_trends]" displayFolder="" count="0" memberValueDatatype="130" unbalanced="0"/>
    <cacheHierarchy uniqueName="[public mart_sales_trends].[format]" caption="format" attribute="1" defaultMemberUniqueName="[public mart_sales_trends].[format].[All]" allUniqueName="[public mart_sales_trends].[format].[All]" dimensionUniqueName="[public mart_sales_trends]" displayFolder="" count="0" memberValueDatatype="130" unbalanced="0"/>
    <cacheHierarchy uniqueName="[public mart_sales_trends].[language]" caption="language" attribute="1" defaultMemberUniqueName="[public mart_sales_trends].[language].[All]" allUniqueName="[public mart_sales_trends].[language].[All]" dimensionUniqueName="[public mart_sales_trends]" displayFolder="" count="0" memberValueDatatype="130" unbalanced="0"/>
    <cacheHierarchy uniqueName="[public mart_sales_trends].[orders]" caption="orders" attribute="1" defaultMemberUniqueName="[public mart_sales_trends].[orders].[All]" allUniqueName="[public mart_sales_trends].[orders].[All]" dimensionUniqueName="[public mart_sales_trends]" displayFolder="" count="0" memberValueDatatype="20" unbalanced="0"/>
    <cacheHierarchy uniqueName="[public mart_sales_trends].[gross_qty]" caption="gross_qty" attribute="1" defaultMemberUniqueName="[public mart_sales_trends].[gross_qty].[All]" allUniqueName="[public mart_sales_trends].[gross_qty].[All]" dimensionUniqueName="[public mart_sales_trends]" displayFolder="" count="0" memberValueDatatype="20" unbalanced="0"/>
    <cacheHierarchy uniqueName="[public mart_sales_trends].[return_qty]" caption="return_qty" attribute="1" defaultMemberUniqueName="[public mart_sales_trends].[return_qty].[All]" allUniqueName="[public mart_sales_trends].[return_qty].[All]" dimensionUniqueName="[public mart_sales_trends]" displayFolder="" count="0" memberValueDatatype="20" unbalanced="0"/>
    <cacheHierarchy uniqueName="[public mart_sales_trends].[net_qty]" caption="net_qty" attribute="1" defaultMemberUniqueName="[public mart_sales_trends].[net_qty].[All]" allUniqueName="[public mart_sales_trends].[net_qty].[All]" dimensionUniqueName="[public mart_sales_trends]" displayFolder="" count="0" memberValueDatatype="20" unbalanced="0"/>
    <cacheHierarchy uniqueName="[public mart_sales_trends].[gross_revenue]" caption="gross_revenue" attribute="1" defaultMemberUniqueName="[public mart_sales_trends].[gross_revenue].[All]" allUniqueName="[public mart_sales_trends].[gross_revenue].[All]" dimensionUniqueName="[public mart_sales_trends]" displayFolder="" count="0" memberValueDatatype="5" unbalanced="0"/>
    <cacheHierarchy uniqueName="[public mart_sales_trends].[return_revenue]" caption="return_revenue" attribute="1" defaultMemberUniqueName="[public mart_sales_trends].[return_revenue].[All]" allUniqueName="[public mart_sales_trends].[return_revenue].[All]" dimensionUniqueName="[public mart_sales_trends]" displayFolder="" count="0" memberValueDatatype="5" unbalanced="0"/>
    <cacheHierarchy uniqueName="[public mart_sales_trends].[net_revenue]" caption="net_revenue" attribute="1" defaultMemberUniqueName="[public mart_sales_trends].[net_revenue].[All]" allUniqueName="[public mart_sales_trends].[net_revenue].[All]" dimensionUniqueName="[public mart_sales_trends]" displayFolder="" count="0" memberValueDatatype="5" unbalanced="0"/>
    <cacheHierarchy uniqueName="[public mart_sales_trends].[total_cost]" caption="total_cost" attribute="1" defaultMemberUniqueName="[public mart_sales_trends].[total_cost].[All]" allUniqueName="[public mart_sales_trends].[total_cost].[All]" dimensionUniqueName="[public mart_sales_trends]" displayFolder="" count="0" memberValueDatatype="5" unbalanced="0"/>
    <cacheHierarchy uniqueName="[public mart_sales_trends].[gross_profit]" caption="gross_profit" attribute="1" defaultMemberUniqueName="[public mart_sales_trends].[gross_profit].[All]" allUniqueName="[public mart_sales_trends].[gross_profit].[All]" dimensionUniqueName="[public mart_sales_trends]" displayFolder="" count="0" memberValueDatatype="5" unbalanced="0"/>
    <cacheHierarchy uniqueName="[public mart_sales_trends].[gross_margin]" caption="gross_margin" attribute="1" defaultMemberUniqueName="[public mart_sales_trends].[gross_margin].[All]" allUniqueName="[public mart_sales_trends].[gross_margin].[All]" dimensionUniqueName="[public mart_sales_trends]" displayFolder="" count="0" memberValueDatatype="5" unbalanced="0"/>
    <cacheHierarchy uniqueName="[public mart_sales_trends].[promo_orders]" caption="promo_orders" attribute="1" defaultMemberUniqueName="[public mart_sales_trends].[promo_orders].[All]" allUniqueName="[public mart_sales_trends].[promo_orders].[All]" dimensionUniqueName="[public mart_sales_trends]" displayFolder="" count="0" memberValueDatatype="20" unbalanced="0"/>
    <cacheHierarchy uniqueName="[public mart_sales_trends].[promo_revenue]" caption="promo_revenue" attribute="1" defaultMemberUniqueName="[public mart_sales_trends].[promo_revenue].[All]" allUniqueName="[public mart_sales_trends].[promo_revenue].[All]" dimensionUniqueName="[public mart_sales_trends]" displayFolder="" count="0" memberValueDatatype="5" unbalanced="0"/>
    <cacheHierarchy uniqueName="[public mart_sales_trends].[lost_sales_qty]" caption="lost_sales_qty" attribute="1" defaultMemberUniqueName="[public mart_sales_trends].[lost_sales_qty].[All]" allUniqueName="[public mart_sales_trends].[lost_sales_qty].[All]" dimensionUniqueName="[public mart_sales_trends]" displayFolder="" count="0" memberValueDatatype="20" unbalanced="0"/>
    <cacheHierarchy uniqueName="[public mart_sales_trends].[avg_order_value]" caption="avg_order_value" attribute="1" defaultMemberUniqueName="[public mart_sales_trends].[avg_order_value].[All]" allUniqueName="[public mart_sales_trends].[avg_order_value].[All]" dimensionUniqueName="[public mart_sales_trends]" displayFolder="" count="0" memberValueDatatype="5" unbalanced="0"/>
    <cacheHierarchy uniqueName="[public mart_sales_trends].[month_start (Год)]" caption="month_start (Год)" attribute="1" defaultMemberUniqueName="[public mart_sales_trends].[month_start (Год)].[All]" allUniqueName="[public mart_sales_trends].[month_start (Год)].[All]" dimensionUniqueName="[public mart_sales_trends]" displayFolder="" count="0" memberValueDatatype="130" unbalanced="0"/>
    <cacheHierarchy uniqueName="[public mart_sales_trends].[month_start (Квартал)]" caption="month_start (Квартал)" attribute="1" defaultMemberUniqueName="[public mart_sales_trends].[month_start (Квартал)].[All]" allUniqueName="[public mart_sales_trends].[month_start (Квартал)].[All]" dimensionUniqueName="[public mart_sales_trends]" displayFolder="" count="0" memberValueDatatype="130" unbalanced="0"/>
    <cacheHierarchy uniqueName="[public mart_sales_trends].[month_start (Месяц)]" caption="month_start (Месяц)" attribute="1" defaultMemberUniqueName="[public mart_sales_trends].[month_start (Месяц)].[All]" allUniqueName="[public mart_sales_trends].[month_start (Месяц)].[All]" dimensionUniqueName="[public mart_sales_trends]" displayFolder="" count="0" memberValueDatatype="130" unbalanced="0"/>
    <cacheHierarchy uniqueName="[public mart_sales_trends].[month_start (Индекс месяца)]" caption="month_start (Индекс месяца)" attribute="1" defaultMemberUniqueName="[public mart_sales_trends].[month_start (Индекс месяца)].[All]" allUniqueName="[public mart_sales_trends].[month_start (Индекс месяца)].[All]" dimensionUniqueName="[public mart_sales_trends]" displayFolder="" count="0" memberValueDatatype="20" unbalanced="0" hidden="1"/>
    <cacheHierarchy uniqueName="[Measures].[__XL_Count public mart_plan_fact]" caption="__XL_Count public mart_plan_fact" measure="1" displayFolder="" measureGroup="public mart_plan_fact" count="0" hidden="1"/>
    <cacheHierarchy uniqueName="[Measures].[__XL_Count public mart_daily_breakdown]" caption="__XL_Count public mart_daily_breakdown" measure="1" displayFolder="" measureGroup="public mart_daily_breakdown" count="0" hidden="1"/>
    <cacheHierarchy uniqueName="[Measures].[__XL_Count public mart_sales_trends]" caption="__XL_Count public mart_sales_trends" measure="1" displayFolder="" measureGroup="public mart_sales_trends" count="0" hidden="1"/>
    <cacheHierarchy uniqueName="[Measures].[__XL_Count public mart_plan_fact_history]" caption="__XL_Count public mart_plan_fact_history" measure="1" displayFolder="" measureGroup="public mart_plan_fact_history" count="0" hidden="1"/>
    <cacheHierarchy uniqueName="[Measures].[__No measures defined]" caption="__No measures defined" measure="1" displayFolder="" count="0" hidden="1"/>
    <cacheHierarchy uniqueName="[Measures].[Сумма по столбцу fact_amount]" caption="Сумма по столбцу fact_amount" measure="1" displayFolder="" measureGroup="public mart_plan_fact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Сумма по столбцу plan_amount]" caption="Сумма по столбцу plan_amount" measure="1" displayFolder="" measureGroup="public mart_plan_fact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Сумма по столбцу gross_revenue]" caption="Сумма по столбцу gross_revenue" measure="1" displayFolder="" measureGroup="public mart_sales_trend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Сумма по столбцу return_revenue]" caption="Сумма по столбцу return_revenue" measure="1" displayFolder="" measureGroup="public mart_sales_trends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Сумма по столбцу net_revenue]" caption="Сумма по столбцу net_revenue" measure="1" displayFolder="" measureGroup="public mart_sales_trends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Сумма по столбцу gross_profit]" caption="Сумма по столбцу gross_profit" measure="1" displayFolder="" measureGroup="public mart_sales_trends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Сумма по столбцу gross_margin]" caption="Сумма по столбцу gross_margin" measure="1" displayFolder="" measureGroup="public mart_sales_trends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Сумма по столбцу orders]" caption="Сумма по столбцу orders" measure="1" displayFolder="" measureGroup="public mart_sales_trend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Среднее по столбцу gross_margin]" caption="Среднее по столбцу gross_margin" measure="1" displayFolder="" measureGroup="public mart_sales_trends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Сумма по столбцу fact_amount 2]" caption="Сумма по столбцу fact_amount 2" measure="1" displayFolder="" measureGroup="public mart_plan_fact_history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Сумма по столбцу plan_amount 2]" caption="Сумма по столбцу plan_amount 2" measure="1" displayFolder="" measureGroup="public mart_plan_fact_history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</cacheHierarchies>
  <kpis count="0"/>
  <dimensions count="5">
    <dimension measure="1" name="Measures" uniqueName="[Measures]" caption="Measures"/>
    <dimension name="public mart_daily_breakdown" uniqueName="[public mart_daily_breakdown]" caption="public mart_daily_breakdown"/>
    <dimension name="public mart_plan_fact" uniqueName="[public mart_plan_fact]" caption="public mart_plan_fact"/>
    <dimension name="public mart_plan_fact_history" uniqueName="[public mart_plan_fact_history]" caption="public mart_plan_fact_history"/>
    <dimension name="public mart_sales_trends" uniqueName="[public mart_sales_trends]" caption="public mart_sales_trends"/>
  </dimensions>
  <measureGroups count="4">
    <measureGroup name="public mart_daily_breakdown" caption="public mart_daily_breakdown"/>
    <measureGroup name="public mart_plan_fact" caption="public mart_plan_fact"/>
    <measureGroup name="public mart_plan_fact_history" caption="public mart_plan_fact_history"/>
    <measureGroup name="public mart_sales_trends" caption="public mart_sales_trends"/>
  </measureGroups>
  <maps count="4">
    <map measureGroup="0" dimension="1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hchinova" refreshedDate="46132.630328009262" backgroundQuery="1" createdVersion="8" refreshedVersion="8" minRefreshableVersion="3" recordCount="0" supportSubquery="1" supportAdvancedDrill="1" xr:uid="{922C9F3A-6490-4B9E-99E6-C109B6F4E2F7}">
  <cacheSource type="external" connectionId="1"/>
  <cacheFields count="3">
    <cacheField name="[Measures].[Сумма по столбцу fact_amount]" caption="Сумма по столбцу fact_amount" numFmtId="0" hierarchy="63" level="32767"/>
    <cacheField name="[Measures].[Сумма по столбцу plan_amount]" caption="Сумма по столбцу plan_amount" numFmtId="0" hierarchy="64" level="32767"/>
    <cacheField name="[public mart_plan_fact].[format].[format]" caption="format" numFmtId="0" hierarchy="8" level="1">
      <sharedItems count="4">
        <s v="Audiobook"/>
        <s v="eBook"/>
        <s v="Hardcover"/>
        <s v="Paperback"/>
      </sharedItems>
    </cacheField>
  </cacheFields>
  <cacheHierarchies count="74">
    <cacheHierarchy uniqueName="[public mart_daily_breakdown].[day_type]" caption="day_type" attribute="1" defaultMemberUniqueName="[public mart_daily_breakdown].[day_type].[All]" allUniqueName="[public mart_daily_breakdown].[day_type].[All]" dimensionUniqueName="[public mart_daily_breakdown]" displayFolder="" count="0" memberValueDatatype="130" unbalanced="0"/>
    <cacheHierarchy uniqueName="[public mart_daily_breakdown].[genre]" caption="genre" attribute="1" defaultMemberUniqueName="[public mart_daily_breakdown].[genre].[All]" allUniqueName="[public mart_daily_breakdown].[genre].[All]" dimensionUniqueName="[public mart_daily_breakdown]" displayFolder="" count="0" memberValueDatatype="130" unbalanced="0"/>
    <cacheHierarchy uniqueName="[public mart_daily_breakdown].[format]" caption="format" attribute="1" defaultMemberUniqueName="[public mart_daily_breakdown].[format].[All]" allUniqueName="[public mart_daily_breakdown].[format].[All]" dimensionUniqueName="[public mart_daily_breakdown]" displayFolder="" count="0" memberValueDatatype="130" unbalanced="0"/>
    <cacheHierarchy uniqueName="[public mart_daily_breakdown].[orders]" caption="orders" attribute="1" defaultMemberUniqueName="[public mart_daily_breakdown].[orders].[All]" allUniqueName="[public mart_daily_breakdown].[orders].[All]" dimensionUniqueName="[public mart_daily_breakdown]" displayFolder="" count="0" memberValueDatatype="20" unbalanced="0"/>
    <cacheHierarchy uniqueName="[public mart_daily_breakdown].[net_qty]" caption="net_qty" attribute="1" defaultMemberUniqueName="[public mart_daily_breakdown].[net_qty].[All]" allUniqueName="[public mart_daily_breakdown].[net_qty].[All]" dimensionUniqueName="[public mart_daily_breakdown]" displayFolder="" count="0" memberValueDatatype="20" unbalanced="0"/>
    <cacheHierarchy uniqueName="[public mart_daily_breakdown].[net_revenue]" caption="net_revenue" attribute="1" defaultMemberUniqueName="[public mart_daily_breakdown].[net_revenue].[All]" allUniqueName="[public mart_daily_breakdown].[net_revenue].[All]" dimensionUniqueName="[public mart_daily_breakdown]" displayFolder="" count="0" memberValueDatatype="5" unbalanced="0"/>
    <cacheHierarchy uniqueName="[public mart_daily_breakdown].[gross_profit]" caption="gross_profit" attribute="1" defaultMemberUniqueName="[public mart_daily_breakdown].[gross_profit].[All]" allUniqueName="[public mart_daily_breakdown].[gross_profit].[All]" dimensionUniqueName="[public mart_daily_breakdown]" displayFolder="" count="0" memberValueDatatype="5" unbalanced="0"/>
    <cacheHierarchy uniqueName="[public mart_plan_fact].[genre]" caption="genre" attribute="1" defaultMemberUniqueName="[public mart_plan_fact].[genre].[All]" allUniqueName="[public mart_plan_fact].[genre].[All]" dimensionUniqueName="[public mart_plan_fact]" displayFolder="" count="0" memberValueDatatype="130" unbalanced="0"/>
    <cacheHierarchy uniqueName="[public mart_plan_fact].[format]" caption="format" attribute="1" defaultMemberUniqueName="[public mart_plan_fact].[format].[All]" allUniqueName="[public mart_plan_fact].[format].[All]" dimensionUniqueName="[public mart_plan_fact]" displayFolder="" count="2" memberValueDatatype="130" unbalanced="0">
      <fieldsUsage count="2">
        <fieldUsage x="-1"/>
        <fieldUsage x="2"/>
      </fieldsUsage>
    </cacheHierarchy>
    <cacheHierarchy uniqueName="[public mart_plan_fact].[year]" caption="year" attribute="1" defaultMemberUniqueName="[public mart_plan_fact].[year].[All]" allUniqueName="[public mart_plan_fact].[year].[All]" dimensionUniqueName="[public mart_plan_fact]" displayFolder="" count="0" memberValueDatatype="20" unbalanced="0"/>
    <cacheHierarchy uniqueName="[public mart_plan_fact].[month]" caption="month" attribute="1" defaultMemberUniqueName="[public mart_plan_fact].[month].[All]" allUniqueName="[public mart_plan_fact].[month].[All]" dimensionUniqueName="[public mart_plan_fact]" displayFolder="" count="0" memberValueDatatype="20" unbalanced="0"/>
    <cacheHierarchy uniqueName="[public mart_plan_fact].[plan_qty]" caption="plan_qty" attribute="1" defaultMemberUniqueName="[public mart_plan_fact].[plan_qty].[All]" allUniqueName="[public mart_plan_fact].[plan_qty].[All]" dimensionUniqueName="[public mart_plan_fact]" displayFolder="" count="0" memberValueDatatype="20" unbalanced="0"/>
    <cacheHierarchy uniqueName="[public mart_plan_fact].[plan_amount]" caption="plan_amount" attribute="1" defaultMemberUniqueName="[public mart_plan_fact].[plan_amount].[All]" allUniqueName="[public mart_plan_fact].[plan_amount].[All]" dimensionUniqueName="[public mart_plan_fact]" displayFolder="" count="0" memberValueDatatype="5" unbalanced="0"/>
    <cacheHierarchy uniqueName="[public mart_plan_fact].[plan_qty_to_date]" caption="plan_qty_to_date" attribute="1" defaultMemberUniqueName="[public mart_plan_fact].[plan_qty_to_date].[All]" allUniqueName="[public mart_plan_fact].[plan_qty_to_date].[All]" dimensionUniqueName="[public mart_plan_fact]" displayFolder="" count="0" memberValueDatatype="5" unbalanced="0"/>
    <cacheHierarchy uniqueName="[public mart_plan_fact].[plan_amount_to_date]" caption="plan_amount_to_date" attribute="1" defaultMemberUniqueName="[public mart_plan_fact].[plan_amount_to_date].[All]" allUniqueName="[public mart_plan_fact].[plan_amount_to_date].[All]" dimensionUniqueName="[public mart_plan_fact]" displayFolder="" count="0" memberValueDatatype="5" unbalanced="0"/>
    <cacheHierarchy uniqueName="[public mart_plan_fact].[plan_margin_target]" caption="plan_margin_target" attribute="1" defaultMemberUniqueName="[public mart_plan_fact].[plan_margin_target].[All]" allUniqueName="[public mart_plan_fact].[plan_margin_target].[All]" dimensionUniqueName="[public mart_plan_fact]" displayFolder="" count="0" memberValueDatatype="5" unbalanced="0"/>
    <cacheHierarchy uniqueName="[public mart_plan_fact].[fact_qty]" caption="fact_qty" attribute="1" defaultMemberUniqueName="[public mart_plan_fact].[fact_qty].[All]" allUniqueName="[public mart_plan_fact].[fact_qty].[All]" dimensionUniqueName="[public mart_plan_fact]" displayFolder="" count="0" memberValueDatatype="20" unbalanced="0"/>
    <cacheHierarchy uniqueName="[public mart_plan_fact].[fact_amount]" caption="fact_amount" attribute="1" defaultMemberUniqueName="[public mart_plan_fact].[fact_amount].[All]" allUniqueName="[public mart_plan_fact].[fact_amount].[All]" dimensionUniqueName="[public mart_plan_fact]" displayFolder="" count="0" memberValueDatatype="5" unbalanced="0"/>
    <cacheHierarchy uniqueName="[public mart_plan_fact].[pct_of_plan_to_date]" caption="pct_of_plan_to_date" attribute="1" defaultMemberUniqueName="[public mart_plan_fact].[pct_of_plan_to_date].[All]" allUniqueName="[public mart_plan_fact].[pct_of_plan_to_date].[All]" dimensionUniqueName="[public mart_plan_fact]" displayFolder="" count="0" memberValueDatatype="5" unbalanced="0"/>
    <cacheHierarchy uniqueName="[public mart_plan_fact].[delta_amount_to_date]" caption="delta_amount_to_date" attribute="1" defaultMemberUniqueName="[public mart_plan_fact].[delta_amount_to_date].[All]" allUniqueName="[public mart_plan_fact].[delta_amount_to_date].[All]" dimensionUniqueName="[public mart_plan_fact]" displayFolder="" count="0" memberValueDatatype="5" unbalanced="0"/>
    <cacheHierarchy uniqueName="[public mart_plan_fact].[report_date]" caption="report_date" attribute="1" time="1" defaultMemberUniqueName="[public mart_plan_fact].[report_date].[All]" allUniqueName="[public mart_plan_fact].[report_date].[All]" dimensionUniqueName="[public mart_plan_fact]" displayFolder="" count="0" memberValueDatatype="7" unbalanced="0"/>
    <cacheHierarchy uniqueName="[public mart_plan_fact_history].[genre]" caption="genre" attribute="1" defaultMemberUniqueName="[public mart_plan_fact_history].[genre].[All]" allUniqueName="[public mart_plan_fact_history].[genre].[All]" dimensionUniqueName="[public mart_plan_fact_history]" displayFolder="" count="0" memberValueDatatype="130" unbalanced="0"/>
    <cacheHierarchy uniqueName="[public mart_plan_fact_history].[format]" caption="format" attribute="1" defaultMemberUniqueName="[public mart_plan_fact_history].[format].[All]" allUniqueName="[public mart_plan_fact_history].[format].[All]" dimensionUniqueName="[public mart_plan_fact_history]" displayFolder="" count="0" memberValueDatatype="130" unbalanced="0"/>
    <cacheHierarchy uniqueName="[public mart_plan_fact_history].[year]" caption="year" attribute="1" defaultMemberUniqueName="[public mart_plan_fact_history].[year].[All]" allUniqueName="[public mart_plan_fact_history].[year].[All]" dimensionUniqueName="[public mart_plan_fact_history]" displayFolder="" count="0" memberValueDatatype="20" unbalanced="0"/>
    <cacheHierarchy uniqueName="[public mart_plan_fact_history].[month]" caption="month" attribute="1" defaultMemberUniqueName="[public mart_plan_fact_history].[month].[All]" allUniqueName="[public mart_plan_fact_history].[month].[All]" dimensionUniqueName="[public mart_plan_fact_history]" displayFolder="" count="0" memberValueDatatype="20" unbalanced="0"/>
    <cacheHierarchy uniqueName="[public mart_plan_fact_history].[plan_qty]" caption="plan_qty" attribute="1" defaultMemberUniqueName="[public mart_plan_fact_history].[plan_qty].[All]" allUniqueName="[public mart_plan_fact_history].[plan_qty].[All]" dimensionUniqueName="[public mart_plan_fact_history]" displayFolder="" count="0" memberValueDatatype="20" unbalanced="0"/>
    <cacheHierarchy uniqueName="[public mart_plan_fact_history].[plan_amount]" caption="plan_amount" attribute="1" defaultMemberUniqueName="[public mart_plan_fact_history].[plan_amount].[All]" allUniqueName="[public mart_plan_fact_history].[plan_amount].[All]" dimensionUniqueName="[public mart_plan_fact_history]" displayFolder="" count="0" memberValueDatatype="5" unbalanced="0"/>
    <cacheHierarchy uniqueName="[public mart_plan_fact_history].[plan_margin_target]" caption="plan_margin_target" attribute="1" defaultMemberUniqueName="[public mart_plan_fact_history].[plan_margin_target].[All]" allUniqueName="[public mart_plan_fact_history].[plan_margin_target].[All]" dimensionUniqueName="[public mart_plan_fact_history]" displayFolder="" count="0" memberValueDatatype="5" unbalanced="0"/>
    <cacheHierarchy uniqueName="[public mart_plan_fact_history].[fact_qty]" caption="fact_qty" attribute="1" defaultMemberUniqueName="[public mart_plan_fact_history].[fact_qty].[All]" allUniqueName="[public mart_plan_fact_history].[fact_qty].[All]" dimensionUniqueName="[public mart_plan_fact_history]" displayFolder="" count="0" memberValueDatatype="20" unbalanced="0"/>
    <cacheHierarchy uniqueName="[public mart_plan_fact_history].[fact_amount]" caption="fact_amount" attribute="1" defaultMemberUniqueName="[public mart_plan_fact_history].[fact_amount].[All]" allUniqueName="[public mart_plan_fact_history].[fact_amount].[All]" dimensionUniqueName="[public mart_plan_fact_history]" displayFolder="" count="0" memberValueDatatype="5" unbalanced="0"/>
    <cacheHierarchy uniqueName="[public mart_plan_fact_history].[pct_of_plan]" caption="pct_of_plan" attribute="1" defaultMemberUniqueName="[public mart_plan_fact_history].[pct_of_plan].[All]" allUniqueName="[public mart_plan_fact_history].[pct_of_plan].[All]" dimensionUniqueName="[public mart_plan_fact_history]" displayFolder="" count="0" memberValueDatatype="5" unbalanced="0"/>
    <cacheHierarchy uniqueName="[public mart_plan_fact_history].[delta_amount]" caption="delta_amount" attribute="1" defaultMemberUniqueName="[public mart_plan_fact_history].[delta_amount].[All]" allUniqueName="[public mart_plan_fact_history].[delta_amount].[All]" dimensionUniqueName="[public mart_plan_fact_history]" displayFolder="" count="0" memberValueDatatype="5" unbalanced="0"/>
    <cacheHierarchy uniqueName="[public mart_plan_fact_history].[month_status]" caption="month_status" attribute="1" defaultMemberUniqueName="[public mart_plan_fact_history].[month_status].[All]" allUniqueName="[public mart_plan_fact_history].[month_status].[All]" dimensionUniqueName="[public mart_plan_fact_history]" displayFolder="" count="0" memberValueDatatype="130" unbalanced="0"/>
    <cacheHierarchy uniqueName="[public mart_sales_trends].[year]" caption="year" attribute="1" defaultMemberUniqueName="[public mart_sales_trends].[year].[All]" allUniqueName="[public mart_sales_trends].[year].[All]" dimensionUniqueName="[public mart_sales_trends]" displayFolder="" count="0" memberValueDatatype="20" unbalanced="0"/>
    <cacheHierarchy uniqueName="[public mart_sales_trends].[month]" caption="month" attribute="1" defaultMemberUniqueName="[public mart_sales_trends].[month].[All]" allUniqueName="[public mart_sales_trends].[month].[All]" dimensionUniqueName="[public mart_sales_trends]" displayFolder="" count="0" memberValueDatatype="20" unbalanced="0"/>
    <cacheHierarchy uniqueName="[public mart_sales_trends].[quarter]" caption="quarter" attribute="1" defaultMemberUniqueName="[public mart_sales_trends].[quarter].[All]" allUniqueName="[public mart_sales_trends].[quarter].[All]" dimensionUniqueName="[public mart_sales_trends]" displayFolder="" count="0" memberValueDatatype="20" unbalanced="0"/>
    <cacheHierarchy uniqueName="[public mart_sales_trends].[month_start]" caption="month_start" attribute="1" time="1" defaultMemberUniqueName="[public mart_sales_trends].[month_start].[All]" allUniqueName="[public mart_sales_trends].[month_start].[All]" dimensionUniqueName="[public mart_sales_trends]" displayFolder="" count="0" memberValueDatatype="7" unbalanced="0"/>
    <cacheHierarchy uniqueName="[public mart_sales_trends].[genre]" caption="genre" attribute="1" defaultMemberUniqueName="[public mart_sales_trends].[genre].[All]" allUniqueName="[public mart_sales_trends].[genre].[All]" dimensionUniqueName="[public mart_sales_trends]" displayFolder="" count="0" memberValueDatatype="130" unbalanced="0"/>
    <cacheHierarchy uniqueName="[public mart_sales_trends].[format]" caption="format" attribute="1" defaultMemberUniqueName="[public mart_sales_trends].[format].[All]" allUniqueName="[public mart_sales_trends].[format].[All]" dimensionUniqueName="[public mart_sales_trends]" displayFolder="" count="0" memberValueDatatype="130" unbalanced="0"/>
    <cacheHierarchy uniqueName="[public mart_sales_trends].[language]" caption="language" attribute="1" defaultMemberUniqueName="[public mart_sales_trends].[language].[All]" allUniqueName="[public mart_sales_trends].[language].[All]" dimensionUniqueName="[public mart_sales_trends]" displayFolder="" count="0" memberValueDatatype="130" unbalanced="0"/>
    <cacheHierarchy uniqueName="[public mart_sales_trends].[orders]" caption="orders" attribute="1" defaultMemberUniqueName="[public mart_sales_trends].[orders].[All]" allUniqueName="[public mart_sales_trends].[orders].[All]" dimensionUniqueName="[public mart_sales_trends]" displayFolder="" count="0" memberValueDatatype="20" unbalanced="0"/>
    <cacheHierarchy uniqueName="[public mart_sales_trends].[gross_qty]" caption="gross_qty" attribute="1" defaultMemberUniqueName="[public mart_sales_trends].[gross_qty].[All]" allUniqueName="[public mart_sales_trends].[gross_qty].[All]" dimensionUniqueName="[public mart_sales_trends]" displayFolder="" count="0" memberValueDatatype="20" unbalanced="0"/>
    <cacheHierarchy uniqueName="[public mart_sales_trends].[return_qty]" caption="return_qty" attribute="1" defaultMemberUniqueName="[public mart_sales_trends].[return_qty].[All]" allUniqueName="[public mart_sales_trends].[return_qty].[All]" dimensionUniqueName="[public mart_sales_trends]" displayFolder="" count="0" memberValueDatatype="20" unbalanced="0"/>
    <cacheHierarchy uniqueName="[public mart_sales_trends].[net_qty]" caption="net_qty" attribute="1" defaultMemberUniqueName="[public mart_sales_trends].[net_qty].[All]" allUniqueName="[public mart_sales_trends].[net_qty].[All]" dimensionUniqueName="[public mart_sales_trends]" displayFolder="" count="0" memberValueDatatype="20" unbalanced="0"/>
    <cacheHierarchy uniqueName="[public mart_sales_trends].[gross_revenue]" caption="gross_revenue" attribute="1" defaultMemberUniqueName="[public mart_sales_trends].[gross_revenue].[All]" allUniqueName="[public mart_sales_trends].[gross_revenue].[All]" dimensionUniqueName="[public mart_sales_trends]" displayFolder="" count="0" memberValueDatatype="5" unbalanced="0"/>
    <cacheHierarchy uniqueName="[public mart_sales_trends].[return_revenue]" caption="return_revenue" attribute="1" defaultMemberUniqueName="[public mart_sales_trends].[return_revenue].[All]" allUniqueName="[public mart_sales_trends].[return_revenue].[All]" dimensionUniqueName="[public mart_sales_trends]" displayFolder="" count="0" memberValueDatatype="5" unbalanced="0"/>
    <cacheHierarchy uniqueName="[public mart_sales_trends].[net_revenue]" caption="net_revenue" attribute="1" defaultMemberUniqueName="[public mart_sales_trends].[net_revenue].[All]" allUniqueName="[public mart_sales_trends].[net_revenue].[All]" dimensionUniqueName="[public mart_sales_trends]" displayFolder="" count="0" memberValueDatatype="5" unbalanced="0"/>
    <cacheHierarchy uniqueName="[public mart_sales_trends].[total_cost]" caption="total_cost" attribute="1" defaultMemberUniqueName="[public mart_sales_trends].[total_cost].[All]" allUniqueName="[public mart_sales_trends].[total_cost].[All]" dimensionUniqueName="[public mart_sales_trends]" displayFolder="" count="0" memberValueDatatype="5" unbalanced="0"/>
    <cacheHierarchy uniqueName="[public mart_sales_trends].[gross_profit]" caption="gross_profit" attribute="1" defaultMemberUniqueName="[public mart_sales_trends].[gross_profit].[All]" allUniqueName="[public mart_sales_trends].[gross_profit].[All]" dimensionUniqueName="[public mart_sales_trends]" displayFolder="" count="0" memberValueDatatype="5" unbalanced="0"/>
    <cacheHierarchy uniqueName="[public mart_sales_trends].[gross_margin]" caption="gross_margin" attribute="1" defaultMemberUniqueName="[public mart_sales_trends].[gross_margin].[All]" allUniqueName="[public mart_sales_trends].[gross_margin].[All]" dimensionUniqueName="[public mart_sales_trends]" displayFolder="" count="0" memberValueDatatype="5" unbalanced="0"/>
    <cacheHierarchy uniqueName="[public mart_sales_trends].[promo_orders]" caption="promo_orders" attribute="1" defaultMemberUniqueName="[public mart_sales_trends].[promo_orders].[All]" allUniqueName="[public mart_sales_trends].[promo_orders].[All]" dimensionUniqueName="[public mart_sales_trends]" displayFolder="" count="0" memberValueDatatype="20" unbalanced="0"/>
    <cacheHierarchy uniqueName="[public mart_sales_trends].[promo_revenue]" caption="promo_revenue" attribute="1" defaultMemberUniqueName="[public mart_sales_trends].[promo_revenue].[All]" allUniqueName="[public mart_sales_trends].[promo_revenue].[All]" dimensionUniqueName="[public mart_sales_trends]" displayFolder="" count="0" memberValueDatatype="5" unbalanced="0"/>
    <cacheHierarchy uniqueName="[public mart_sales_trends].[lost_sales_qty]" caption="lost_sales_qty" attribute="1" defaultMemberUniqueName="[public mart_sales_trends].[lost_sales_qty].[All]" allUniqueName="[public mart_sales_trends].[lost_sales_qty].[All]" dimensionUniqueName="[public mart_sales_trends]" displayFolder="" count="0" memberValueDatatype="20" unbalanced="0"/>
    <cacheHierarchy uniqueName="[public mart_sales_trends].[avg_order_value]" caption="avg_order_value" attribute="1" defaultMemberUniqueName="[public mart_sales_trends].[avg_order_value].[All]" allUniqueName="[public mart_sales_trends].[avg_order_value].[All]" dimensionUniqueName="[public mart_sales_trends]" displayFolder="" count="0" memberValueDatatype="5" unbalanced="0"/>
    <cacheHierarchy uniqueName="[public mart_sales_trends].[month_start (Год)]" caption="month_start (Год)" attribute="1" defaultMemberUniqueName="[public mart_sales_trends].[month_start (Год)].[All]" allUniqueName="[public mart_sales_trends].[month_start (Год)].[All]" dimensionUniqueName="[public mart_sales_trends]" displayFolder="" count="0" memberValueDatatype="130" unbalanced="0"/>
    <cacheHierarchy uniqueName="[public mart_sales_trends].[month_start (Квартал)]" caption="month_start (Квартал)" attribute="1" defaultMemberUniqueName="[public mart_sales_trends].[month_start (Квартал)].[All]" allUniqueName="[public mart_sales_trends].[month_start (Квартал)].[All]" dimensionUniqueName="[public mart_sales_trends]" displayFolder="" count="0" memberValueDatatype="130" unbalanced="0"/>
    <cacheHierarchy uniqueName="[public mart_sales_trends].[month_start (Месяц)]" caption="month_start (Месяц)" attribute="1" defaultMemberUniqueName="[public mart_sales_trends].[month_start (Месяц)].[All]" allUniqueName="[public mart_sales_trends].[month_start (Месяц)].[All]" dimensionUniqueName="[public mart_sales_trends]" displayFolder="" count="0" memberValueDatatype="130" unbalanced="0"/>
    <cacheHierarchy uniqueName="[public mart_sales_trends].[month_start (Индекс месяца)]" caption="month_start (Индекс месяца)" attribute="1" defaultMemberUniqueName="[public mart_sales_trends].[month_start (Индекс месяца)].[All]" allUniqueName="[public mart_sales_trends].[month_start (Индекс месяца)].[All]" dimensionUniqueName="[public mart_sales_trends]" displayFolder="" count="0" memberValueDatatype="20" unbalanced="0" hidden="1"/>
    <cacheHierarchy uniqueName="[Measures].[__XL_Count public mart_plan_fact]" caption="__XL_Count public mart_plan_fact" measure="1" displayFolder="" measureGroup="public mart_plan_fact" count="0" hidden="1"/>
    <cacheHierarchy uniqueName="[Measures].[__XL_Count public mart_daily_breakdown]" caption="__XL_Count public mart_daily_breakdown" measure="1" displayFolder="" measureGroup="public mart_daily_breakdown" count="0" hidden="1"/>
    <cacheHierarchy uniqueName="[Measures].[__XL_Count public mart_sales_trends]" caption="__XL_Count public mart_sales_trends" measure="1" displayFolder="" measureGroup="public mart_sales_trends" count="0" hidden="1"/>
    <cacheHierarchy uniqueName="[Measures].[__XL_Count public mart_plan_fact_history]" caption="__XL_Count public mart_plan_fact_history" measure="1" displayFolder="" measureGroup="public mart_plan_fact_history" count="0" hidden="1"/>
    <cacheHierarchy uniqueName="[Measures].[__No measures defined]" caption="__No measures defined" measure="1" displayFolder="" count="0" hidden="1"/>
    <cacheHierarchy uniqueName="[Measures].[Сумма по столбцу fact_amount]" caption="Сумма по столбцу fact_amount" measure="1" displayFolder="" measureGroup="public mart_plan_fact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Сумма по столбцу plan_amount]" caption="Сумма по столбцу plan_amount" measure="1" displayFolder="" measureGroup="public mart_plan_fact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Сумма по столбцу gross_revenue]" caption="Сумма по столбцу gross_revenue" measure="1" displayFolder="" measureGroup="public mart_sales_trend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Сумма по столбцу return_revenue]" caption="Сумма по столбцу return_revenue" measure="1" displayFolder="" measureGroup="public mart_sales_trends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Сумма по столбцу net_revenue]" caption="Сумма по столбцу net_revenue" measure="1" displayFolder="" measureGroup="public mart_sales_trends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Сумма по столбцу gross_profit]" caption="Сумма по столбцу gross_profit" measure="1" displayFolder="" measureGroup="public mart_sales_trends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Сумма по столбцу gross_margin]" caption="Сумма по столбцу gross_margin" measure="1" displayFolder="" measureGroup="public mart_sales_trends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Сумма по столбцу orders]" caption="Сумма по столбцу orders" measure="1" displayFolder="" measureGroup="public mart_sales_trend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Среднее по столбцу gross_margin]" caption="Среднее по столбцу gross_margin" measure="1" displayFolder="" measureGroup="public mart_sales_trends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Сумма по столбцу fact_amount 2]" caption="Сумма по столбцу fact_amount 2" measure="1" displayFolder="" measureGroup="public mart_plan_fact_history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Сумма по столбцу plan_amount 2]" caption="Сумма по столбцу plan_amount 2" measure="1" displayFolder="" measureGroup="public mart_plan_fact_history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</cacheHierarchies>
  <kpis count="0"/>
  <dimensions count="5">
    <dimension measure="1" name="Measures" uniqueName="[Measures]" caption="Measures"/>
    <dimension name="public mart_daily_breakdown" uniqueName="[public mart_daily_breakdown]" caption="public mart_daily_breakdown"/>
    <dimension name="public mart_plan_fact" uniqueName="[public mart_plan_fact]" caption="public mart_plan_fact"/>
    <dimension name="public mart_plan_fact_history" uniqueName="[public mart_plan_fact_history]" caption="public mart_plan_fact_history"/>
    <dimension name="public mart_sales_trends" uniqueName="[public mart_sales_trends]" caption="public mart_sales_trends"/>
  </dimensions>
  <measureGroups count="4">
    <measureGroup name="public mart_daily_breakdown" caption="public mart_daily_breakdown"/>
    <measureGroup name="public mart_plan_fact" caption="public mart_plan_fact"/>
    <measureGroup name="public mart_plan_fact_history" caption="public mart_plan_fact_history"/>
    <measureGroup name="public mart_sales_trends" caption="public mart_sales_trends"/>
  </measureGroups>
  <maps count="4">
    <map measureGroup="0" dimension="1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hchinova" refreshedDate="46132.967220601851" backgroundQuery="1" createdVersion="8" refreshedVersion="8" minRefreshableVersion="3" recordCount="0" supportSubquery="1" supportAdvancedDrill="1" xr:uid="{CDC4C317-D570-4B50-AC08-B3E0ED211C9B}">
  <cacheSource type="external" connectionId="1"/>
  <cacheFields count="1">
    <cacheField name="[Measures].[Сумма по столбцу plan_amount]" caption="Сумма по столбцу plan_amount" numFmtId="0" hierarchy="64" level="32767"/>
  </cacheFields>
  <cacheHierarchies count="74">
    <cacheHierarchy uniqueName="[public mart_daily_breakdown].[day_type]" caption="day_type" attribute="1" defaultMemberUniqueName="[public mart_daily_breakdown].[day_type].[All]" allUniqueName="[public mart_daily_breakdown].[day_type].[All]" dimensionUniqueName="[public mart_daily_breakdown]" displayFolder="" count="0" memberValueDatatype="130" unbalanced="0"/>
    <cacheHierarchy uniqueName="[public mart_daily_breakdown].[genre]" caption="genre" attribute="1" defaultMemberUniqueName="[public mart_daily_breakdown].[genre].[All]" allUniqueName="[public mart_daily_breakdown].[genre].[All]" dimensionUniqueName="[public mart_daily_breakdown]" displayFolder="" count="0" memberValueDatatype="130" unbalanced="0"/>
    <cacheHierarchy uniqueName="[public mart_daily_breakdown].[format]" caption="format" attribute="1" defaultMemberUniqueName="[public mart_daily_breakdown].[format].[All]" allUniqueName="[public mart_daily_breakdown].[format].[All]" dimensionUniqueName="[public mart_daily_breakdown]" displayFolder="" count="0" memberValueDatatype="130" unbalanced="0"/>
    <cacheHierarchy uniqueName="[public mart_daily_breakdown].[orders]" caption="orders" attribute="1" defaultMemberUniqueName="[public mart_daily_breakdown].[orders].[All]" allUniqueName="[public mart_daily_breakdown].[orders].[All]" dimensionUniqueName="[public mart_daily_breakdown]" displayFolder="" count="0" memberValueDatatype="20" unbalanced="0"/>
    <cacheHierarchy uniqueName="[public mart_daily_breakdown].[net_qty]" caption="net_qty" attribute="1" defaultMemberUniqueName="[public mart_daily_breakdown].[net_qty].[All]" allUniqueName="[public mart_daily_breakdown].[net_qty].[All]" dimensionUniqueName="[public mart_daily_breakdown]" displayFolder="" count="0" memberValueDatatype="20" unbalanced="0"/>
    <cacheHierarchy uniqueName="[public mart_daily_breakdown].[net_revenue]" caption="net_revenue" attribute="1" defaultMemberUniqueName="[public mart_daily_breakdown].[net_revenue].[All]" allUniqueName="[public mart_daily_breakdown].[net_revenue].[All]" dimensionUniqueName="[public mart_daily_breakdown]" displayFolder="" count="0" memberValueDatatype="5" unbalanced="0"/>
    <cacheHierarchy uniqueName="[public mart_daily_breakdown].[gross_profit]" caption="gross_profit" attribute="1" defaultMemberUniqueName="[public mart_daily_breakdown].[gross_profit].[All]" allUniqueName="[public mart_daily_breakdown].[gross_profit].[All]" dimensionUniqueName="[public mart_daily_breakdown]" displayFolder="" count="0" memberValueDatatype="5" unbalanced="0"/>
    <cacheHierarchy uniqueName="[public mart_plan_fact].[genre]" caption="genre" attribute="1" defaultMemberUniqueName="[public mart_plan_fact].[genre].[All]" allUniqueName="[public mart_plan_fact].[genre].[All]" dimensionUniqueName="[public mart_plan_fact]" displayFolder="" count="0" memberValueDatatype="130" unbalanced="0"/>
    <cacheHierarchy uniqueName="[public mart_plan_fact].[format]" caption="format" attribute="1" defaultMemberUniqueName="[public mart_plan_fact].[format].[All]" allUniqueName="[public mart_plan_fact].[format].[All]" dimensionUniqueName="[public mart_plan_fact]" displayFolder="" count="0" memberValueDatatype="130" unbalanced="0"/>
    <cacheHierarchy uniqueName="[public mart_plan_fact].[year]" caption="year" attribute="1" defaultMemberUniqueName="[public mart_plan_fact].[year].[All]" allUniqueName="[public mart_plan_fact].[year].[All]" dimensionUniqueName="[public mart_plan_fact]" displayFolder="" count="2" memberValueDatatype="20" unbalanced="0"/>
    <cacheHierarchy uniqueName="[public mart_plan_fact].[month]" caption="month" attribute="1" defaultMemberUniqueName="[public mart_plan_fact].[month].[All]" allUniqueName="[public mart_plan_fact].[month].[All]" dimensionUniqueName="[public mart_plan_fact]" displayFolder="" count="2" memberValueDatatype="20" unbalanced="0"/>
    <cacheHierarchy uniqueName="[public mart_plan_fact].[plan_qty]" caption="plan_qty" attribute="1" defaultMemberUniqueName="[public mart_plan_fact].[plan_qty].[All]" allUniqueName="[public mart_plan_fact].[plan_qty].[All]" dimensionUniqueName="[public mart_plan_fact]" displayFolder="" count="0" memberValueDatatype="20" unbalanced="0"/>
    <cacheHierarchy uniqueName="[public mart_plan_fact].[plan_amount]" caption="plan_amount" attribute="1" defaultMemberUniqueName="[public mart_plan_fact].[plan_amount].[All]" allUniqueName="[public mart_plan_fact].[plan_amount].[All]" dimensionUniqueName="[public mart_plan_fact]" displayFolder="" count="0" memberValueDatatype="5" unbalanced="0"/>
    <cacheHierarchy uniqueName="[public mart_plan_fact].[plan_qty_to_date]" caption="plan_qty_to_date" attribute="1" defaultMemberUniqueName="[public mart_plan_fact].[plan_qty_to_date].[All]" allUniqueName="[public mart_plan_fact].[plan_qty_to_date].[All]" dimensionUniqueName="[public mart_plan_fact]" displayFolder="" count="0" memberValueDatatype="5" unbalanced="0"/>
    <cacheHierarchy uniqueName="[public mart_plan_fact].[plan_amount_to_date]" caption="plan_amount_to_date" attribute="1" defaultMemberUniqueName="[public mart_plan_fact].[plan_amount_to_date].[All]" allUniqueName="[public mart_plan_fact].[plan_amount_to_date].[All]" dimensionUniqueName="[public mart_plan_fact]" displayFolder="" count="0" memberValueDatatype="5" unbalanced="0"/>
    <cacheHierarchy uniqueName="[public mart_plan_fact].[plan_margin_target]" caption="plan_margin_target" attribute="1" defaultMemberUniqueName="[public mart_plan_fact].[plan_margin_target].[All]" allUniqueName="[public mart_plan_fact].[plan_margin_target].[All]" dimensionUniqueName="[public mart_plan_fact]" displayFolder="" count="0" memberValueDatatype="5" unbalanced="0"/>
    <cacheHierarchy uniqueName="[public mart_plan_fact].[fact_qty]" caption="fact_qty" attribute="1" defaultMemberUniqueName="[public mart_plan_fact].[fact_qty].[All]" allUniqueName="[public mart_plan_fact].[fact_qty].[All]" dimensionUniqueName="[public mart_plan_fact]" displayFolder="" count="0" memberValueDatatype="20" unbalanced="0"/>
    <cacheHierarchy uniqueName="[public mart_plan_fact].[fact_amount]" caption="fact_amount" attribute="1" defaultMemberUniqueName="[public mart_plan_fact].[fact_amount].[All]" allUniqueName="[public mart_plan_fact].[fact_amount].[All]" dimensionUniqueName="[public mart_plan_fact]" displayFolder="" count="0" memberValueDatatype="5" unbalanced="0"/>
    <cacheHierarchy uniqueName="[public mart_plan_fact].[pct_of_plan_to_date]" caption="pct_of_plan_to_date" attribute="1" defaultMemberUniqueName="[public mart_plan_fact].[pct_of_plan_to_date].[All]" allUniqueName="[public mart_plan_fact].[pct_of_plan_to_date].[All]" dimensionUniqueName="[public mart_plan_fact]" displayFolder="" count="0" memberValueDatatype="5" unbalanced="0"/>
    <cacheHierarchy uniqueName="[public mart_plan_fact].[delta_amount_to_date]" caption="delta_amount_to_date" attribute="1" defaultMemberUniqueName="[public mart_plan_fact].[delta_amount_to_date].[All]" allUniqueName="[public mart_plan_fact].[delta_amount_to_date].[All]" dimensionUniqueName="[public mart_plan_fact]" displayFolder="" count="0" memberValueDatatype="5" unbalanced="0"/>
    <cacheHierarchy uniqueName="[public mart_plan_fact].[report_date]" caption="report_date" attribute="1" time="1" defaultMemberUniqueName="[public mart_plan_fact].[report_date].[All]" allUniqueName="[public mart_plan_fact].[report_date].[All]" dimensionUniqueName="[public mart_plan_fact]" displayFolder="" count="0" memberValueDatatype="7" unbalanced="0"/>
    <cacheHierarchy uniqueName="[public mart_plan_fact_history].[genre]" caption="genre" attribute="1" defaultMemberUniqueName="[public mart_plan_fact_history].[genre].[All]" allUniqueName="[public mart_plan_fact_history].[genre].[All]" dimensionUniqueName="[public mart_plan_fact_history]" displayFolder="" count="0" memberValueDatatype="130" unbalanced="0"/>
    <cacheHierarchy uniqueName="[public mart_plan_fact_history].[format]" caption="format" attribute="1" defaultMemberUniqueName="[public mart_plan_fact_history].[format].[All]" allUniqueName="[public mart_plan_fact_history].[format].[All]" dimensionUniqueName="[public mart_plan_fact_history]" displayFolder="" count="0" memberValueDatatype="130" unbalanced="0"/>
    <cacheHierarchy uniqueName="[public mart_plan_fact_history].[year]" caption="year" attribute="1" defaultMemberUniqueName="[public mart_plan_fact_history].[year].[All]" allUniqueName="[public mart_plan_fact_history].[year].[All]" dimensionUniqueName="[public mart_plan_fact_history]" displayFolder="" count="0" memberValueDatatype="20" unbalanced="0"/>
    <cacheHierarchy uniqueName="[public mart_plan_fact_history].[month]" caption="month" attribute="1" defaultMemberUniqueName="[public mart_plan_fact_history].[month].[All]" allUniqueName="[public mart_plan_fact_history].[month].[All]" dimensionUniqueName="[public mart_plan_fact_history]" displayFolder="" count="0" memberValueDatatype="20" unbalanced="0"/>
    <cacheHierarchy uniqueName="[public mart_plan_fact_history].[plan_qty]" caption="plan_qty" attribute="1" defaultMemberUniqueName="[public mart_plan_fact_history].[plan_qty].[All]" allUniqueName="[public mart_plan_fact_history].[plan_qty].[All]" dimensionUniqueName="[public mart_plan_fact_history]" displayFolder="" count="0" memberValueDatatype="20" unbalanced="0"/>
    <cacheHierarchy uniqueName="[public mart_plan_fact_history].[plan_amount]" caption="plan_amount" attribute="1" defaultMemberUniqueName="[public mart_plan_fact_history].[plan_amount].[All]" allUniqueName="[public mart_plan_fact_history].[plan_amount].[All]" dimensionUniqueName="[public mart_plan_fact_history]" displayFolder="" count="0" memberValueDatatype="5" unbalanced="0"/>
    <cacheHierarchy uniqueName="[public mart_plan_fact_history].[plan_margin_target]" caption="plan_margin_target" attribute="1" defaultMemberUniqueName="[public mart_plan_fact_history].[plan_margin_target].[All]" allUniqueName="[public mart_plan_fact_history].[plan_margin_target].[All]" dimensionUniqueName="[public mart_plan_fact_history]" displayFolder="" count="0" memberValueDatatype="5" unbalanced="0"/>
    <cacheHierarchy uniqueName="[public mart_plan_fact_history].[fact_qty]" caption="fact_qty" attribute="1" defaultMemberUniqueName="[public mart_plan_fact_history].[fact_qty].[All]" allUniqueName="[public mart_plan_fact_history].[fact_qty].[All]" dimensionUniqueName="[public mart_plan_fact_history]" displayFolder="" count="0" memberValueDatatype="20" unbalanced="0"/>
    <cacheHierarchy uniqueName="[public mart_plan_fact_history].[fact_amount]" caption="fact_amount" attribute="1" defaultMemberUniqueName="[public mart_plan_fact_history].[fact_amount].[All]" allUniqueName="[public mart_plan_fact_history].[fact_amount].[All]" dimensionUniqueName="[public mart_plan_fact_history]" displayFolder="" count="0" memberValueDatatype="5" unbalanced="0"/>
    <cacheHierarchy uniqueName="[public mart_plan_fact_history].[pct_of_plan]" caption="pct_of_plan" attribute="1" defaultMemberUniqueName="[public mart_plan_fact_history].[pct_of_plan].[All]" allUniqueName="[public mart_plan_fact_history].[pct_of_plan].[All]" dimensionUniqueName="[public mart_plan_fact_history]" displayFolder="" count="0" memberValueDatatype="5" unbalanced="0"/>
    <cacheHierarchy uniqueName="[public mart_plan_fact_history].[delta_amount]" caption="delta_amount" attribute="1" defaultMemberUniqueName="[public mart_plan_fact_history].[delta_amount].[All]" allUniqueName="[public mart_plan_fact_history].[delta_amount].[All]" dimensionUniqueName="[public mart_plan_fact_history]" displayFolder="" count="0" memberValueDatatype="5" unbalanced="0"/>
    <cacheHierarchy uniqueName="[public mart_plan_fact_history].[month_status]" caption="month_status" attribute="1" defaultMemberUniqueName="[public mart_plan_fact_history].[month_status].[All]" allUniqueName="[public mart_plan_fact_history].[month_status].[All]" dimensionUniqueName="[public mart_plan_fact_history]" displayFolder="" count="0" memberValueDatatype="130" unbalanced="0"/>
    <cacheHierarchy uniqueName="[public mart_sales_trends].[year]" caption="year" attribute="1" defaultMemberUniqueName="[public mart_sales_trends].[year].[All]" allUniqueName="[public mart_sales_trends].[year].[All]" dimensionUniqueName="[public mart_sales_trends]" displayFolder="" count="0" memberValueDatatype="20" unbalanced="0"/>
    <cacheHierarchy uniqueName="[public mart_sales_trends].[month]" caption="month" attribute="1" defaultMemberUniqueName="[public mart_sales_trends].[month].[All]" allUniqueName="[public mart_sales_trends].[month].[All]" dimensionUniqueName="[public mart_sales_trends]" displayFolder="" count="0" memberValueDatatype="20" unbalanced="0"/>
    <cacheHierarchy uniqueName="[public mart_sales_trends].[quarter]" caption="quarter" attribute="1" defaultMemberUniqueName="[public mart_sales_trends].[quarter].[All]" allUniqueName="[public mart_sales_trends].[quarter].[All]" dimensionUniqueName="[public mart_sales_trends]" displayFolder="" count="0" memberValueDatatype="20" unbalanced="0"/>
    <cacheHierarchy uniqueName="[public mart_sales_trends].[month_start]" caption="month_start" attribute="1" time="1" defaultMemberUniqueName="[public mart_sales_trends].[month_start].[All]" allUniqueName="[public mart_sales_trends].[month_start].[All]" dimensionUniqueName="[public mart_sales_trends]" displayFolder="" count="0" memberValueDatatype="7" unbalanced="0"/>
    <cacheHierarchy uniqueName="[public mart_sales_trends].[genre]" caption="genre" attribute="1" defaultMemberUniqueName="[public mart_sales_trends].[genre].[All]" allUniqueName="[public mart_sales_trends].[genre].[All]" dimensionUniqueName="[public mart_sales_trends]" displayFolder="" count="0" memberValueDatatype="130" unbalanced="0"/>
    <cacheHierarchy uniqueName="[public mart_sales_trends].[format]" caption="format" attribute="1" defaultMemberUniqueName="[public mart_sales_trends].[format].[All]" allUniqueName="[public mart_sales_trends].[format].[All]" dimensionUniqueName="[public mart_sales_trends]" displayFolder="" count="0" memberValueDatatype="130" unbalanced="0"/>
    <cacheHierarchy uniqueName="[public mart_sales_trends].[language]" caption="language" attribute="1" defaultMemberUniqueName="[public mart_sales_trends].[language].[All]" allUniqueName="[public mart_sales_trends].[language].[All]" dimensionUniqueName="[public mart_sales_trends]" displayFolder="" count="0" memberValueDatatype="130" unbalanced="0"/>
    <cacheHierarchy uniqueName="[public mart_sales_trends].[orders]" caption="orders" attribute="1" defaultMemberUniqueName="[public mart_sales_trends].[orders].[All]" allUniqueName="[public mart_sales_trends].[orders].[All]" dimensionUniqueName="[public mart_sales_trends]" displayFolder="" count="0" memberValueDatatype="20" unbalanced="0"/>
    <cacheHierarchy uniqueName="[public mart_sales_trends].[gross_qty]" caption="gross_qty" attribute="1" defaultMemberUniqueName="[public mart_sales_trends].[gross_qty].[All]" allUniqueName="[public mart_sales_trends].[gross_qty].[All]" dimensionUniqueName="[public mart_sales_trends]" displayFolder="" count="0" memberValueDatatype="20" unbalanced="0"/>
    <cacheHierarchy uniqueName="[public mart_sales_trends].[return_qty]" caption="return_qty" attribute="1" defaultMemberUniqueName="[public mart_sales_trends].[return_qty].[All]" allUniqueName="[public mart_sales_trends].[return_qty].[All]" dimensionUniqueName="[public mart_sales_trends]" displayFolder="" count="0" memberValueDatatype="20" unbalanced="0"/>
    <cacheHierarchy uniqueName="[public mart_sales_trends].[net_qty]" caption="net_qty" attribute="1" defaultMemberUniqueName="[public mart_sales_trends].[net_qty].[All]" allUniqueName="[public mart_sales_trends].[net_qty].[All]" dimensionUniqueName="[public mart_sales_trends]" displayFolder="" count="0" memberValueDatatype="20" unbalanced="0"/>
    <cacheHierarchy uniqueName="[public mart_sales_trends].[gross_revenue]" caption="gross_revenue" attribute="1" defaultMemberUniqueName="[public mart_sales_trends].[gross_revenue].[All]" allUniqueName="[public mart_sales_trends].[gross_revenue].[All]" dimensionUniqueName="[public mart_sales_trends]" displayFolder="" count="0" memberValueDatatype="5" unbalanced="0"/>
    <cacheHierarchy uniqueName="[public mart_sales_trends].[return_revenue]" caption="return_revenue" attribute="1" defaultMemberUniqueName="[public mart_sales_trends].[return_revenue].[All]" allUniqueName="[public mart_sales_trends].[return_revenue].[All]" dimensionUniqueName="[public mart_sales_trends]" displayFolder="" count="0" memberValueDatatype="5" unbalanced="0"/>
    <cacheHierarchy uniqueName="[public mart_sales_trends].[net_revenue]" caption="net_revenue" attribute="1" defaultMemberUniqueName="[public mart_sales_trends].[net_revenue].[All]" allUniqueName="[public mart_sales_trends].[net_revenue].[All]" dimensionUniqueName="[public mart_sales_trends]" displayFolder="" count="0" memberValueDatatype="5" unbalanced="0"/>
    <cacheHierarchy uniqueName="[public mart_sales_trends].[total_cost]" caption="total_cost" attribute="1" defaultMemberUniqueName="[public mart_sales_trends].[total_cost].[All]" allUniqueName="[public mart_sales_trends].[total_cost].[All]" dimensionUniqueName="[public mart_sales_trends]" displayFolder="" count="0" memberValueDatatype="5" unbalanced="0"/>
    <cacheHierarchy uniqueName="[public mart_sales_trends].[gross_profit]" caption="gross_profit" attribute="1" defaultMemberUniqueName="[public mart_sales_trends].[gross_profit].[All]" allUniqueName="[public mart_sales_trends].[gross_profit].[All]" dimensionUniqueName="[public mart_sales_trends]" displayFolder="" count="0" memberValueDatatype="5" unbalanced="0"/>
    <cacheHierarchy uniqueName="[public mart_sales_trends].[gross_margin]" caption="gross_margin" attribute="1" defaultMemberUniqueName="[public mart_sales_trends].[gross_margin].[All]" allUniqueName="[public mart_sales_trends].[gross_margin].[All]" dimensionUniqueName="[public mart_sales_trends]" displayFolder="" count="0" memberValueDatatype="5" unbalanced="0"/>
    <cacheHierarchy uniqueName="[public mart_sales_trends].[promo_orders]" caption="promo_orders" attribute="1" defaultMemberUniqueName="[public mart_sales_trends].[promo_orders].[All]" allUniqueName="[public mart_sales_trends].[promo_orders].[All]" dimensionUniqueName="[public mart_sales_trends]" displayFolder="" count="0" memberValueDatatype="20" unbalanced="0"/>
    <cacheHierarchy uniqueName="[public mart_sales_trends].[promo_revenue]" caption="promo_revenue" attribute="1" defaultMemberUniqueName="[public mart_sales_trends].[promo_revenue].[All]" allUniqueName="[public mart_sales_trends].[promo_revenue].[All]" dimensionUniqueName="[public mart_sales_trends]" displayFolder="" count="0" memberValueDatatype="5" unbalanced="0"/>
    <cacheHierarchy uniqueName="[public mart_sales_trends].[lost_sales_qty]" caption="lost_sales_qty" attribute="1" defaultMemberUniqueName="[public mart_sales_trends].[lost_sales_qty].[All]" allUniqueName="[public mart_sales_trends].[lost_sales_qty].[All]" dimensionUniqueName="[public mart_sales_trends]" displayFolder="" count="0" memberValueDatatype="20" unbalanced="0"/>
    <cacheHierarchy uniqueName="[public mart_sales_trends].[avg_order_value]" caption="avg_order_value" attribute="1" defaultMemberUniqueName="[public mart_sales_trends].[avg_order_value].[All]" allUniqueName="[public mart_sales_trends].[avg_order_value].[All]" dimensionUniqueName="[public mart_sales_trends]" displayFolder="" count="0" memberValueDatatype="5" unbalanced="0"/>
    <cacheHierarchy uniqueName="[public mart_sales_trends].[month_start (Год)]" caption="month_start (Год)" attribute="1" defaultMemberUniqueName="[public mart_sales_trends].[month_start (Год)].[All]" allUniqueName="[public mart_sales_trends].[month_start (Год)].[All]" dimensionUniqueName="[public mart_sales_trends]" displayFolder="" count="0" memberValueDatatype="130" unbalanced="0"/>
    <cacheHierarchy uniqueName="[public mart_sales_trends].[month_start (Квартал)]" caption="month_start (Квартал)" attribute="1" defaultMemberUniqueName="[public mart_sales_trends].[month_start (Квартал)].[All]" allUniqueName="[public mart_sales_trends].[month_start (Квартал)].[All]" dimensionUniqueName="[public mart_sales_trends]" displayFolder="" count="0" memberValueDatatype="130" unbalanced="0"/>
    <cacheHierarchy uniqueName="[public mart_sales_trends].[month_start (Месяц)]" caption="month_start (Месяц)" attribute="1" defaultMemberUniqueName="[public mart_sales_trends].[month_start (Месяц)].[All]" allUniqueName="[public mart_sales_trends].[month_start (Месяц)].[All]" dimensionUniqueName="[public mart_sales_trends]" displayFolder="" count="0" memberValueDatatype="130" unbalanced="0"/>
    <cacheHierarchy uniqueName="[public mart_sales_trends].[month_start (Индекс месяца)]" caption="month_start (Индекс месяца)" attribute="1" defaultMemberUniqueName="[public mart_sales_trends].[month_start (Индекс месяца)].[All]" allUniqueName="[public mart_sales_trends].[month_start (Индекс месяца)].[All]" dimensionUniqueName="[public mart_sales_trends]" displayFolder="" count="0" memberValueDatatype="20" unbalanced="0" hidden="1"/>
    <cacheHierarchy uniqueName="[Measures].[__XL_Count public mart_plan_fact]" caption="__XL_Count public mart_plan_fact" measure="1" displayFolder="" measureGroup="public mart_plan_fact" count="0" hidden="1"/>
    <cacheHierarchy uniqueName="[Measures].[__XL_Count public mart_daily_breakdown]" caption="__XL_Count public mart_daily_breakdown" measure="1" displayFolder="" measureGroup="public mart_daily_breakdown" count="0" hidden="1"/>
    <cacheHierarchy uniqueName="[Measures].[__XL_Count public mart_sales_trends]" caption="__XL_Count public mart_sales_trends" measure="1" displayFolder="" measureGroup="public mart_sales_trends" count="0" hidden="1"/>
    <cacheHierarchy uniqueName="[Measures].[__XL_Count public mart_plan_fact_history]" caption="__XL_Count public mart_plan_fact_history" measure="1" displayFolder="" measureGroup="public mart_plan_fact_history" count="0" hidden="1"/>
    <cacheHierarchy uniqueName="[Measures].[__No measures defined]" caption="__No measures defined" measure="1" displayFolder="" count="0" hidden="1"/>
    <cacheHierarchy uniqueName="[Measures].[Сумма по столбцу fact_amount]" caption="Сумма по столбцу fact_amount" measure="1" displayFolder="" measureGroup="public mart_plan_fact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Сумма по столбцу plan_amount]" caption="Сумма по столбцу plan_amount" measure="1" displayFolder="" measureGroup="public mart_plan_fact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Сумма по столбцу gross_revenue]" caption="Сумма по столбцу gross_revenue" measure="1" displayFolder="" measureGroup="public mart_sales_trend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Сумма по столбцу return_revenue]" caption="Сумма по столбцу return_revenue" measure="1" displayFolder="" measureGroup="public mart_sales_trends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Сумма по столбцу net_revenue]" caption="Сумма по столбцу net_revenue" measure="1" displayFolder="" measureGroup="public mart_sales_trends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Сумма по столбцу gross_profit]" caption="Сумма по столбцу gross_profit" measure="1" displayFolder="" measureGroup="public mart_sales_trends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Сумма по столбцу gross_margin]" caption="Сумма по столбцу gross_margin" measure="1" displayFolder="" measureGroup="public mart_sales_trends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Сумма по столбцу orders]" caption="Сумма по столбцу orders" measure="1" displayFolder="" measureGroup="public mart_sales_trend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Среднее по столбцу gross_margin]" caption="Среднее по столбцу gross_margin" measure="1" displayFolder="" measureGroup="public mart_sales_trends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Сумма по столбцу fact_amount 2]" caption="Сумма по столбцу fact_amount 2" measure="1" displayFolder="" measureGroup="public mart_plan_fact_history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Сумма по столбцу plan_amount 2]" caption="Сумма по столбцу plan_amount 2" measure="1" displayFolder="" measureGroup="public mart_plan_fact_history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</cacheHierarchies>
  <kpis count="0"/>
  <dimensions count="5">
    <dimension measure="1" name="Measures" uniqueName="[Measures]" caption="Measures"/>
    <dimension name="public mart_daily_breakdown" uniqueName="[public mart_daily_breakdown]" caption="public mart_daily_breakdown"/>
    <dimension name="public mart_plan_fact" uniqueName="[public mart_plan_fact]" caption="public mart_plan_fact"/>
    <dimension name="public mart_plan_fact_history" uniqueName="[public mart_plan_fact_history]" caption="public mart_plan_fact_history"/>
    <dimension name="public mart_sales_trends" uniqueName="[public mart_sales_trends]" caption="public mart_sales_trends"/>
  </dimensions>
  <measureGroups count="4">
    <measureGroup name="public mart_daily_breakdown" caption="public mart_daily_breakdown"/>
    <measureGroup name="public mart_plan_fact" caption="public mart_plan_fact"/>
    <measureGroup name="public mart_plan_fact_history" caption="public mart_plan_fact_history"/>
    <measureGroup name="public mart_sales_trends" caption="public mart_sales_trends"/>
  </measureGroups>
  <maps count="4">
    <map measureGroup="0" dimension="1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D3AA08-AEDF-4B25-AA51-93A913A3DE0D}" name="Сводная таблица3" cacheId="4" applyNumberFormats="0" applyBorderFormats="0" applyFontFormats="0" applyPatternFormats="0" applyAlignmentFormats="0" applyWidthHeightFormats="1" dataCaption="Значения" updatedVersion="8" minRefreshableVersion="3" subtotalHiddenItems="1" rowGrandTotals="0" colGrandTotals="0" itemPrintTitles="1" createdVersion="8" indent="0" multipleFieldFilters="0" rowHeaderCaption="Формат">
  <location ref="H18:J22" firstHeaderRow="0" firstDataRow="1" firstDataCol="1"/>
  <pivotFields count="3">
    <pivotField dataField="1" showAll="0"/>
    <pivotField dataField="1" showAll="0"/>
    <pivotField axis="axisRow" allDrilled="1" showAll="0" dataSourceSort="1" defaultAttributeDrillState="1">
      <items count="5">
        <item x="0"/>
        <item x="1"/>
        <item x="2"/>
        <item x="3"/>
        <item t="default"/>
      </items>
    </pivotField>
  </pivotFields>
  <rowFields count="1">
    <field x="2"/>
  </rowFields>
  <rowItems count="4">
    <i>
      <x/>
    </i>
    <i>
      <x v="1"/>
    </i>
    <i>
      <x v="2"/>
    </i>
    <i>
      <x v="3"/>
    </i>
  </rowItems>
  <colFields count="1">
    <field x="-2"/>
  </colFields>
  <colItems count="2">
    <i>
      <x/>
    </i>
    <i i="1">
      <x v="1"/>
    </i>
  </colItems>
  <dataFields count="2">
    <dataField name="Факт" fld="0" baseField="0" baseItem="0"/>
    <dataField name="План" fld="1" baseField="0" baseItem="0"/>
  </dataFields>
  <formats count="20">
    <format dxfId="79">
      <pivotArea collapsedLevelsAreSubtotals="1" fieldPosition="0">
        <references count="1">
          <reference field="2" count="1">
            <x v="3"/>
          </reference>
        </references>
      </pivotArea>
    </format>
    <format dxfId="78">
      <pivotArea dataOnly="0" labelOnly="1" fieldPosition="0">
        <references count="1">
          <reference field="2" count="1">
            <x v="3"/>
          </reference>
        </references>
      </pivotArea>
    </format>
    <format dxfId="77">
      <pivotArea outline="0" collapsedLevelsAreSubtotals="1" fieldPosition="0"/>
    </format>
    <format dxfId="73">
      <pivotArea outline="0" collapsedLevelsAreSubtotals="1" fieldPosition="0"/>
    </format>
    <format dxfId="7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0">
      <pivotArea type="all" dataOnly="0" outline="0" fieldPosition="0"/>
    </format>
    <format dxfId="69">
      <pivotArea outline="0" collapsedLevelsAreSubtotals="1" fieldPosition="0"/>
    </format>
    <format dxfId="68">
      <pivotArea field="2" type="button" dataOnly="0" labelOnly="1" outline="0" axis="axisRow" fieldPosition="0"/>
    </format>
    <format dxfId="67">
      <pivotArea dataOnly="0" labelOnly="1" fieldPosition="0">
        <references count="1">
          <reference field="2" count="0"/>
        </references>
      </pivotArea>
    </format>
    <format dxfId="6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6">
      <pivotArea type="all" dataOnly="0" outline="0" fieldPosition="0"/>
    </format>
    <format dxfId="55">
      <pivotArea outline="0" collapsedLevelsAreSubtotals="1" fieldPosition="0"/>
    </format>
    <format dxfId="54">
      <pivotArea field="2" type="button" dataOnly="0" labelOnly="1" outline="0" axis="axisRow" fieldPosition="0"/>
    </format>
    <format dxfId="53">
      <pivotArea dataOnly="0" labelOnly="1" fieldPosition="0">
        <references count="1">
          <reference field="2" count="0"/>
        </references>
      </pivotArea>
    </format>
    <format dxfId="5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0">
      <pivotArea type="all" dataOnly="0" outline="0" fieldPosition="0"/>
    </format>
    <format dxfId="29">
      <pivotArea outline="0" collapsedLevelsAreSubtotals="1" fieldPosition="0"/>
    </format>
    <format dxfId="28">
      <pivotArea field="2" type="button" dataOnly="0" labelOnly="1" outline="0" axis="axisRow" fieldPosition="0"/>
    </format>
    <format dxfId="27">
      <pivotArea dataOnly="0" labelOnly="1" fieldPosition="0">
        <references count="1">
          <reference field="2" count="0"/>
        </references>
      </pivotArea>
    </format>
    <format dxfId="2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Hierarchies count="7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Факт"/>
    <pivotHierarchy dragToData="1" caption="План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ublic mart_plan_fact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470204-0384-4149-8075-4454724D1C48}" name="Сводная таблица2" cacheId="3" applyNumberFormats="0" applyBorderFormats="0" applyFontFormats="0" applyPatternFormats="0" applyAlignmentFormats="0" applyWidthHeightFormats="1" dataCaption="Значения" updatedVersion="8" minRefreshableVersion="3" rowGrandTotals="0" colGrandTotals="0" itemPrintTitles="1" createdVersion="8" indent="0" multipleFieldFilters="0" rowHeaderCaption="Жанр">
  <location ref="H26:J36" firstHeaderRow="0" firstDataRow="1" firstDataCol="1"/>
  <pivotFields count="3">
    <pivotField dataField="1" showAll="0"/>
    <pivotField dataField="1" showAll="0"/>
    <pivotField axis="axisRow" allDrilled="1" showAll="0" dataSourceSort="1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 count="1">
    <field x="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rowItems>
  <colFields count="1">
    <field x="-2"/>
  </colFields>
  <colItems count="2">
    <i>
      <x/>
    </i>
    <i i="1">
      <x v="1"/>
    </i>
  </colItems>
  <dataFields count="2">
    <dataField name="Факт" fld="0" baseField="0" baseItem="0"/>
    <dataField name="План" fld="1" baseField="0" baseItem="0"/>
  </dataFields>
  <formats count="19">
    <format dxfId="82">
      <pivotArea outline="0" collapsedLevelsAreSubtotals="1" fieldPosition="0"/>
    </format>
    <format dxfId="81">
      <pivotArea collapsedLevelsAreSubtotals="1" fieldPosition="0">
        <references count="1">
          <reference field="2" count="1">
            <x v="9"/>
          </reference>
        </references>
      </pivotArea>
    </format>
    <format dxfId="80">
      <pivotArea dataOnly="0" labelOnly="1" fieldPosition="0">
        <references count="1">
          <reference field="2" count="1">
            <x v="9"/>
          </reference>
        </references>
      </pivotArea>
    </format>
    <format dxfId="7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5">
      <pivotArea type="all" dataOnly="0" outline="0" fieldPosition="0"/>
    </format>
    <format dxfId="64">
      <pivotArea outline="0" collapsedLevelsAreSubtotals="1" fieldPosition="0"/>
    </format>
    <format dxfId="63">
      <pivotArea field="2" type="button" dataOnly="0" labelOnly="1" outline="0" axis="axisRow" fieldPosition="0"/>
    </format>
    <format dxfId="62">
      <pivotArea dataOnly="0" labelOnly="1" fieldPosition="0">
        <references count="1">
          <reference field="2" count="0"/>
        </references>
      </pivotArea>
    </format>
    <format dxfId="6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1">
      <pivotArea type="all" dataOnly="0" outline="0" fieldPosition="0"/>
    </format>
    <format dxfId="50">
      <pivotArea outline="0" collapsedLevelsAreSubtotals="1" fieldPosition="0"/>
    </format>
    <format dxfId="49">
      <pivotArea field="2" type="button" dataOnly="0" labelOnly="1" outline="0" axis="axisRow" fieldPosition="0"/>
    </format>
    <format dxfId="48">
      <pivotArea dataOnly="0" labelOnly="1" fieldPosition="0">
        <references count="1">
          <reference field="2" count="0"/>
        </references>
      </pivotArea>
    </format>
    <format dxfId="4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5">
      <pivotArea type="all" dataOnly="0" outline="0" fieldPosition="0"/>
    </format>
    <format dxfId="24">
      <pivotArea outline="0" collapsedLevelsAreSubtotals="1" fieldPosition="0"/>
    </format>
    <format dxfId="23">
      <pivotArea field="2" type="button" dataOnly="0" labelOnly="1" outline="0" axis="axisRow" fieldPosition="0"/>
    </format>
    <format dxfId="22">
      <pivotArea dataOnly="0" labelOnly="1" fieldPosition="0">
        <references count="1">
          <reference field="2" count="0"/>
        </references>
      </pivotArea>
    </format>
    <format dxfId="2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Hierarchies count="7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Факт"/>
    <pivotHierarchy dragToData="1" caption="План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" showRowHeaders="1" showColHeaders="1" showRowStripes="0" showColStripes="0" showLastColumn="1"/>
  <rowHierarchiesUsage count="1">
    <rowHierarchyUsage hierarchyUsage="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ublic mart_plan_fact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199245-62DD-45F3-9167-68A5BC6338C4}" name="Сводная таблица1" cacheId="21" applyNumberFormats="0" applyBorderFormats="0" applyFontFormats="0" applyPatternFormats="0" applyAlignmentFormats="0" applyWidthHeightFormats="1" dataCaption="Значения" updatedVersion="8" minRefreshableVersion="3" itemPrintTitles="1" createdVersion="8" indent="0" multipleFieldFilters="0">
  <location ref="H13:H14" firstHeaderRow="1" firstDataRow="1" firstDataCol="0"/>
  <pivotFields count="1">
    <pivotField dataField="1" showAll="0"/>
  </pivotFields>
  <rowItems count="1">
    <i/>
  </rowItems>
  <colItems count="1">
    <i/>
  </colItems>
  <dataFields count="1">
    <dataField name="План" fld="0" baseField="0" baseItem="0" numFmtId="3"/>
  </dataFields>
  <formats count="4">
    <format dxfId="60">
      <pivotArea type="all" dataOnly="0" outline="0" fieldPosition="0"/>
    </format>
    <format dxfId="59">
      <pivotArea outline="0" collapsedLevelsAreSubtotals="1" fieldPosition="0"/>
    </format>
    <format dxfId="58">
      <pivotArea dataOnly="0" labelOnly="1" outline="0" axis="axisValues" fieldPosition="0"/>
    </format>
    <format dxfId="57">
      <pivotArea outline="0" collapsedLevelsAreSubtotals="1" fieldPosition="0"/>
    </format>
  </formats>
  <pivotHierarchies count="7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План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ublic mart_plan_fact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9FE96B-910B-4563-8333-723CF8DE6233}" name="Сводная таблица6" cacheId="1" applyNumberFormats="0" applyBorderFormats="0" applyFontFormats="0" applyPatternFormats="0" applyAlignmentFormats="0" applyWidthHeightFormats="1" dataCaption="Значения" updatedVersion="8" minRefreshableVersion="3" subtotalHiddenItems="1" itemPrintTitles="1" createdVersion="8" indent="0" multipleFieldFilters="0" rowHeaderCaption="Год">
  <location ref="B4:H14" firstHeaderRow="0" firstDataRow="1" firstDataCol="1"/>
  <pivotFields count="9">
    <pivotField axis="axisRow" allDrilled="1" showAll="0" dataSourceSort="1">
      <items count="5">
        <item x="0" e="0"/>
        <item x="1" e="0"/>
        <item x="2" e="0"/>
        <item x="3" e="0"/>
        <item t="default"/>
      </items>
    </pivotField>
    <pivotField axis="axisRow" allDrilled="1" showAll="0" dataSourceSort="1">
      <items count="3">
        <item x="0"/>
        <item x="1"/>
        <item t="default"/>
      </items>
    </pivotField>
    <pivotField axis="axisRow" allDrilled="1" showAll="0" dataSourceSort="1">
      <items count="4">
        <item x="0" e="0"/>
        <item x="1" e="0"/>
        <item x="2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3">
    <field x="2"/>
    <field x="1"/>
    <field x="0"/>
  </rowFields>
  <rowItems count="10">
    <i>
      <x/>
    </i>
    <i>
      <x v="1"/>
    </i>
    <i>
      <x v="2"/>
    </i>
    <i r="1">
      <x/>
    </i>
    <i r="2">
      <x/>
    </i>
    <i r="2">
      <x v="1"/>
    </i>
    <i r="2">
      <x v="2"/>
    </i>
    <i r="1">
      <x v="1"/>
    </i>
    <i r="2">
      <x v="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Покупки" fld="7" baseField="0" baseItem="0"/>
    <dataField name="Выручка" fld="3" baseField="0" baseItem="0"/>
    <dataField name="Возвраты" fld="4" baseField="0" baseItem="0"/>
    <dataField name="Чистая выручка" fld="5" baseField="0" baseItem="0"/>
    <dataField name="Валовая прибыль" fld="6" baseField="0" baseItem="0"/>
    <dataField name="Валовая маржа" fld="8" subtotal="average" baseField="2" baseItem="0" numFmtId="9"/>
  </dataFields>
  <formats count="2">
    <format dxfId="75">
      <pivotArea outline="0" collapsedLevelsAreSubtotals="1" fieldPosition="0"/>
    </format>
    <format dxfId="74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</formats>
  <pivotHierarchies count="7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Выручка"/>
    <pivotHierarchy dragToData="1" caption="Возвраты"/>
    <pivotHierarchy dragToData="1" caption="Чистая выручка"/>
    <pivotHierarchy dragToData="1" caption="Валовая прибыль"/>
    <pivotHierarchy dragToData="1" caption="Валовая маржа"/>
    <pivotHierarchy dragToData="1" caption="Покупки"/>
    <pivotHierarchy dragToData="1" caption="Валовая маржа"/>
    <pivotHierarchy dragToData="1"/>
    <pivotHierarchy dragToData="1"/>
  </pivotHierarchies>
  <pivotTableStyleInfo name="PivotStyleLight1" showRowHeaders="1" showColHeaders="1" showRowStripes="0" showColStripes="0" showLastColumn="1"/>
  <rowHierarchiesUsage count="3">
    <rowHierarchyUsage hierarchyUsage="54"/>
    <rowHierarchyUsage hierarchyUsage="55"/>
    <rowHierarchyUsage hierarchyUsage="5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ublic mart_sales_trends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E5822F-7339-48B0-AFC3-B659B5CBB7CE}" name="Сводная таблица8" cacheId="0" applyNumberFormats="0" applyBorderFormats="0" applyFontFormats="0" applyPatternFormats="0" applyAlignmentFormats="0" applyWidthHeightFormats="1" dataCaption="Значения" updatedVersion="8" minRefreshableVersion="3" itemPrintTitles="1" createdVersion="8" indent="0" multipleFieldFilters="0" rowHeaderCaption="Год">
  <location ref="B18:D50" firstHeaderRow="0" firstDataRow="1" firstDataCol="1"/>
  <pivotFields count="4">
    <pivotField dataField="1" showAll="0"/>
    <pivotField dataField="1" showAll="0"/>
    <pivotField axis="axisRow" allDrilled="1" showAll="0" dataSourceSort="1" defaultAttributeDrillState="1">
      <items count="4">
        <item x="0"/>
        <item x="1"/>
        <item x="2"/>
        <item t="default"/>
      </items>
    </pivotField>
    <pivotField axis="axisRow" allDrilled="1" showAll="0" dataSourceSort="1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2">
    <field x="2"/>
    <field x="3"/>
  </rowFields>
  <rowItems count="32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/>
    </i>
    <i r="1">
      <x v="1"/>
    </i>
    <i r="1">
      <x v="2"/>
    </i>
    <i r="1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Факт" fld="0" baseField="0" baseItem="0"/>
    <dataField name="План" fld="1" baseField="0" baseItem="0"/>
  </dataFields>
  <formats count="1">
    <format dxfId="76">
      <pivotArea outline="0" collapsedLevelsAreSubtotals="1" fieldPosition="0"/>
    </format>
  </formats>
  <pivotHierarchies count="7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" showRowHeaders="1" showColHeaders="1" showRowStripes="0" showColStripes="0" showLastColumn="1"/>
  <rowHierarchiesUsage count="2">
    <rowHierarchyUsage hierarchyUsage="23"/>
    <rowHierarchyUsage hierarchyUsage="2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ublic mart_plan_fact_history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headers="0" connectionId="8" xr16:uid="{2074CF0F-FF56-47D4-B41D-D3C15BD31E3A}" autoFormatId="16" applyNumberFormats="0" applyBorderFormats="0" applyFontFormats="0" applyPatternFormats="0" applyAlignmentFormats="0" applyWidthHeightFormats="0">
  <queryTableRefresh headersInLastRefresh="0" nextId="6">
    <queryTableFields count="5">
      <queryTableField id="1" name="product_id" tableColumnId="1"/>
      <queryTableField id="2" name="title" tableColumnId="2"/>
      <queryTableField id="3" name="format" tableColumnId="3"/>
      <queryTableField id="4" name="revenue" tableColumnId="4"/>
      <queryTableField id="5" name="rnk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0" xr16:uid="{417DB403-489F-4BA8-AA82-95451C5DFCFF}" autoFormatId="16" applyNumberFormats="0" applyBorderFormats="0" applyFontFormats="0" applyPatternFormats="0" applyAlignmentFormats="0" applyWidthHeightFormats="0">
  <queryTableRefresh nextId="13">
    <queryTableFields count="12">
      <queryTableField id="1" name="product_id" tableColumnId="1"/>
      <queryTableField id="2" name="title" tableColumnId="2"/>
      <queryTableField id="3" name="format" tableColumnId="3"/>
      <queryTableField id="4" name="genre" tableColumnId="4"/>
      <queryTableField id="5" name="publisher" tableColumnId="5"/>
      <queryTableField id="6" name="closing_stock" tableColumnId="6"/>
      <queryTableField id="7" name="is_low_stock" tableColumnId="7"/>
      <queryTableField id="8" name="stock_date" tableColumnId="8"/>
      <queryTableField id="9" name="avg_daily_sales_30d" tableColumnId="9"/>
      <queryTableField id="10" name="days_until_stockout" tableColumnId="10"/>
      <queryTableField id="11" name="recommended_order_qty" tableColumnId="11"/>
      <queryTableField id="12" name="alert_level" tableColumnId="1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6" xr16:uid="{0F4D56BA-6CD0-46AC-862A-9ECCE2C01EF9}" autoFormatId="16" applyNumberFormats="0" applyBorderFormats="0" applyFontFormats="0" applyPatternFormats="0" applyAlignmentFormats="0" applyWidthHeightFormats="0">
  <queryTableRefresh nextId="5">
    <queryTableFields count="4">
      <queryTableField id="1" name="date" tableColumnId="1"/>
      <queryTableField id="2" name="net_revenue" tableColumnId="2"/>
      <queryTableField id="3" name="gross_profit" tableColumnId="3"/>
      <queryTableField id="4" name="orders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F2EE967E-EE77-4B83-8349-C65F850126BF}" autoFormatId="16" applyNumberFormats="0" applyBorderFormats="0" applyFontFormats="0" applyPatternFormats="0" applyAlignmentFormats="0" applyWidthHeightFormats="0">
  <queryTableRefresh nextId="9">
    <queryTableFields count="8">
      <queryTableField id="1" name="day_type" tableColumnId="1"/>
      <queryTableField id="2" name="report_date" tableColumnId="2"/>
      <queryTableField id="3" name="prev_date" tableColumnId="3"/>
      <queryTableField id="4" name="total_revenue" tableColumnId="4"/>
      <queryTableField id="5" name="total_orders" tableColumnId="5"/>
      <queryTableField id="6" name="avg_order_value" tableColumnId="6"/>
      <queryTableField id="7" name="total_gross_profit" tableColumnId="7"/>
      <queryTableField id="8" name="gross_margin" tableColumnId="8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2" xr16:uid="{53587648-71C9-4A84-8AF1-4CA4187FE5A6}" autoFormatId="16" applyNumberFormats="0" applyBorderFormats="0" applyFontFormats="0" applyPatternFormats="0" applyAlignmentFormats="0" applyWidthHeightFormats="0">
  <queryTableRefresh nextId="15">
    <queryTableFields count="14">
      <queryTableField id="1" name="month_start" tableColumnId="1"/>
      <queryTableField id="2" name="month_to_date" tableColumnId="2"/>
      <queryTableField id="3" name="mtd_revenue" tableColumnId="3"/>
      <queryTableField id="4" name="mtd_orders" tableColumnId="4"/>
      <queryTableField id="5" name="mtd_net_qty" tableColumnId="5"/>
      <queryTableField id="6" name="mtd_gross_profit" tableColumnId="6"/>
      <queryTableField id="7" name="mtd_gross_margin" tableColumnId="7"/>
      <queryTableField id="8" name="prev_mtd_revenue" tableColumnId="8"/>
      <queryTableField id="9" name="prev_mtd_orders" tableColumnId="9"/>
      <queryTableField id="10" name="prev_mtd_net_qty" tableColumnId="10"/>
      <queryTableField id="11" name="prev_mtd_gross_profit" tableColumnId="11"/>
      <queryTableField id="12" name="prev_mtd_gross_margin" tableColumnId="12"/>
      <queryTableField id="13" name="mtd_avg_order_value" tableColumnId="13"/>
      <queryTableField id="14" name="prev_mtd_avg_order_valu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EF333B-4FC2-404D-9798-ECA0F83A6C60}" name="public_mart_daily_top" displayName="public_mart_daily_top" ref="B32:F36" tableType="queryTable" headerRowCount="0" totalsRowShown="0" headerRowDxfId="20" dataDxfId="19">
  <tableColumns count="5">
    <tableColumn id="1" xr3:uid="{CEC95800-94D5-4B44-8E06-1CBDECE4FFFA}" uniqueName="1" name="product_id" queryTableFieldId="1" dataDxfId="18"/>
    <tableColumn id="2" xr3:uid="{B1AE5368-7478-4E32-88C6-2D401786B22F}" uniqueName="2" name="title" queryTableFieldId="2" dataDxfId="17"/>
    <tableColumn id="3" xr3:uid="{CC5400F0-43D9-4229-A063-FD65C2A1A532}" uniqueName="3" name="format" queryTableFieldId="3" dataDxfId="16"/>
    <tableColumn id="4" xr3:uid="{822352BF-4854-44D9-ABA0-A7A12BF82CA8}" uniqueName="4" name="revenue" queryTableFieldId="4" dataDxfId="15"/>
    <tableColumn id="5" xr3:uid="{B1251A74-E3EB-4BCB-9063-FEC5F445F583}" uniqueName="5" name="rnk" queryTableFieldId="5" dataDxfId="14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032FBEB-CAF5-4AF2-961A-A8E797506936}" name="public_mart_inventory_alerts" displayName="public_mart_inventory_alerts" ref="B39:M40" tableType="queryTable" insertRow="1" totalsRowShown="0" headerRowDxfId="34" dataDxfId="33">
  <autoFilter ref="B39:M40" xr:uid="{9032FBEB-CAF5-4AF2-961A-A8E797506936}"/>
  <tableColumns count="12">
    <tableColumn id="1" xr3:uid="{348CEFF7-0679-4EE9-9F95-9ED74D3DF53F}" uniqueName="1" name="product_id" queryTableFieldId="1" dataDxfId="46"/>
    <tableColumn id="2" xr3:uid="{74C5941E-FDED-4981-8A4C-EFC2020C79DA}" uniqueName="2" name="title" queryTableFieldId="2" dataDxfId="45"/>
    <tableColumn id="3" xr3:uid="{45495EAD-21B7-4E03-832D-B68080DD7A87}" uniqueName="3" name="format" queryTableFieldId="3" dataDxfId="44"/>
    <tableColumn id="4" xr3:uid="{9D2D83D1-0DC7-44A1-85BB-EEB3357F3D9C}" uniqueName="4" name="genre" queryTableFieldId="4" dataDxfId="43"/>
    <tableColumn id="5" xr3:uid="{F222C2F6-4108-4968-8C1A-D8B288775B8C}" uniqueName="5" name="publisher" queryTableFieldId="5" dataDxfId="42"/>
    <tableColumn id="6" xr3:uid="{17381879-C8B3-4D23-B373-C9629F135849}" uniqueName="6" name="closing_stock" queryTableFieldId="6" dataDxfId="41"/>
    <tableColumn id="7" xr3:uid="{02934DE8-ED45-4AEE-A0D2-6BF76D535A8C}" uniqueName="7" name="is_low_stock" queryTableFieldId="7" dataDxfId="40"/>
    <tableColumn id="8" xr3:uid="{C84255B4-31CC-48CA-A41E-B2EA6E2A1643}" uniqueName="8" name="stock_date" queryTableFieldId="8" dataDxfId="39"/>
    <tableColumn id="9" xr3:uid="{6534143B-F287-4480-B370-2724DE345D6F}" uniqueName="9" name="avg_daily_sales_30d" queryTableFieldId="9" dataDxfId="38"/>
    <tableColumn id="10" xr3:uid="{7F5D7349-0DD1-4EEA-83C7-3DBA3D0C65DA}" uniqueName="10" name="days_until_stockout" queryTableFieldId="10" dataDxfId="37"/>
    <tableColumn id="11" xr3:uid="{5D2989F3-A30B-4F22-AA6B-4EE934E82B73}" uniqueName="11" name="recommended_order_qty" queryTableFieldId="11" dataDxfId="36"/>
    <tableColumn id="12" xr3:uid="{98982591-1B3C-4F70-A0C1-7F6F69D1DAC6}" uniqueName="12" name="alert_level" queryTableFieldId="12" dataDxfId="35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BDD204B-561D-491F-B7ED-3D268DDC2AF0}" name="public_mart_daily_revenue_mtd" displayName="public_mart_daily_revenue_mtd" ref="M7:P21" tableType="queryTable" totalsRowShown="0" headerRowDxfId="32" dataDxfId="31" tableBorderDxfId="6">
  <autoFilter ref="M7:P21" xr:uid="{DBDD204B-561D-491F-B7ED-3D268DDC2AF0}"/>
  <tableColumns count="4">
    <tableColumn id="1" xr3:uid="{809C06A3-10C2-4FAC-8F9F-A5788EEF75C4}" uniqueName="1" name="date" queryTableFieldId="1" dataDxfId="5"/>
    <tableColumn id="2" xr3:uid="{EA329C9C-88EC-48D2-8A09-94ADD1CFB543}" uniqueName="2" name="Чистая выручка" queryTableFieldId="2" dataDxfId="4"/>
    <tableColumn id="3" xr3:uid="{37907BB3-ACD8-441B-93E2-74821276CD1B}" uniqueName="3" name="Валовая прибыль" queryTableFieldId="3" dataDxfId="3"/>
    <tableColumn id="4" xr3:uid="{B0BA91B0-E050-4BEC-8855-C26C0AEF5532}" uniqueName="4" name="Покупок" queryTableFieldId="4" dataDxfId="2"/>
  </tableColumns>
  <tableStyleInfo name="TableStyleLight1 2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51C3F70-05E2-49D2-9CC4-F2B29CB8CE6E}" name="public_mart_daily_pulse" displayName="public_mart_daily_pulse" ref="E3:L5" tableType="queryTable" totalsRowShown="0" headerRowDxfId="88">
  <autoFilter ref="E3:L5" xr:uid="{F51C3F70-05E2-49D2-9CC4-F2B29CB8CE6E}"/>
  <tableColumns count="8">
    <tableColumn id="1" xr3:uid="{EFCBA3F1-7B45-413F-9881-3721C45B6DBA}" uniqueName="1" name="day_type" queryTableFieldId="1" dataDxfId="87"/>
    <tableColumn id="2" xr3:uid="{7E6AE03B-3006-4EB9-8666-68B382CB7DFE}" uniqueName="2" name="report_date" queryTableFieldId="2" dataDxfId="86"/>
    <tableColumn id="3" xr3:uid="{46844FDD-7168-469A-AFEF-DC35EBA8ABDE}" uniqueName="3" name="prev_date" queryTableFieldId="3" dataDxfId="85"/>
    <tableColumn id="4" xr3:uid="{2C0657DD-579A-4BB5-95BC-39C3A3CCBCAA}" uniqueName="4" name="total_revenue" queryTableFieldId="4"/>
    <tableColumn id="5" xr3:uid="{FBA62A40-8243-48F4-9962-9F3D307EC571}" uniqueName="5" name="total_orders" queryTableFieldId="5"/>
    <tableColumn id="6" xr3:uid="{34CDB6FB-AE82-49AA-A8E7-618ACB34714A}" uniqueName="6" name="avg_order_value" queryTableFieldId="6"/>
    <tableColumn id="7" xr3:uid="{D76837B9-9866-49A4-9434-B1EECB8DD0BD}" uniqueName="7" name="total_gross_profit" queryTableFieldId="7"/>
    <tableColumn id="8" xr3:uid="{0EF42113-02E4-4F35-A942-69A5D72BC2DA}" uniqueName="8" name="gross_margin" queryTableFieldId="8"/>
  </tableColumns>
  <tableStyleInfo name="TableStyleLight1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F9AFB0E-0511-458B-A151-D04CDCA167A2}" name="public_mart_mtd_pulse" displayName="public_mart_mtd_pulse" ref="E9:R10" tableType="queryTable" totalsRowShown="0">
  <autoFilter ref="E9:R10" xr:uid="{EF9AFB0E-0511-458B-A151-D04CDCA167A2}"/>
  <tableColumns count="14">
    <tableColumn id="1" xr3:uid="{08ADECDD-3508-4DC6-9E7E-9FF275CFBF12}" uniqueName="1" name="month_start" queryTableFieldId="1" dataDxfId="84"/>
    <tableColumn id="2" xr3:uid="{832904F1-5EF1-463C-8CA7-6B8A5818EB94}" uniqueName="2" name="month_to_date" queryTableFieldId="2" dataDxfId="83"/>
    <tableColumn id="3" xr3:uid="{E387DB32-CEEB-4666-9CF4-1125450044AA}" uniqueName="3" name="mtd_revenue" queryTableFieldId="3"/>
    <tableColumn id="4" xr3:uid="{AAB449FA-7060-4B4C-B01F-9DEAAA1EED6D}" uniqueName="4" name="mtd_orders" queryTableFieldId="4"/>
    <tableColumn id="5" xr3:uid="{202107E5-444F-4D14-92AA-C96AEF48B439}" uniqueName="5" name="mtd_net_qty" queryTableFieldId="5"/>
    <tableColumn id="6" xr3:uid="{B89CCDC9-9D87-4A5E-9B4E-3E68146F94FE}" uniqueName="6" name="mtd_gross_profit" queryTableFieldId="6"/>
    <tableColumn id="7" xr3:uid="{65519D2F-4847-461B-BC91-F98B8D5C736E}" uniqueName="7" name="mtd_gross_margin" queryTableFieldId="7"/>
    <tableColumn id="8" xr3:uid="{3C80EDD0-0A0E-44F4-9D64-6AE60DC91CC2}" uniqueName="8" name="prev_mtd_revenue" queryTableFieldId="8"/>
    <tableColumn id="9" xr3:uid="{85CD4F85-102E-4436-939C-B2441B8CE92D}" uniqueName="9" name="prev_mtd_orders" queryTableFieldId="9"/>
    <tableColumn id="10" xr3:uid="{5C60993E-0201-40E1-BCF8-C6281B74FE3F}" uniqueName="10" name="prev_mtd_net_qty" queryTableFieldId="10"/>
    <tableColumn id="11" xr3:uid="{4C2FFD38-4427-4FEB-843B-D637FA44C3B4}" uniqueName="11" name="prev_mtd_gross_profit" queryTableFieldId="11"/>
    <tableColumn id="12" xr3:uid="{9BE34073-36C6-4CE8-A2DB-C69B05103531}" uniqueName="12" name="prev_mtd_gross_margin" queryTableFieldId="12"/>
    <tableColumn id="13" xr3:uid="{CDCC3692-3A87-4FD3-A903-A1A0847A7FF2}" uniqueName="13" name="mtd_avg_order_value" queryTableFieldId="13"/>
    <tableColumn id="14" xr3:uid="{26C4DE3F-C249-4576-870F-C1FAEB6EFCFE}" uniqueName="14" name="prev_mtd_avg_order_value" queryTableFieldId="14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3.xml"/><Relationship Id="rId5" Type="http://schemas.openxmlformats.org/officeDocument/2006/relationships/table" Target="../tables/table2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50"/>
  <sheetViews>
    <sheetView showGridLines="0" tabSelected="1" zoomScaleNormal="100" workbookViewId="0">
      <selection activeCell="R36" sqref="R36"/>
    </sheetView>
  </sheetViews>
  <sheetFormatPr defaultRowHeight="13" x14ac:dyDescent="0.35"/>
  <cols>
    <col min="1" max="1" width="4.6328125" style="27" customWidth="1"/>
    <col min="2" max="2" width="16.6328125" style="27" customWidth="1"/>
    <col min="3" max="3" width="8.90625" style="27" customWidth="1"/>
    <col min="4" max="4" width="4.6328125" style="27" customWidth="1"/>
    <col min="5" max="5" width="16.36328125" style="28" customWidth="1"/>
    <col min="6" max="6" width="5.7265625" style="27" customWidth="1"/>
    <col min="7" max="7" width="4.6328125" style="27" customWidth="1"/>
    <col min="8" max="8" width="13" style="27" customWidth="1"/>
    <col min="9" max="9" width="10.7265625" style="27" customWidth="1"/>
    <col min="10" max="10" width="10.90625" style="27" customWidth="1"/>
    <col min="11" max="11" width="12.26953125" style="27" customWidth="1"/>
    <col min="12" max="12" width="4.6328125" style="27" customWidth="1"/>
    <col min="13" max="13" width="11.54296875" style="27" customWidth="1"/>
    <col min="14" max="14" width="11.26953125" style="27" customWidth="1"/>
    <col min="15" max="16384" width="8.7265625" style="27"/>
  </cols>
  <sheetData>
    <row r="2" spans="2:16" x14ac:dyDescent="0.35">
      <c r="B2" s="26" t="s">
        <v>116</v>
      </c>
    </row>
    <row r="3" spans="2:16" x14ac:dyDescent="0.35">
      <c r="B3" s="27" t="str">
        <f>Данные!E27&amp;" "&amp;Данные!C3</f>
        <v>Апрель 2026</v>
      </c>
      <c r="J3" s="29" t="s">
        <v>42</v>
      </c>
      <c r="K3" s="30">
        <f>Данные!C2</f>
        <v>46126</v>
      </c>
    </row>
    <row r="6" spans="2:16" x14ac:dyDescent="0.35">
      <c r="B6" s="26" t="s">
        <v>113</v>
      </c>
      <c r="H6" s="61" t="s">
        <v>58</v>
      </c>
      <c r="I6" s="31"/>
      <c r="J6" s="31"/>
      <c r="K6" s="31"/>
      <c r="M6" s="26" t="s">
        <v>114</v>
      </c>
    </row>
    <row r="7" spans="2:16" x14ac:dyDescent="0.35">
      <c r="B7" s="32"/>
      <c r="C7" s="33" t="s">
        <v>55</v>
      </c>
      <c r="D7" s="32"/>
      <c r="E7" s="34"/>
      <c r="F7" s="33" t="s">
        <v>54</v>
      </c>
      <c r="G7" s="29"/>
      <c r="M7" s="66" t="s">
        <v>98</v>
      </c>
      <c r="N7" s="66" t="s">
        <v>85</v>
      </c>
      <c r="O7" s="66" t="s">
        <v>47</v>
      </c>
      <c r="P7" s="66" t="s">
        <v>115</v>
      </c>
    </row>
    <row r="8" spans="2:16" x14ac:dyDescent="0.35">
      <c r="H8" s="69">
        <f>E9/K8</f>
        <v>0.48031757000090086</v>
      </c>
      <c r="I8" s="70"/>
      <c r="J8" s="71"/>
      <c r="K8" s="67">
        <f>GETPIVOTDATA("[Measures].[Сумма по столбцу plan_amount]",Данные!$H$13)</f>
        <v>14118465.810000001</v>
      </c>
      <c r="M8" s="75">
        <v>46113</v>
      </c>
      <c r="N8" s="76">
        <v>477417.99</v>
      </c>
      <c r="O8" s="76">
        <v>274303.94</v>
      </c>
      <c r="P8" s="76">
        <v>306</v>
      </c>
    </row>
    <row r="9" spans="2:16" x14ac:dyDescent="0.35">
      <c r="B9" s="62">
        <f>Данные!H4</f>
        <v>456149.43</v>
      </c>
      <c r="E9" s="62" cm="1">
        <f t="array" ref="E9">public_mart_mtd_pulse[mtd_revenue]</f>
        <v>6781347.1900000004</v>
      </c>
      <c r="H9" s="72"/>
      <c r="I9" s="73"/>
      <c r="J9" s="74"/>
      <c r="K9" s="68" t="s">
        <v>60</v>
      </c>
      <c r="M9" s="75">
        <v>46114</v>
      </c>
      <c r="N9" s="76">
        <v>457417.23</v>
      </c>
      <c r="O9" s="76">
        <v>267560.88</v>
      </c>
      <c r="P9" s="76">
        <v>276</v>
      </c>
    </row>
    <row r="10" spans="2:16" ht="14.5" x14ac:dyDescent="0.35">
      <c r="B10" s="36">
        <f>Данные!H4-Данные!H5</f>
        <v>-55490.910000000033</v>
      </c>
      <c r="E10" s="36" cm="1">
        <f t="array" ref="E10">public_mart_mtd_pulse[mtd_revenue]-public_mart_mtd_pulse[prev_mtd_revenue]</f>
        <v>-5731.859999999404</v>
      </c>
      <c r="I10" s="66"/>
      <c r="M10" s="75">
        <v>46115</v>
      </c>
      <c r="N10" s="76">
        <v>540786.09</v>
      </c>
      <c r="O10" s="76">
        <v>313030.34000000003</v>
      </c>
      <c r="P10" s="76">
        <v>332</v>
      </c>
    </row>
    <row r="11" spans="2:16" x14ac:dyDescent="0.35">
      <c r="B11" s="37" t="s">
        <v>44</v>
      </c>
      <c r="C11" s="38">
        <f>Данные!H4/Данные!H5-1</f>
        <v>-0.10845687030854534</v>
      </c>
      <c r="E11" s="37" t="s">
        <v>44</v>
      </c>
      <c r="F11" s="39" cm="1">
        <f t="array" ref="F11">public_mart_mtd_pulse[mtd_revenue]/public_mart_mtd_pulse[prev_mtd_revenue]-1</f>
        <v>-8.445253042985712E-4</v>
      </c>
      <c r="M11" s="75">
        <v>46116</v>
      </c>
      <c r="N11" s="76">
        <v>527045.55000000005</v>
      </c>
      <c r="O11" s="76">
        <v>284616.90000000002</v>
      </c>
      <c r="P11" s="76">
        <v>310</v>
      </c>
    </row>
    <row r="12" spans="2:16" x14ac:dyDescent="0.35">
      <c r="B12" s="28"/>
      <c r="H12" s="62">
        <f>E9/Данные!C5*Данные!C6</f>
        <v>14531458.264285715</v>
      </c>
      <c r="M12" s="75">
        <v>46117</v>
      </c>
      <c r="N12" s="76">
        <v>473509.46</v>
      </c>
      <c r="O12" s="76">
        <v>264130.76</v>
      </c>
      <c r="P12" s="76">
        <v>303</v>
      </c>
    </row>
    <row r="13" spans="2:16" x14ac:dyDescent="0.35">
      <c r="B13" s="62">
        <f>Данные!I4</f>
        <v>434</v>
      </c>
      <c r="E13" s="62" cm="1">
        <f t="array" ref="E13">public_mart_mtd_pulse[mtd_orders]</f>
        <v>4234</v>
      </c>
      <c r="H13" s="40">
        <f>H12/K8</f>
        <v>1.029251935716216</v>
      </c>
      <c r="M13" s="75">
        <v>46118</v>
      </c>
      <c r="N13" s="76">
        <v>480800.75</v>
      </c>
      <c r="O13" s="76">
        <v>272374.09999999998</v>
      </c>
      <c r="P13" s="76">
        <v>301</v>
      </c>
    </row>
    <row r="14" spans="2:16" ht="14.5" x14ac:dyDescent="0.35">
      <c r="B14" s="36">
        <f>Данные!I4-Данные!I5</f>
        <v>-33</v>
      </c>
      <c r="E14" s="36" cm="1">
        <f t="array" ref="E14">public_mart_mtd_pulse[mtd_orders]-public_mart_mtd_pulse[prev_mtd_orders]</f>
        <v>108</v>
      </c>
      <c r="H14" s="37" t="s">
        <v>61</v>
      </c>
      <c r="I14" s="41"/>
      <c r="M14" s="75">
        <v>46119</v>
      </c>
      <c r="N14" s="76">
        <v>565194.02</v>
      </c>
      <c r="O14" s="76">
        <v>317143.12</v>
      </c>
      <c r="P14" s="76">
        <v>324</v>
      </c>
    </row>
    <row r="15" spans="2:16" x14ac:dyDescent="0.35">
      <c r="B15" s="37" t="s">
        <v>115</v>
      </c>
      <c r="C15" s="39">
        <f>Данные!I4/Данные!I5-1</f>
        <v>-7.0663811563169143E-2</v>
      </c>
      <c r="E15" s="37" t="s">
        <v>115</v>
      </c>
      <c r="F15" s="39" cm="1">
        <f t="array" ref="F15">public_mart_mtd_pulse[mtd_orders]/public_mart_mtd_pulse[prev_mtd_orders]-1</f>
        <v>2.6175472612699924E-2</v>
      </c>
      <c r="M15" s="75">
        <v>46120</v>
      </c>
      <c r="N15" s="76">
        <v>481399.15</v>
      </c>
      <c r="O15" s="76">
        <v>269888.3</v>
      </c>
      <c r="P15" s="76">
        <v>297</v>
      </c>
    </row>
    <row r="16" spans="2:16" x14ac:dyDescent="0.35">
      <c r="B16" s="28"/>
      <c r="M16" s="75">
        <v>46121</v>
      </c>
      <c r="N16" s="76">
        <v>452385.45</v>
      </c>
      <c r="O16" s="76">
        <v>255173.65</v>
      </c>
      <c r="P16" s="76">
        <v>322</v>
      </c>
    </row>
    <row r="17" spans="2:16" x14ac:dyDescent="0.35">
      <c r="B17" s="62">
        <f>Данные!J4</f>
        <v>1051.04</v>
      </c>
      <c r="E17" s="62" cm="1">
        <f t="array" ref="E17">public_mart_mtd_pulse[mtd_avg_order_value]</f>
        <v>1601.64</v>
      </c>
      <c r="H17" s="63" t="s">
        <v>76</v>
      </c>
      <c r="M17" s="75">
        <v>46122</v>
      </c>
      <c r="N17" s="76">
        <v>435220.77</v>
      </c>
      <c r="O17" s="76">
        <v>243035.12</v>
      </c>
      <c r="P17" s="76">
        <v>279</v>
      </c>
    </row>
    <row r="18" spans="2:16" ht="14.5" x14ac:dyDescent="0.35">
      <c r="B18" s="36">
        <f>Данные!J4-Данные!J5</f>
        <v>-44.549999999999955</v>
      </c>
      <c r="E18" s="36" cm="1">
        <f t="array" ref="E18">public_mart_mtd_pulse[mtd_avg_order_value]-public_mart_mtd_pulse[prev_mtd_avg_order_value]</f>
        <v>-43.309999999999945</v>
      </c>
      <c r="H18" s="42" t="s">
        <v>79</v>
      </c>
      <c r="I18" s="29" t="s">
        <v>59</v>
      </c>
      <c r="J18" s="29" t="s">
        <v>60</v>
      </c>
      <c r="K18" s="43" t="s">
        <v>75</v>
      </c>
      <c r="M18" s="75">
        <v>46123</v>
      </c>
      <c r="N18" s="76">
        <v>487648.31</v>
      </c>
      <c r="O18" s="76">
        <v>265837.71000000002</v>
      </c>
      <c r="P18" s="76">
        <v>283</v>
      </c>
    </row>
    <row r="19" spans="2:16" x14ac:dyDescent="0.35">
      <c r="B19" s="37" t="s">
        <v>45</v>
      </c>
      <c r="C19" s="39">
        <f>Данные!J4/Данные!J5-1</f>
        <v>-4.0663021750837358E-2</v>
      </c>
      <c r="E19" s="37" t="s">
        <v>45</v>
      </c>
      <c r="F19" s="39" cm="1">
        <f t="array" ref="F19">public_mart_mtd_pulse[mtd_avg_order_value]/public_mart_mtd_pulse[prev_mtd_avg_order_value]-1</f>
        <v>-2.632906775281918E-2</v>
      </c>
      <c r="H19" s="28" t="s">
        <v>30</v>
      </c>
      <c r="I19" s="44">
        <v>3385419.52</v>
      </c>
      <c r="J19" s="44">
        <v>7128427.3799999999</v>
      </c>
      <c r="K19" s="45">
        <f>GETPIVOTDATA("[Measures].[Сумма по столбцу fact_amount]",$H$18,"[public mart_plan_fact].[format]","[public mart_plan_fact].[format].&amp;[Audiobook]")/GETPIVOTDATA("[Measures].[Сумма по столбцу plan_amount]",$H$18,"[public mart_plan_fact].[format]","[public mart_plan_fact].[format].&amp;[Audiobook]")</f>
        <v>0.47491814667262555</v>
      </c>
      <c r="M19" s="75">
        <v>46124</v>
      </c>
      <c r="N19" s="76">
        <v>434732.65</v>
      </c>
      <c r="O19" s="76">
        <v>244450.05</v>
      </c>
      <c r="P19" s="76">
        <v>292</v>
      </c>
    </row>
    <row r="20" spans="2:16" x14ac:dyDescent="0.35">
      <c r="H20" s="28" t="s">
        <v>77</v>
      </c>
      <c r="I20" s="44">
        <v>327</v>
      </c>
      <c r="J20" s="44">
        <v>3658.98</v>
      </c>
      <c r="K20" s="46">
        <f>GETPIVOTDATA("[Measures].[Сумма по столбцу fact_amount]",$H$18,"[public mart_plan_fact].[format]","[public mart_plan_fact].[format].&amp;[eBook]")/GETPIVOTDATA("[Measures].[Сумма по столбцу plan_amount]",$H$18,"[public mart_plan_fact].[format]","[public mart_plan_fact].[format].&amp;[eBook]")</f>
        <v>8.9369168456783041E-2</v>
      </c>
      <c r="M20" s="75">
        <v>46125</v>
      </c>
      <c r="N20" s="76">
        <v>511640.34</v>
      </c>
      <c r="O20" s="76">
        <v>281654.94</v>
      </c>
      <c r="P20" s="76">
        <v>317</v>
      </c>
    </row>
    <row r="21" spans="2:16" x14ac:dyDescent="0.35">
      <c r="B21" s="62">
        <f>Данные!K4</f>
        <v>255547.83</v>
      </c>
      <c r="E21" s="62" cm="1">
        <f t="array" ref="E21">public_mart_mtd_pulse[mtd_gross_profit]</f>
        <v>3808747.64</v>
      </c>
      <c r="H21" s="28" t="s">
        <v>28</v>
      </c>
      <c r="I21" s="44">
        <v>2673599.34</v>
      </c>
      <c r="J21" s="44">
        <v>6395943.5499999998</v>
      </c>
      <c r="K21" s="46">
        <f>GETPIVOTDATA("[Measures].[Сумма по столбцу fact_amount]",$H$18,"[public mart_plan_fact].[format]","[public mart_plan_fact].[format].&amp;[Hardcover]")/GETPIVOTDATA("[Measures].[Сумма по столбцу plan_amount]",$H$18,"[public mart_plan_fact].[format]","[public mart_plan_fact].[format].&amp;[Hardcover]")</f>
        <v>0.41801484317352988</v>
      </c>
      <c r="M21" s="75">
        <v>46126</v>
      </c>
      <c r="N21" s="76">
        <v>456149.43</v>
      </c>
      <c r="O21" s="76">
        <v>255547.83</v>
      </c>
      <c r="P21" s="76">
        <v>292</v>
      </c>
    </row>
    <row r="22" spans="2:16" ht="14.5" x14ac:dyDescent="0.35">
      <c r="B22" s="36">
        <f>Данные!K4-Данные!K5</f>
        <v>-26107.110000000015</v>
      </c>
      <c r="E22" s="36" cm="1">
        <f t="array" ref="E22">public_mart_mtd_pulse[mtd_gross_profit]-public_mart_mtd_pulse[prev_mtd_gross_profit]</f>
        <v>11320.939999999944</v>
      </c>
      <c r="H22" s="48" t="s">
        <v>78</v>
      </c>
      <c r="I22" s="49">
        <v>238812.33</v>
      </c>
      <c r="J22" s="49">
        <v>590435.9</v>
      </c>
      <c r="K22" s="50">
        <f>GETPIVOTDATA("[Measures].[Сумма по столбцу fact_amount]",$H$18,"[public mart_plan_fact].[format]","[public mart_plan_fact].[format].&amp;[Paperback]")/GETPIVOTDATA("[Measures].[Сумма по столбцу plan_amount]",$H$18,"[public mart_plan_fact].[format]","[public mart_plan_fact].[format].&amp;[Paperback]")</f>
        <v>0.40446783469636582</v>
      </c>
    </row>
    <row r="23" spans="2:16" x14ac:dyDescent="0.35">
      <c r="B23" s="47" t="s">
        <v>47</v>
      </c>
      <c r="C23" s="39">
        <f>Данные!K4/Данные!K5-1</f>
        <v>-9.2691823548346153E-2</v>
      </c>
      <c r="E23" s="37" t="s">
        <v>47</v>
      </c>
      <c r="F23" s="39" cm="1">
        <f t="array" ref="F23">public_mart_mtd_pulse[mtd_gross_profit]/public_mart_mtd_pulse[prev_mtd_gross_profit]-1</f>
        <v>2.9812135675981732E-3</v>
      </c>
    </row>
    <row r="25" spans="2:16" x14ac:dyDescent="0.35">
      <c r="B25" s="64">
        <f>Данные!L4</f>
        <v>0.56020000000000003</v>
      </c>
      <c r="E25" s="64" cm="1">
        <f t="array" ref="E25">public_mart_mtd_pulse[mtd_gross_margin]</f>
        <v>0.56169999999999998</v>
      </c>
      <c r="H25" s="63" t="s">
        <v>62</v>
      </c>
      <c r="I25" s="29"/>
      <c r="J25" s="29"/>
      <c r="K25" s="29"/>
    </row>
    <row r="26" spans="2:16" ht="14.5" x14ac:dyDescent="0.35">
      <c r="B26" s="52">
        <f>Данные!L4-Данные!L5</f>
        <v>9.7000000000000419E-3</v>
      </c>
      <c r="E26" s="52" cm="1">
        <f t="array" ref="E26">public_mart_mtd_pulse[mtd_gross_margin]-public_mart_mtd_pulse[prev_mtd_gross_margin]</f>
        <v>2.1999999999999797E-3</v>
      </c>
      <c r="H26" s="42" t="s">
        <v>74</v>
      </c>
      <c r="I26" s="29" t="s">
        <v>59</v>
      </c>
      <c r="J26" s="29" t="s">
        <v>60</v>
      </c>
      <c r="K26" s="43" t="s">
        <v>75</v>
      </c>
    </row>
    <row r="27" spans="2:16" ht="14.5" x14ac:dyDescent="0.35">
      <c r="B27" s="47" t="s">
        <v>48</v>
      </c>
      <c r="C27" s="47"/>
      <c r="E27" s="37" t="s">
        <v>48</v>
      </c>
      <c r="F27" s="47"/>
      <c r="H27" s="28" t="s">
        <v>63</v>
      </c>
      <c r="I27" s="35">
        <v>570899.41</v>
      </c>
      <c r="J27" s="35">
        <v>1180062.5</v>
      </c>
      <c r="K27" s="53">
        <f>GETPIVOTDATA("[Measures].[Сумма по столбцу fact_amount]",$H$26,"[public mart_plan_fact].[genre]","[public mart_plan_fact].[genre].&amp;[Biography]")/GETPIVOTDATA("[Measures].[Сумма по столбцу plan_amount]",$H$26,"[public mart_plan_fact].[genre]","[public mart_plan_fact].[genre].&amp;[Biography]")</f>
        <v>0.48378743498755367</v>
      </c>
      <c r="M27"/>
      <c r="N27"/>
      <c r="O27" s="26"/>
    </row>
    <row r="28" spans="2:16" ht="14.5" x14ac:dyDescent="0.35">
      <c r="H28" s="28" t="s">
        <v>64</v>
      </c>
      <c r="I28" s="35">
        <v>387079.23</v>
      </c>
      <c r="J28" s="35">
        <v>857437.08</v>
      </c>
      <c r="K28" s="46">
        <f>GETPIVOTDATA("[Measures].[Сумма по столбцу fact_amount]",$H$26,"[public mart_plan_fact].[genre]","[public mart_plan_fact].[genre].&amp;[Business]")/GETPIVOTDATA("[Measures].[Сумма по столбцу plan_amount]",$H$26,"[public mart_plan_fact].[genre]","[public mart_plan_fact].[genre].&amp;[Business]")</f>
        <v>0.45143747457247824</v>
      </c>
      <c r="M28"/>
      <c r="N28"/>
    </row>
    <row r="29" spans="2:16" x14ac:dyDescent="0.35">
      <c r="H29" s="28" t="s">
        <v>65</v>
      </c>
      <c r="I29" s="35">
        <v>835334.01</v>
      </c>
      <c r="J29" s="35">
        <v>1863203.44</v>
      </c>
      <c r="K29" s="46">
        <f>GETPIVOTDATA("[Measures].[Сумма по столбцу fact_amount]",$H$26,"[public mart_plan_fact].[genre]","[public mart_plan_fact].[genre].&amp;[Children]")/GETPIVOTDATA("[Measures].[Сумма по столбцу plan_amount]",$H$26,"[public mart_plan_fact].[genre]","[public mart_plan_fact].[genre].&amp;[Children]")</f>
        <v>0.4483321531437276</v>
      </c>
    </row>
    <row r="30" spans="2:16" x14ac:dyDescent="0.35">
      <c r="B30" s="65" t="s">
        <v>80</v>
      </c>
      <c r="H30" s="28" t="s">
        <v>66</v>
      </c>
      <c r="I30" s="35">
        <v>740545.76</v>
      </c>
      <c r="J30" s="35">
        <v>1708479.68</v>
      </c>
      <c r="K30" s="46">
        <f>GETPIVOTDATA("[Measures].[Сумма по столбцу fact_amount]",$H$26,"[public mart_plan_fact].[genre]","[public mart_plan_fact].[genre].&amp;[Fantasy]")/GETPIVOTDATA("[Measures].[Сумма по столбцу plan_amount]",$H$26,"[public mart_plan_fact].[genre]","[public mart_plan_fact].[genre].&amp;[Fantasy]")</f>
        <v>0.43345306863702354</v>
      </c>
    </row>
    <row r="31" spans="2:16" x14ac:dyDescent="0.35">
      <c r="B31" s="56" t="s">
        <v>83</v>
      </c>
      <c r="C31" s="56" t="s">
        <v>81</v>
      </c>
      <c r="D31" s="56" t="s">
        <v>79</v>
      </c>
      <c r="E31" s="57" t="s">
        <v>44</v>
      </c>
      <c r="F31" s="57" t="s">
        <v>82</v>
      </c>
      <c r="H31" s="28" t="s">
        <v>67</v>
      </c>
      <c r="I31" s="35">
        <v>589200.25</v>
      </c>
      <c r="J31" s="35">
        <v>1335500.68</v>
      </c>
      <c r="K31" s="46">
        <f>GETPIVOTDATA("[Measures].[Сумма по столбцу fact_amount]",$H$26,"[public mart_plan_fact].[genre]","[public mart_plan_fact].[genre].&amp;[Fiction]")/GETPIVOTDATA("[Measures].[Сумма по столбцу plan_amount]",$H$26,"[public mart_plan_fact].[genre]","[public mart_plan_fact].[genre].&amp;[Fiction]")</f>
        <v>0.44118304005655767</v>
      </c>
    </row>
    <row r="32" spans="2:16" x14ac:dyDescent="0.35">
      <c r="B32" s="28">
        <v>952</v>
      </c>
      <c r="C32" s="27" t="s">
        <v>25</v>
      </c>
      <c r="D32" s="27" t="s">
        <v>26</v>
      </c>
      <c r="E32" s="44">
        <v>19950</v>
      </c>
      <c r="F32" s="29">
        <v>1</v>
      </c>
      <c r="G32" s="54"/>
      <c r="H32" s="28" t="s">
        <v>68</v>
      </c>
      <c r="I32" s="35">
        <v>479000.99</v>
      </c>
      <c r="J32" s="35">
        <v>1072567.98</v>
      </c>
      <c r="K32" s="46">
        <f>GETPIVOTDATA("[Measures].[Сумма по столбцу fact_amount]",$H$26,"[public mart_plan_fact].[genre]","[public mart_plan_fact].[genre].&amp;[History]")/GETPIVOTDATA("[Measures].[Сумма по столбцу plan_amount]",$H$26,"[public mart_plan_fact].[genre]","[public mart_plan_fact].[genre].&amp;[History]")</f>
        <v>0.44659266259281766</v>
      </c>
      <c r="L32" s="55"/>
    </row>
    <row r="33" spans="2:13" x14ac:dyDescent="0.35">
      <c r="B33" s="28">
        <v>789</v>
      </c>
      <c r="C33" s="27" t="s">
        <v>27</v>
      </c>
      <c r="D33" s="27" t="s">
        <v>28</v>
      </c>
      <c r="E33" s="44">
        <v>9796</v>
      </c>
      <c r="F33" s="29">
        <v>2</v>
      </c>
      <c r="G33" s="29"/>
      <c r="H33" s="28" t="s">
        <v>69</v>
      </c>
      <c r="I33" s="35">
        <v>597056.37</v>
      </c>
      <c r="J33" s="35">
        <v>1385769.67</v>
      </c>
      <c r="K33" s="46">
        <f>GETPIVOTDATA("[Measures].[Сумма по столбцу fact_amount]",$H$26,"[public mart_plan_fact].[genre]","[public mart_plan_fact].[genre].&amp;[Mystery]")/GETPIVOTDATA("[Measures].[Сумма по столбцу plan_amount]",$H$26,"[public mart_plan_fact].[genre]","[public mart_plan_fact].[genre].&amp;[Mystery]")</f>
        <v>0.43084820149080044</v>
      </c>
      <c r="L33" s="53"/>
    </row>
    <row r="34" spans="2:13" x14ac:dyDescent="0.35">
      <c r="B34" s="28">
        <v>888</v>
      </c>
      <c r="C34" s="27" t="s">
        <v>29</v>
      </c>
      <c r="D34" s="27" t="s">
        <v>30</v>
      </c>
      <c r="E34" s="44">
        <v>8838.08</v>
      </c>
      <c r="F34" s="29">
        <v>3</v>
      </c>
      <c r="G34" s="29"/>
      <c r="H34" s="28" t="s">
        <v>70</v>
      </c>
      <c r="I34" s="35">
        <v>667693.18000000005</v>
      </c>
      <c r="J34" s="35">
        <v>1571101.24</v>
      </c>
      <c r="K34" s="46">
        <f>GETPIVOTDATA("[Measures].[Сумма по столбцу fact_amount]",$H$26,"[public mart_plan_fact].[genre]","[public mart_plan_fact].[genre].&amp;[Poetry]")/GETPIVOTDATA("[Measures].[Сумма по столбцу plan_amount]",$H$26,"[public mart_plan_fact].[genre]","[public mart_plan_fact].[genre].&amp;[Poetry]")</f>
        <v>0.42498418497842955</v>
      </c>
      <c r="L34" s="53"/>
    </row>
    <row r="35" spans="2:13" x14ac:dyDescent="0.35">
      <c r="B35" s="28">
        <v>749</v>
      </c>
      <c r="C35" s="27" t="s">
        <v>31</v>
      </c>
      <c r="D35" s="27" t="s">
        <v>28</v>
      </c>
      <c r="E35" s="44">
        <v>8365</v>
      </c>
      <c r="F35" s="29">
        <v>4</v>
      </c>
      <c r="G35" s="29"/>
      <c r="H35" s="28" t="s">
        <v>71</v>
      </c>
      <c r="I35" s="35">
        <v>728848.48</v>
      </c>
      <c r="J35" s="35">
        <v>1714514.23</v>
      </c>
      <c r="K35" s="46">
        <f>GETPIVOTDATA("[Measures].[Сумма по столбцу fact_amount]",$H$26,"[public mart_plan_fact].[genre]","[public mart_plan_fact].[genre].&amp;[Romance]")/GETPIVOTDATA("[Measures].[Сумма по столбцу plan_amount]",$H$26,"[public mart_plan_fact].[genre]","[public mart_plan_fact].[genre].&amp;[Romance]")</f>
        <v>0.42510494648971214</v>
      </c>
      <c r="L35" s="53"/>
    </row>
    <row r="36" spans="2:13" x14ac:dyDescent="0.35">
      <c r="B36" s="28">
        <v>755</v>
      </c>
      <c r="C36" s="27" t="s">
        <v>32</v>
      </c>
      <c r="D36" s="27" t="s">
        <v>28</v>
      </c>
      <c r="E36" s="44">
        <v>7413</v>
      </c>
      <c r="F36" s="29">
        <v>5</v>
      </c>
      <c r="H36" s="48" t="s">
        <v>72</v>
      </c>
      <c r="I36" s="59">
        <v>702500.51</v>
      </c>
      <c r="J36" s="59">
        <v>1429829.31</v>
      </c>
      <c r="K36" s="60">
        <f>GETPIVOTDATA("[Measures].[Сумма по столбцу fact_amount]",$H$26,"[public mart_plan_fact].[genre]","[public mart_plan_fact].[genre].&amp;[Science]")/GETPIVOTDATA("[Measures].[Сумма по столбцу plan_amount]",$H$26,"[public mart_plan_fact].[genre]","[public mart_plan_fact].[genre].&amp;[Science]")</f>
        <v>0.49131774337455703</v>
      </c>
      <c r="L36" s="58"/>
    </row>
    <row r="38" spans="2:13" x14ac:dyDescent="0.35">
      <c r="B38" s="26" t="s">
        <v>84</v>
      </c>
      <c r="E38" s="27"/>
    </row>
    <row r="39" spans="2:13" x14ac:dyDescent="0.35">
      <c r="B39" s="27" t="s">
        <v>22</v>
      </c>
      <c r="C39" s="27" t="s">
        <v>23</v>
      </c>
      <c r="D39" s="27" t="s">
        <v>24</v>
      </c>
      <c r="E39" s="27" t="s">
        <v>33</v>
      </c>
      <c r="F39" s="27" t="s">
        <v>34</v>
      </c>
      <c r="G39" s="27" t="s">
        <v>35</v>
      </c>
      <c r="H39" s="27" t="s">
        <v>36</v>
      </c>
      <c r="I39" s="27" t="s">
        <v>37</v>
      </c>
      <c r="J39" s="27" t="s">
        <v>38</v>
      </c>
      <c r="K39" s="27" t="s">
        <v>39</v>
      </c>
      <c r="L39" s="27" t="s">
        <v>40</v>
      </c>
      <c r="M39" s="27" t="s">
        <v>41</v>
      </c>
    </row>
    <row r="40" spans="2:13" x14ac:dyDescent="0.35">
      <c r="E40" s="27"/>
      <c r="I40" s="51"/>
    </row>
    <row r="41" spans="2:13" x14ac:dyDescent="0.35">
      <c r="E41" s="27"/>
    </row>
    <row r="42" spans="2:13" x14ac:dyDescent="0.35">
      <c r="L42" s="53"/>
    </row>
    <row r="43" spans="2:13" x14ac:dyDescent="0.35">
      <c r="L43" s="53"/>
    </row>
    <row r="44" spans="2:13" x14ac:dyDescent="0.35">
      <c r="L44" s="53"/>
    </row>
    <row r="45" spans="2:13" x14ac:dyDescent="0.35">
      <c r="L45" s="53"/>
    </row>
    <row r="46" spans="2:13" x14ac:dyDescent="0.35">
      <c r="L46" s="53"/>
    </row>
    <row r="47" spans="2:13" x14ac:dyDescent="0.35">
      <c r="L47" s="53"/>
    </row>
    <row r="48" spans="2:13" x14ac:dyDescent="0.35">
      <c r="L48" s="53"/>
    </row>
    <row r="49" spans="12:12" x14ac:dyDescent="0.35">
      <c r="L49" s="53"/>
    </row>
    <row r="50" spans="12:12" x14ac:dyDescent="0.35">
      <c r="L50" s="58"/>
    </row>
  </sheetData>
  <mergeCells count="1">
    <mergeCell ref="H8:J9"/>
  </mergeCells>
  <conditionalFormatting sqref="B10 E10 B14 E14 B18 E18 B22 E22 B26 E26">
    <cfRule type="cellIs" dxfId="1" priority="8" operator="greaterThan">
      <formula>0</formula>
    </cfRule>
    <cfRule type="cellIs" dxfId="0" priority="9" operator="lessThan">
      <formula>0</formula>
    </cfRule>
  </conditionalFormatting>
  <conditionalFormatting sqref="H8">
    <cfRule type="dataBar" priority="6">
      <dataBar>
        <cfvo type="min"/>
        <cfvo type="num" val="1"/>
        <color rgb="FFB9CFC5"/>
      </dataBar>
      <extLst>
        <ext xmlns:x14="http://schemas.microsoft.com/office/spreadsheetml/2009/9/main" uri="{B025F937-C7B1-47D3-B67F-A62EFF666E3E}">
          <x14:id>{123F8C63-BD14-4F01-B3CF-5C31E3D75759}</x14:id>
        </ext>
      </extLst>
    </cfRule>
  </conditionalFormatting>
  <conditionalFormatting sqref="K19:K22">
    <cfRule type="dataBar" priority="5">
      <dataBar>
        <cfvo type="min"/>
        <cfvo type="num" val="1"/>
        <color rgb="FFB9CFC5"/>
      </dataBar>
      <extLst>
        <ext xmlns:x14="http://schemas.microsoft.com/office/spreadsheetml/2009/9/main" uri="{B025F937-C7B1-47D3-B67F-A62EFF666E3E}">
          <x14:id>{39FA5843-E8F1-4F33-B2F8-307C272B3135}</x14:id>
        </ext>
      </extLst>
    </cfRule>
  </conditionalFormatting>
  <conditionalFormatting sqref="K27:K36">
    <cfRule type="dataBar" priority="4">
      <dataBar>
        <cfvo type="min"/>
        <cfvo type="num" val="1"/>
        <color rgb="FFB9CFC5"/>
      </dataBar>
      <extLst>
        <ext xmlns:x14="http://schemas.microsoft.com/office/spreadsheetml/2009/9/main" uri="{B025F937-C7B1-47D3-B67F-A62EFF666E3E}">
          <x14:id>{A7B61366-C8C8-49F8-9CDE-35FACFF8FBD7}</x14:id>
        </ext>
      </extLst>
    </cfRule>
  </conditionalFormatting>
  <conditionalFormatting sqref="N8:N21">
    <cfRule type="dataBar" priority="3">
      <dataBar>
        <cfvo type="min"/>
        <cfvo type="max"/>
        <color rgb="FFB9CFC5"/>
      </dataBar>
      <extLst>
        <ext xmlns:x14="http://schemas.microsoft.com/office/spreadsheetml/2009/9/main" uri="{B025F937-C7B1-47D3-B67F-A62EFF666E3E}">
          <x14:id>{26F1DFBF-A0EF-4F11-85AF-34FC31C12B60}</x14:id>
        </ext>
      </extLst>
    </cfRule>
  </conditionalFormatting>
  <conditionalFormatting sqref="O8:O21">
    <cfRule type="dataBar" priority="2">
      <dataBar>
        <cfvo type="min"/>
        <cfvo type="max"/>
        <color rgb="FFFAE1CE"/>
      </dataBar>
      <extLst>
        <ext xmlns:x14="http://schemas.microsoft.com/office/spreadsheetml/2009/9/main" uri="{B025F937-C7B1-47D3-B67F-A62EFF666E3E}">
          <x14:id>{BD575566-8175-476C-AE21-4ED7E5637795}</x14:id>
        </ext>
      </extLst>
    </cfRule>
  </conditionalFormatting>
  <conditionalFormatting sqref="P8:P21">
    <cfRule type="dataBar" priority="1">
      <dataBar>
        <cfvo type="min"/>
        <cfvo type="max"/>
        <color theme="2"/>
      </dataBar>
      <extLst>
        <ext xmlns:x14="http://schemas.microsoft.com/office/spreadsheetml/2009/9/main" uri="{B025F937-C7B1-47D3-B67F-A62EFF666E3E}">
          <x14:id>{5C14FBF8-0851-4326-AD0D-345CE488628D}</x14:id>
        </ext>
      </extLst>
    </cfRule>
  </conditionalFormatting>
  <pageMargins left="0.7" right="0.7" top="0.75" bottom="0.75" header="0.3" footer="0.3"/>
  <drawing r:id="rId3"/>
  <tableParts count="3">
    <tablePart r:id="rId4"/>
    <tablePart r:id="rId5"/>
    <tablePart r:id="rId6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7" id="{94AC781B-91B3-4B4C-AD6B-5A64A5A1C1BB}">
            <x14:iconSet iconSet="3Triangles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iangles" iconId="0"/>
              <x14:cfIcon iconSet="NoIcons" iconId="0"/>
              <x14:cfIcon iconSet="3Triangles" iconId="2"/>
            </x14:iconSet>
          </x14:cfRule>
          <xm:sqref>B10 E10 B14 E14 B18 E18 B22 E22 B26 E26</xm:sqref>
        </x14:conditionalFormatting>
        <x14:conditionalFormatting xmlns:xm="http://schemas.microsoft.com/office/excel/2006/main">
          <x14:cfRule type="dataBar" id="{123F8C63-BD14-4F01-B3CF-5C31E3D75759}">
            <x14:dataBar minLength="0" maxLength="100" border="1" gradient="0">
              <x14:cfvo type="autoMin"/>
              <x14:cfvo type="num">
                <xm:f>1</xm:f>
              </x14:cfvo>
              <x14:borderColor theme="0" tint="-0.499984740745262"/>
              <x14:negativeFillColor rgb="FFFF0000"/>
              <x14:axisColor rgb="FF000000"/>
            </x14:dataBar>
          </x14:cfRule>
          <xm:sqref>H8</xm:sqref>
        </x14:conditionalFormatting>
        <x14:conditionalFormatting xmlns:xm="http://schemas.microsoft.com/office/excel/2006/main">
          <x14:cfRule type="dataBar" id="{39FA5843-E8F1-4F33-B2F8-307C272B3135}">
            <x14:dataBar minLength="0" maxLength="100" border="1" gradient="0">
              <x14:cfvo type="autoMin"/>
              <x14:cfvo type="num">
                <xm:f>1</xm:f>
              </x14:cfvo>
              <x14:borderColor theme="0" tint="-0.499984740745262"/>
              <x14:negativeFillColor rgb="FFFF0000"/>
              <x14:axisColor rgb="FF000000"/>
            </x14:dataBar>
          </x14:cfRule>
          <xm:sqref>K19:K22</xm:sqref>
        </x14:conditionalFormatting>
        <x14:conditionalFormatting xmlns:xm="http://schemas.microsoft.com/office/excel/2006/main">
          <x14:cfRule type="dataBar" id="{A7B61366-C8C8-49F8-9CDE-35FACFF8FBD7}">
            <x14:dataBar minLength="0" maxLength="100" border="1" gradient="0">
              <x14:cfvo type="autoMin"/>
              <x14:cfvo type="num">
                <xm:f>1</xm:f>
              </x14:cfvo>
              <x14:borderColor theme="0" tint="-0.499984740745262"/>
              <x14:negativeFillColor rgb="FFFF0000"/>
              <x14:axisColor rgb="FF000000"/>
            </x14:dataBar>
          </x14:cfRule>
          <xm:sqref>K27:K36</xm:sqref>
        </x14:conditionalFormatting>
        <x14:conditionalFormatting xmlns:xm="http://schemas.microsoft.com/office/excel/2006/main">
          <x14:cfRule type="dataBar" id="{26F1DFBF-A0EF-4F11-85AF-34FC31C12B60}">
            <x14:dataBar minLength="0" maxLength="100" gradient="0" direction="rightToLeft">
              <x14:cfvo type="autoMin"/>
              <x14:cfvo type="autoMax"/>
              <x14:negativeFillColor rgb="FFFF0000"/>
              <x14:axisColor rgb="FF000000"/>
            </x14:dataBar>
          </x14:cfRule>
          <xm:sqref>N8:N21</xm:sqref>
        </x14:conditionalFormatting>
        <x14:conditionalFormatting xmlns:xm="http://schemas.microsoft.com/office/excel/2006/main">
          <x14:cfRule type="dataBar" id="{BD575566-8175-476C-AE21-4ED7E5637795}">
            <x14:dataBar minLength="0" maxLength="100" gradient="0" direction="rightToLeft">
              <x14:cfvo type="autoMin"/>
              <x14:cfvo type="autoMax"/>
              <x14:negativeFillColor rgb="FFFF0000"/>
              <x14:axisColor rgb="FF000000"/>
            </x14:dataBar>
          </x14:cfRule>
          <xm:sqref>O8:O21</xm:sqref>
        </x14:conditionalFormatting>
        <x14:conditionalFormatting xmlns:xm="http://schemas.microsoft.com/office/excel/2006/main">
          <x14:cfRule type="dataBar" id="{5C14FBF8-0851-4326-AD0D-345CE488628D}">
            <x14:dataBar minLength="0" maxLength="100" gradient="0" direction="rightToLeft">
              <x14:cfvo type="autoMin"/>
              <x14:cfvo type="autoMax"/>
              <x14:negativeFillColor rgb="FFFF0000"/>
              <x14:axisColor rgb="FF000000"/>
            </x14:dataBar>
          </x14:cfRule>
          <xm:sqref>P8:P21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51618-C351-4612-9002-9BA9B6E243B4}">
  <dimension ref="B2:R38"/>
  <sheetViews>
    <sheetView workbookViewId="0">
      <selection activeCell="I13" sqref="I13"/>
    </sheetView>
  </sheetViews>
  <sheetFormatPr defaultRowHeight="14.5" x14ac:dyDescent="0.35"/>
  <cols>
    <col min="1" max="1" width="4.6328125" customWidth="1"/>
    <col min="2" max="2" width="11" customWidth="1"/>
    <col min="3" max="3" width="9.90625" bestFit="1" customWidth="1"/>
    <col min="5" max="5" width="10.81640625" bestFit="1" customWidth="1"/>
    <col min="6" max="6" width="13.26953125" bestFit="1" customWidth="1"/>
    <col min="7" max="7" width="11.6328125" bestFit="1" customWidth="1"/>
    <col min="8" max="8" width="14.90625" bestFit="1" customWidth="1"/>
    <col min="9" max="9" width="13.54296875" bestFit="1" customWidth="1"/>
    <col min="10" max="10" width="17.08984375" bestFit="1" customWidth="1"/>
    <col min="11" max="11" width="18.26953125" bestFit="1" customWidth="1"/>
    <col min="12" max="12" width="14.26953125" bestFit="1" customWidth="1"/>
    <col min="13" max="13" width="17.81640625" bestFit="1" customWidth="1"/>
    <col min="14" max="14" width="18.90625" bestFit="1" customWidth="1"/>
    <col min="15" max="15" width="22.54296875" bestFit="1" customWidth="1"/>
    <col min="16" max="16" width="23.7265625" bestFit="1" customWidth="1"/>
    <col min="17" max="17" width="21.6328125" bestFit="1" customWidth="1"/>
    <col min="18" max="18" width="26.453125" bestFit="1" customWidth="1"/>
  </cols>
  <sheetData>
    <row r="2" spans="2:18" x14ac:dyDescent="0.35">
      <c r="B2" s="18" t="s">
        <v>52</v>
      </c>
      <c r="C2" s="19">
        <f>F4</f>
        <v>46126</v>
      </c>
      <c r="E2" s="2" t="s">
        <v>43</v>
      </c>
    </row>
    <row r="3" spans="2:18" x14ac:dyDescent="0.35">
      <c r="B3" s="13" t="s">
        <v>53</v>
      </c>
      <c r="C3" s="15">
        <f>YEAR(C2)</f>
        <v>2026</v>
      </c>
      <c r="E3" s="5" t="s">
        <v>0</v>
      </c>
      <c r="F3" s="5" t="s">
        <v>1</v>
      </c>
      <c r="G3" s="5" t="s">
        <v>2</v>
      </c>
      <c r="H3" s="5" t="s">
        <v>3</v>
      </c>
      <c r="I3" s="5" t="s">
        <v>4</v>
      </c>
      <c r="J3" s="5" t="s">
        <v>5</v>
      </c>
      <c r="K3" s="5" t="s">
        <v>6</v>
      </c>
      <c r="L3" s="5" t="s">
        <v>7</v>
      </c>
    </row>
    <row r="4" spans="2:18" x14ac:dyDescent="0.35">
      <c r="B4" s="13" t="s">
        <v>54</v>
      </c>
      <c r="C4" s="15">
        <f>MONTH(C2)</f>
        <v>4</v>
      </c>
      <c r="E4" t="s">
        <v>8</v>
      </c>
      <c r="F4" s="1">
        <v>46126</v>
      </c>
      <c r="G4" s="1">
        <v>46125</v>
      </c>
      <c r="H4">
        <v>456149.43</v>
      </c>
      <c r="I4">
        <v>434</v>
      </c>
      <c r="J4">
        <v>1051.04</v>
      </c>
      <c r="K4">
        <v>255547.83</v>
      </c>
      <c r="L4">
        <v>0.56020000000000003</v>
      </c>
    </row>
    <row r="5" spans="2:18" x14ac:dyDescent="0.35">
      <c r="B5" s="13" t="s">
        <v>55</v>
      </c>
      <c r="C5" s="15">
        <f>DAY(C2)</f>
        <v>14</v>
      </c>
      <c r="E5" t="s">
        <v>9</v>
      </c>
      <c r="F5" s="1">
        <v>46125</v>
      </c>
      <c r="G5" s="1">
        <v>46124</v>
      </c>
      <c r="H5">
        <v>511640.34</v>
      </c>
      <c r="I5">
        <v>467</v>
      </c>
      <c r="J5">
        <v>1095.5899999999999</v>
      </c>
      <c r="K5">
        <v>281654.94</v>
      </c>
      <c r="L5">
        <v>0.55049999999999999</v>
      </c>
    </row>
    <row r="6" spans="2:18" x14ac:dyDescent="0.35">
      <c r="B6" s="16" t="s">
        <v>56</v>
      </c>
      <c r="C6" s="17">
        <f>COUNT(C8:C38)</f>
        <v>30</v>
      </c>
    </row>
    <row r="8" spans="2:18" x14ac:dyDescent="0.35">
      <c r="B8" s="18" t="s">
        <v>57</v>
      </c>
      <c r="C8" s="19" cm="1">
        <f t="array" ref="C8:C37">DATE(C3,C4,1)+_xlfn.SEQUENCE(DAY(EOMONTH(DATE(C3,C4,1),0)),,0)</f>
        <v>46113</v>
      </c>
      <c r="E8" s="2" t="s">
        <v>49</v>
      </c>
    </row>
    <row r="9" spans="2:18" x14ac:dyDescent="0.35">
      <c r="B9" s="15"/>
      <c r="C9" s="14">
        <v>46114</v>
      </c>
      <c r="E9" t="s">
        <v>10</v>
      </c>
      <c r="F9" t="s">
        <v>11</v>
      </c>
      <c r="G9" t="s">
        <v>12</v>
      </c>
      <c r="H9" t="s">
        <v>13</v>
      </c>
      <c r="I9" t="s">
        <v>14</v>
      </c>
      <c r="J9" t="s">
        <v>15</v>
      </c>
      <c r="K9" t="s">
        <v>16</v>
      </c>
      <c r="L9" t="s">
        <v>17</v>
      </c>
      <c r="M9" t="s">
        <v>18</v>
      </c>
      <c r="N9" t="s">
        <v>19</v>
      </c>
      <c r="O9" t="s">
        <v>20</v>
      </c>
      <c r="P9" t="s">
        <v>21</v>
      </c>
      <c r="Q9" t="s">
        <v>50</v>
      </c>
      <c r="R9" t="s">
        <v>51</v>
      </c>
    </row>
    <row r="10" spans="2:18" x14ac:dyDescent="0.35">
      <c r="B10" s="15"/>
      <c r="C10" s="14">
        <v>46115</v>
      </c>
      <c r="E10" s="1">
        <v>46113</v>
      </c>
      <c r="F10" s="1">
        <v>46126</v>
      </c>
      <c r="G10">
        <v>6781347.1900000004</v>
      </c>
      <c r="H10">
        <v>4234</v>
      </c>
      <c r="I10">
        <v>9446</v>
      </c>
      <c r="J10">
        <v>3808747.64</v>
      </c>
      <c r="K10">
        <v>0.56169999999999998</v>
      </c>
      <c r="L10">
        <v>6787079.0499999998</v>
      </c>
      <c r="M10">
        <v>4126</v>
      </c>
      <c r="N10">
        <v>9242</v>
      </c>
      <c r="O10">
        <v>3797426.7</v>
      </c>
      <c r="P10">
        <v>0.5595</v>
      </c>
      <c r="Q10">
        <v>1601.64</v>
      </c>
      <c r="R10">
        <v>1644.95</v>
      </c>
    </row>
    <row r="11" spans="2:18" x14ac:dyDescent="0.35">
      <c r="B11" s="15"/>
      <c r="C11" s="14">
        <v>46116</v>
      </c>
    </row>
    <row r="12" spans="2:18" x14ac:dyDescent="0.35">
      <c r="B12" s="15"/>
      <c r="C12" s="14">
        <v>46117</v>
      </c>
      <c r="E12" s="2" t="s">
        <v>99</v>
      </c>
      <c r="H12" s="2"/>
    </row>
    <row r="13" spans="2:18" x14ac:dyDescent="0.35">
      <c r="B13" s="15"/>
      <c r="C13" s="14">
        <v>46118</v>
      </c>
      <c r="E13" s="23">
        <v>1</v>
      </c>
      <c r="F13" s="24" t="s">
        <v>100</v>
      </c>
      <c r="H13" s="7" t="s">
        <v>60</v>
      </c>
    </row>
    <row r="14" spans="2:18" x14ac:dyDescent="0.35">
      <c r="B14" s="15"/>
      <c r="C14" s="14">
        <v>46119</v>
      </c>
      <c r="E14" s="21">
        <v>2</v>
      </c>
      <c r="F14" s="15" t="s">
        <v>101</v>
      </c>
      <c r="H14" s="25">
        <v>14118465.810000001</v>
      </c>
    </row>
    <row r="15" spans="2:18" x14ac:dyDescent="0.35">
      <c r="B15" s="15"/>
      <c r="C15" s="14">
        <v>46120</v>
      </c>
      <c r="E15" s="21">
        <v>3</v>
      </c>
      <c r="F15" s="15" t="s">
        <v>102</v>
      </c>
    </row>
    <row r="16" spans="2:18" x14ac:dyDescent="0.35">
      <c r="B16" s="15"/>
      <c r="C16" s="14">
        <v>46121</v>
      </c>
      <c r="E16" s="21">
        <v>4</v>
      </c>
      <c r="F16" s="15" t="s">
        <v>103</v>
      </c>
    </row>
    <row r="17" spans="2:6" x14ac:dyDescent="0.35">
      <c r="B17" s="15"/>
      <c r="C17" s="14">
        <v>46122</v>
      </c>
      <c r="E17" s="21">
        <v>5</v>
      </c>
      <c r="F17" s="15" t="s">
        <v>104</v>
      </c>
    </row>
    <row r="18" spans="2:6" x14ac:dyDescent="0.35">
      <c r="B18" s="15"/>
      <c r="C18" s="14">
        <v>46123</v>
      </c>
      <c r="E18" s="21">
        <v>6</v>
      </c>
      <c r="F18" s="15" t="s">
        <v>105</v>
      </c>
    </row>
    <row r="19" spans="2:6" x14ac:dyDescent="0.35">
      <c r="B19" s="15"/>
      <c r="C19" s="14">
        <v>46124</v>
      </c>
      <c r="E19" s="21">
        <v>7</v>
      </c>
      <c r="F19" s="15" t="s">
        <v>106</v>
      </c>
    </row>
    <row r="20" spans="2:6" x14ac:dyDescent="0.35">
      <c r="B20" s="15"/>
      <c r="C20" s="14">
        <v>46125</v>
      </c>
      <c r="E20" s="21">
        <v>8</v>
      </c>
      <c r="F20" s="15" t="s">
        <v>107</v>
      </c>
    </row>
    <row r="21" spans="2:6" x14ac:dyDescent="0.35">
      <c r="B21" s="15"/>
      <c r="C21" s="14">
        <v>46126</v>
      </c>
      <c r="E21" s="21">
        <v>9</v>
      </c>
      <c r="F21" s="15" t="s">
        <v>108</v>
      </c>
    </row>
    <row r="22" spans="2:6" x14ac:dyDescent="0.35">
      <c r="B22" s="15"/>
      <c r="C22" s="14">
        <v>46127</v>
      </c>
      <c r="E22" s="21">
        <v>10</v>
      </c>
      <c r="F22" s="15" t="s">
        <v>109</v>
      </c>
    </row>
    <row r="23" spans="2:6" x14ac:dyDescent="0.35">
      <c r="B23" s="15"/>
      <c r="C23" s="14">
        <v>46128</v>
      </c>
      <c r="E23" s="21">
        <v>11</v>
      </c>
      <c r="F23" s="15" t="s">
        <v>110</v>
      </c>
    </row>
    <row r="24" spans="2:6" x14ac:dyDescent="0.35">
      <c r="B24" s="15"/>
      <c r="C24" s="14">
        <v>46129</v>
      </c>
      <c r="E24" s="22">
        <v>12</v>
      </c>
      <c r="F24" s="17" t="s">
        <v>111</v>
      </c>
    </row>
    <row r="25" spans="2:6" x14ac:dyDescent="0.35">
      <c r="B25" s="15"/>
      <c r="C25" s="14">
        <v>46130</v>
      </c>
    </row>
    <row r="26" spans="2:6" x14ac:dyDescent="0.35">
      <c r="B26" s="15"/>
      <c r="C26" s="14">
        <v>46131</v>
      </c>
      <c r="E26" s="18" t="s">
        <v>112</v>
      </c>
      <c r="F26" s="24"/>
    </row>
    <row r="27" spans="2:6" x14ac:dyDescent="0.35">
      <c r="B27" s="15"/>
      <c r="C27" s="14">
        <v>46132</v>
      </c>
      <c r="E27" s="17" t="str">
        <f>VLOOKUP(C4,E13:F24,2,0)</f>
        <v>Апрель</v>
      </c>
      <c r="F27" s="17"/>
    </row>
    <row r="28" spans="2:6" x14ac:dyDescent="0.35">
      <c r="B28" s="15"/>
      <c r="C28" s="14">
        <v>46133</v>
      </c>
    </row>
    <row r="29" spans="2:6" x14ac:dyDescent="0.35">
      <c r="B29" s="15"/>
      <c r="C29" s="14">
        <v>46134</v>
      </c>
    </row>
    <row r="30" spans="2:6" x14ac:dyDescent="0.35">
      <c r="B30" s="15"/>
      <c r="C30" s="14">
        <v>46135</v>
      </c>
    </row>
    <row r="31" spans="2:6" x14ac:dyDescent="0.35">
      <c r="B31" s="15"/>
      <c r="C31" s="14">
        <v>46136</v>
      </c>
    </row>
    <row r="32" spans="2:6" x14ac:dyDescent="0.35">
      <c r="B32" s="15"/>
      <c r="C32" s="14">
        <v>46137</v>
      </c>
    </row>
    <row r="33" spans="2:3" x14ac:dyDescent="0.35">
      <c r="B33" s="15"/>
      <c r="C33" s="14">
        <v>46138</v>
      </c>
    </row>
    <row r="34" spans="2:3" x14ac:dyDescent="0.35">
      <c r="B34" s="15"/>
      <c r="C34" s="14">
        <v>46139</v>
      </c>
    </row>
    <row r="35" spans="2:3" x14ac:dyDescent="0.35">
      <c r="B35" s="15"/>
      <c r="C35" s="14">
        <v>46140</v>
      </c>
    </row>
    <row r="36" spans="2:3" x14ac:dyDescent="0.35">
      <c r="B36" s="15"/>
      <c r="C36" s="14">
        <v>46141</v>
      </c>
    </row>
    <row r="37" spans="2:3" x14ac:dyDescent="0.35">
      <c r="B37" s="15"/>
      <c r="C37" s="14">
        <v>46142</v>
      </c>
    </row>
    <row r="38" spans="2:3" x14ac:dyDescent="0.35">
      <c r="B38" s="17"/>
      <c r="C38" s="20"/>
    </row>
  </sheetData>
  <phoneticPr fontId="4" type="noConversion"/>
  <pageMargins left="0.7" right="0.7" top="0.75" bottom="0.75" header="0.3" footer="0.3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66AB6-8E91-4C22-8E53-6BB9B609D8F0}">
  <dimension ref="B3:H50"/>
  <sheetViews>
    <sheetView workbookViewId="0">
      <selection activeCell="H24" sqref="H24"/>
    </sheetView>
  </sheetViews>
  <sheetFormatPr defaultRowHeight="14.5" x14ac:dyDescent="0.35"/>
  <cols>
    <col min="2" max="2" width="13.81640625" customWidth="1"/>
    <col min="3" max="3" width="10.7265625" customWidth="1"/>
    <col min="4" max="4" width="12" customWidth="1"/>
    <col min="5" max="5" width="12.36328125" customWidth="1"/>
    <col min="6" max="6" width="14.7265625" bestFit="1" customWidth="1"/>
    <col min="7" max="7" width="16.54296875" bestFit="1" customWidth="1"/>
    <col min="8" max="8" width="14.6328125" bestFit="1" customWidth="1"/>
  </cols>
  <sheetData>
    <row r="3" spans="2:8" x14ac:dyDescent="0.35">
      <c r="B3" t="s">
        <v>86</v>
      </c>
    </row>
    <row r="4" spans="2:8" x14ac:dyDescent="0.35">
      <c r="B4" s="6" t="s">
        <v>53</v>
      </c>
      <c r="C4" t="s">
        <v>46</v>
      </c>
      <c r="D4" t="s">
        <v>44</v>
      </c>
      <c r="E4" t="s">
        <v>97</v>
      </c>
      <c r="F4" t="s">
        <v>85</v>
      </c>
      <c r="G4" t="s">
        <v>47</v>
      </c>
      <c r="H4" t="s">
        <v>48</v>
      </c>
    </row>
    <row r="5" spans="2:8" x14ac:dyDescent="0.35">
      <c r="B5" s="7" t="s">
        <v>88</v>
      </c>
      <c r="C5" s="3">
        <v>139500</v>
      </c>
      <c r="D5" s="3">
        <v>154084717.41</v>
      </c>
      <c r="E5" s="3">
        <v>1846146.51</v>
      </c>
      <c r="F5" s="3">
        <v>152238570.90000001</v>
      </c>
      <c r="G5" s="3">
        <v>84021016</v>
      </c>
      <c r="H5" s="11">
        <v>0.50422475675675671</v>
      </c>
    </row>
    <row r="6" spans="2:8" x14ac:dyDescent="0.35">
      <c r="B6" s="7" t="s">
        <v>95</v>
      </c>
      <c r="C6" s="3">
        <v>155213</v>
      </c>
      <c r="D6" s="3">
        <v>172634979.19</v>
      </c>
      <c r="E6" s="3">
        <v>1934468.1</v>
      </c>
      <c r="F6" s="3">
        <v>170700511.09</v>
      </c>
      <c r="G6" s="3">
        <v>94066608.890000001</v>
      </c>
      <c r="H6" s="11">
        <v>0.5047691568836713</v>
      </c>
    </row>
    <row r="7" spans="2:8" x14ac:dyDescent="0.35">
      <c r="B7" s="7" t="s">
        <v>96</v>
      </c>
      <c r="C7" s="3">
        <v>42530</v>
      </c>
      <c r="D7" s="3">
        <v>47033670.109999999</v>
      </c>
      <c r="E7" s="3">
        <v>571872.05000000005</v>
      </c>
      <c r="F7" s="3">
        <v>46461798.060000002</v>
      </c>
      <c r="G7" s="3">
        <v>25789651.010000002</v>
      </c>
      <c r="H7" s="11">
        <v>0.50800868167202573</v>
      </c>
    </row>
    <row r="8" spans="2:8" x14ac:dyDescent="0.35">
      <c r="B8" s="9" t="s">
        <v>89</v>
      </c>
      <c r="C8" s="3">
        <v>36301</v>
      </c>
      <c r="D8" s="3">
        <v>40186193.340000004</v>
      </c>
      <c r="E8" s="3">
        <v>505742.47</v>
      </c>
      <c r="F8" s="3">
        <v>39680450.869999997</v>
      </c>
      <c r="G8" s="3">
        <v>21980903.370000001</v>
      </c>
      <c r="H8" s="11">
        <v>0.51011302521008406</v>
      </c>
    </row>
    <row r="9" spans="2:8" x14ac:dyDescent="0.35">
      <c r="B9" s="10" t="s">
        <v>90</v>
      </c>
      <c r="C9" s="3">
        <v>10789</v>
      </c>
      <c r="D9" s="3">
        <v>11909370.789999999</v>
      </c>
      <c r="E9" s="3">
        <v>136469.19</v>
      </c>
      <c r="F9" s="3">
        <v>11772901.6</v>
      </c>
      <c r="G9" s="3">
        <v>6522617.75</v>
      </c>
      <c r="H9" s="11">
        <v>0.50801818181818181</v>
      </c>
    </row>
    <row r="10" spans="2:8" x14ac:dyDescent="0.35">
      <c r="B10" s="10" t="s">
        <v>91</v>
      </c>
      <c r="C10" s="3">
        <v>11840</v>
      </c>
      <c r="D10" s="3">
        <v>13020590.970000001</v>
      </c>
      <c r="E10" s="3">
        <v>182324.67</v>
      </c>
      <c r="F10" s="3">
        <v>12838266.300000001</v>
      </c>
      <c r="G10" s="3">
        <v>7107871.2000000002</v>
      </c>
      <c r="H10" s="11">
        <v>0.50467051282051278</v>
      </c>
    </row>
    <row r="11" spans="2:8" x14ac:dyDescent="0.35">
      <c r="B11" s="10" t="s">
        <v>92</v>
      </c>
      <c r="C11" s="3">
        <v>13672</v>
      </c>
      <c r="D11" s="3">
        <v>15256231.58</v>
      </c>
      <c r="E11" s="3">
        <v>186948.61</v>
      </c>
      <c r="F11" s="3">
        <v>15069282.970000001</v>
      </c>
      <c r="G11" s="3">
        <v>8350414.4199999999</v>
      </c>
      <c r="H11" s="11">
        <v>0.51717108433734937</v>
      </c>
    </row>
    <row r="12" spans="2:8" x14ac:dyDescent="0.35">
      <c r="B12" s="9" t="s">
        <v>93</v>
      </c>
      <c r="C12" s="3">
        <v>6229</v>
      </c>
      <c r="D12" s="3">
        <v>6847476.7699999996</v>
      </c>
      <c r="E12" s="3">
        <v>66129.58</v>
      </c>
      <c r="F12" s="3">
        <v>6781347.1900000004</v>
      </c>
      <c r="G12" s="3">
        <v>3808747.64</v>
      </c>
      <c r="H12" s="11">
        <v>0.50114794520547945</v>
      </c>
    </row>
    <row r="13" spans="2:8" x14ac:dyDescent="0.35">
      <c r="B13" s="10" t="s">
        <v>94</v>
      </c>
      <c r="C13" s="3">
        <v>6229</v>
      </c>
      <c r="D13" s="3">
        <v>6847476.7699999996</v>
      </c>
      <c r="E13" s="3">
        <v>66129.58</v>
      </c>
      <c r="F13" s="3">
        <v>6781347.1900000004</v>
      </c>
      <c r="G13" s="3">
        <v>3808747.64</v>
      </c>
      <c r="H13" s="11">
        <v>0.50114794520547945</v>
      </c>
    </row>
    <row r="14" spans="2:8" x14ac:dyDescent="0.35">
      <c r="B14" s="7" t="s">
        <v>73</v>
      </c>
      <c r="C14" s="3">
        <v>337243</v>
      </c>
      <c r="D14" s="3">
        <v>373753366.70999998</v>
      </c>
      <c r="E14" s="3">
        <v>4352486.66</v>
      </c>
      <c r="F14" s="3">
        <v>369400880.05000001</v>
      </c>
      <c r="G14" s="3">
        <v>203877275.90000001</v>
      </c>
      <c r="H14" s="11">
        <v>0.50500105844454668</v>
      </c>
    </row>
    <row r="17" spans="2:5" x14ac:dyDescent="0.35">
      <c r="B17" t="s">
        <v>87</v>
      </c>
    </row>
    <row r="18" spans="2:5" x14ac:dyDescent="0.35">
      <c r="B18" s="6" t="s">
        <v>53</v>
      </c>
      <c r="C18" t="s">
        <v>59</v>
      </c>
      <c r="D18" t="s">
        <v>60</v>
      </c>
      <c r="E18" s="8" t="s">
        <v>75</v>
      </c>
    </row>
    <row r="19" spans="2:5" x14ac:dyDescent="0.35">
      <c r="B19" s="7">
        <v>2024</v>
      </c>
      <c r="C19" s="3">
        <v>143165961.22</v>
      </c>
      <c r="D19" s="3">
        <v>153479723.40000001</v>
      </c>
      <c r="E19" s="4">
        <f>GETPIVOTDATA("[Measures].[Сумма по столбцу fact_amount 2]",$B$18,"[public mart_plan_fact_history].[year]","[public mart_plan_fact_history].[year].&amp;[2024]")/GETPIVOTDATA("[Measures].[Сумма по столбцу plan_amount 2]",$B$18,"[public mart_plan_fact_history].[year]","[public mart_plan_fact_history].[year].&amp;[2024]")</f>
        <v>0.93280049017862643</v>
      </c>
    </row>
    <row r="20" spans="2:5" x14ac:dyDescent="0.35">
      <c r="B20" s="9">
        <v>1</v>
      </c>
      <c r="C20" s="3">
        <v>8824313.2899999991</v>
      </c>
      <c r="D20" s="3">
        <v>9183936.5399999991</v>
      </c>
      <c r="E20" s="4">
        <f>GETPIVOTDATA("[Measures].[Сумма по столбцу fact_amount 2]",$B$18,"[public mart_plan_fact_history].[year]","[public mart_plan_fact_history].[year].&amp;[2024]","[public mart_plan_fact_history].[month]","[public mart_plan_fact_history].[month].&amp;[1]")/GETPIVOTDATA("[Measures].[Сумма по столбцу plan_amount 2]",$B$18,"[public mart_plan_fact_history].[year]","[public mart_plan_fact_history].[year].&amp;[2024]","[public mart_plan_fact_history].[month]","[public mart_plan_fact_history].[month].&amp;[1]")</f>
        <v>0.96084214558390235</v>
      </c>
    </row>
    <row r="21" spans="2:5" x14ac:dyDescent="0.35">
      <c r="B21" s="9">
        <v>2</v>
      </c>
      <c r="C21" s="3">
        <v>10086983.43</v>
      </c>
      <c r="D21" s="3">
        <v>11290311.810000001</v>
      </c>
      <c r="E21" s="4">
        <f>GETPIVOTDATA("[Measures].[Сумма по столбцу fact_amount 2]",$B$18,"[public mart_plan_fact_history].[year]","[public mart_plan_fact_history].[year].&amp;[2024]","[public mart_plan_fact_history].[month]","[public mart_plan_fact_history].[month].&amp;[2]")/GETPIVOTDATA("[Measures].[Сумма по столбцу plan_amount 2]",$B$18,"[public mart_plan_fact_history].[year]","[public mart_plan_fact_history].[year].&amp;[2024]","[public mart_plan_fact_history].[month]","[public mart_plan_fact_history].[month].&amp;[2]")</f>
        <v>0.8934193846679952</v>
      </c>
    </row>
    <row r="22" spans="2:5" x14ac:dyDescent="0.35">
      <c r="B22" s="9">
        <v>3</v>
      </c>
      <c r="C22" s="3">
        <v>11195663.09</v>
      </c>
      <c r="D22" s="3">
        <v>12197592.98</v>
      </c>
      <c r="E22" s="4">
        <f>GETPIVOTDATA("[Measures].[Сумма по столбцу fact_amount 2]",$B$18,"[public mart_plan_fact_history].[year]","[public mart_plan_fact_history].[year].&amp;[2024]","[public mart_plan_fact_history].[month]","[public mart_plan_fact_history].[month].&amp;[3]")/GETPIVOTDATA("[Measures].[Сумма по столбцу plan_amount 2]",$B$18,"[public mart_plan_fact_history].[year]","[public mart_plan_fact_history].[year].&amp;[2024]","[public mart_plan_fact_history].[month]","[public mart_plan_fact_history].[month].&amp;[3]")</f>
        <v>0.91785839291056581</v>
      </c>
    </row>
    <row r="23" spans="2:5" x14ac:dyDescent="0.35">
      <c r="B23" s="9">
        <v>4</v>
      </c>
      <c r="C23" s="3">
        <v>11427577.859999999</v>
      </c>
      <c r="D23" s="3">
        <v>12095543.33</v>
      </c>
      <c r="E23" s="4">
        <f>GETPIVOTDATA("[Measures].[Сумма по столбцу fact_amount 2]",$B$18,"[public mart_plan_fact_history].[year]","[public mart_plan_fact_history].[year].&amp;[2024]","[public mart_plan_fact_history].[month]","[public mart_plan_fact_history].[month].&amp;[4]")/GETPIVOTDATA("[Measures].[Сумма по столбцу plan_amount 2]",$B$18,"[public mart_plan_fact_history].[year]","[public mart_plan_fact_history].[year].&amp;[2024]","[public mart_plan_fact_history].[month]","[public mart_plan_fact_history].[month].&amp;[4]")</f>
        <v>0.94477590201811956</v>
      </c>
    </row>
    <row r="24" spans="2:5" x14ac:dyDescent="0.35">
      <c r="B24" s="9">
        <v>5</v>
      </c>
      <c r="C24" s="3">
        <v>11461299.92</v>
      </c>
      <c r="D24" s="3">
        <v>12316975.449999999</v>
      </c>
      <c r="E24" s="4">
        <f>GETPIVOTDATA("[Measures].[Сумма по столбцу fact_amount 2]",$B$18,"[public mart_plan_fact_history].[year]","[public mart_plan_fact_history].[year].&amp;[2024]","[public mart_plan_fact_history].[month]","[public mart_plan_fact_history].[month].&amp;[5]")/GETPIVOTDATA("[Measures].[Сумма по столбцу plan_amount 2]",$B$18,"[public mart_plan_fact_history].[year]","[public mart_plan_fact_history].[year].&amp;[2024]","[public mart_plan_fact_history].[month]","[public mart_plan_fact_history].[month].&amp;[5]")</f>
        <v>0.93052876223764824</v>
      </c>
    </row>
    <row r="25" spans="2:5" x14ac:dyDescent="0.35">
      <c r="B25" s="9">
        <v>6</v>
      </c>
      <c r="C25" s="3">
        <v>10964049.060000001</v>
      </c>
      <c r="D25" s="3">
        <v>11640053.550000001</v>
      </c>
      <c r="E25" s="4">
        <f>GETPIVOTDATA("[Measures].[Сумма по столбцу fact_amount 2]",$B$18,"[public mart_plan_fact_history].[year]","[public mart_plan_fact_history].[year].&amp;[2024]","[public mart_plan_fact_history].[month]","[public mart_plan_fact_history].[month].&amp;[6]")/GETPIVOTDATA("[Measures].[Сумма по столбцу plan_amount 2]",$B$18,"[public mart_plan_fact_history].[year]","[public mart_plan_fact_history].[year].&amp;[2024]","[public mart_plan_fact_history].[month]","[public mart_plan_fact_history].[month].&amp;[6]")</f>
        <v>0.94192428006484552</v>
      </c>
    </row>
    <row r="26" spans="2:5" x14ac:dyDescent="0.35">
      <c r="B26" s="9">
        <v>7</v>
      </c>
      <c r="C26" s="3">
        <v>7027216.96</v>
      </c>
      <c r="D26" s="3">
        <v>7558096.0899999999</v>
      </c>
      <c r="E26" s="4">
        <f>GETPIVOTDATA("[Measures].[Сумма по столбцу fact_amount 2]",$B$18,"[public mart_plan_fact_history].[year]","[public mart_plan_fact_history].[year].&amp;[2024]","[public mart_plan_fact_history].[month]","[public mart_plan_fact_history].[month].&amp;[7]")/GETPIVOTDATA("[Measures].[Сумма по столбцу plan_amount 2]",$B$18,"[public mart_plan_fact_history].[year]","[public mart_plan_fact_history].[year].&amp;[2024]","[public mart_plan_fact_history].[month]","[public mart_plan_fact_history].[month].&amp;[7]")</f>
        <v>0.92976020367055168</v>
      </c>
    </row>
    <row r="27" spans="2:5" x14ac:dyDescent="0.35">
      <c r="B27" s="9">
        <v>8</v>
      </c>
      <c r="C27" s="3">
        <v>11545517.1</v>
      </c>
      <c r="D27" s="3">
        <v>12681287.98</v>
      </c>
      <c r="E27" s="4">
        <f>GETPIVOTDATA("[Measures].[Сумма по столбцу fact_amount 2]",$B$18,"[public mart_plan_fact_history].[year]","[public mart_plan_fact_history].[year].&amp;[2024]","[public mart_plan_fact_history].[month]","[public mart_plan_fact_history].[month].&amp;[8]")/GETPIVOTDATA("[Measures].[Сумма по столбцу plan_amount 2]",$B$18,"[public mart_plan_fact_history].[year]","[public mart_plan_fact_history].[year].&amp;[2024]","[public mart_plan_fact_history].[month]","[public mart_plan_fact_history].[month].&amp;[8]")</f>
        <v>0.9104372614365942</v>
      </c>
    </row>
    <row r="28" spans="2:5" x14ac:dyDescent="0.35">
      <c r="B28" s="9">
        <v>9</v>
      </c>
      <c r="C28" s="3">
        <v>15448377.15</v>
      </c>
      <c r="D28" s="3">
        <v>16215007.74</v>
      </c>
      <c r="E28" s="4">
        <f>GETPIVOTDATA("[Measures].[Сумма по столбцу fact_amount 2]",$B$18,"[public mart_plan_fact_history].[year]","[public mart_plan_fact_history].[year].&amp;[2024]","[public mart_plan_fact_history].[month]","[public mart_plan_fact_history].[month].&amp;[9]")/GETPIVOTDATA("[Measures].[Сумма по столбцу plan_amount 2]",$B$18,"[public mart_plan_fact_history].[year]","[public mart_plan_fact_history].[year].&amp;[2024]","[public mart_plan_fact_history].[month]","[public mart_plan_fact_history].[month].&amp;[9]")</f>
        <v>0.95272092358557214</v>
      </c>
    </row>
    <row r="29" spans="2:5" x14ac:dyDescent="0.35">
      <c r="B29" s="9">
        <v>10</v>
      </c>
      <c r="C29" s="3">
        <v>11188308.52</v>
      </c>
      <c r="D29" s="3">
        <v>11857691.01</v>
      </c>
      <c r="E29" s="4">
        <f>GETPIVOTDATA("[Measures].[Сумма по столбцу fact_amount 2]",$B$18,"[public mart_plan_fact_history].[year]","[public mart_plan_fact_history].[year].&amp;[2024]","[public mart_plan_fact_history].[month]","[public mart_plan_fact_history].[month].&amp;[10]")/GETPIVOTDATA("[Measures].[Сумма по столбцу plan_amount 2]",$B$18,"[public mart_plan_fact_history].[year]","[public mart_plan_fact_history].[year].&amp;[2024]","[public mart_plan_fact_history].[month]","[public mart_plan_fact_history].[month].&amp;[10]")</f>
        <v>0.94354866479186483</v>
      </c>
    </row>
    <row r="30" spans="2:5" x14ac:dyDescent="0.35">
      <c r="B30" s="9">
        <v>11</v>
      </c>
      <c r="C30" s="3">
        <v>11534874.210000001</v>
      </c>
      <c r="D30" s="3">
        <v>12664298.16</v>
      </c>
      <c r="E30" s="4">
        <f>GETPIVOTDATA("[Measures].[Сумма по столбцу fact_amount 2]",$B$18,"[public mart_plan_fact_history].[year]","[public mart_plan_fact_history].[year].&amp;[2024]","[public mart_plan_fact_history].[month]","[public mart_plan_fact_history].[month].&amp;[11]")/GETPIVOTDATA("[Measures].[Сумма по столбцу plan_amount 2]",$B$18,"[public mart_plan_fact_history].[year]","[public mart_plan_fact_history].[year].&amp;[2024]","[public mart_plan_fact_history].[month]","[public mart_plan_fact_history].[month].&amp;[11]")</f>
        <v>0.91081827545980654</v>
      </c>
    </row>
    <row r="31" spans="2:5" x14ac:dyDescent="0.35">
      <c r="B31" s="9">
        <v>12</v>
      </c>
      <c r="C31" s="3">
        <v>22461780.629999999</v>
      </c>
      <c r="D31" s="3">
        <v>23778928.760000002</v>
      </c>
      <c r="E31" s="4">
        <f>GETPIVOTDATA("[Measures].[Сумма по столбцу fact_amount 2]",$B$18,"[public mart_plan_fact_history].[year]","[public mart_plan_fact_history].[year].&amp;[2024]","[public mart_plan_fact_history].[month]","[public mart_plan_fact_history].[month].&amp;[12]")/GETPIVOTDATA("[Measures].[Сумма по столбцу plan_amount 2]",$B$18,"[public mart_plan_fact_history].[year]","[public mart_plan_fact_history].[year].&amp;[2024]","[public mart_plan_fact_history].[month]","[public mart_plan_fact_history].[month].&amp;[12]")</f>
        <v>0.94460860103102462</v>
      </c>
    </row>
    <row r="32" spans="2:5" x14ac:dyDescent="0.35">
      <c r="B32" s="7">
        <v>2025</v>
      </c>
      <c r="C32" s="3">
        <v>158688736.74000001</v>
      </c>
      <c r="D32" s="3">
        <v>161621806.08000001</v>
      </c>
      <c r="E32" s="4">
        <f>GETPIVOTDATA("[Measures].[Сумма по столбцу fact_amount 2]",$B$18,"[public mart_plan_fact_history].[year]","[public mart_plan_fact_history].[year].&amp;[2025]")/GETPIVOTDATA("[Measures].[Сумма по столбцу plan_amount 2]",$B$18,"[public mart_plan_fact_history].[year]","[public mart_plan_fact_history].[year].&amp;[2025]")</f>
        <v>0.98185226727049324</v>
      </c>
    </row>
    <row r="33" spans="2:5" x14ac:dyDescent="0.35">
      <c r="B33" s="9">
        <v>1</v>
      </c>
      <c r="C33" s="3">
        <v>9957531.8300000001</v>
      </c>
      <c r="D33" s="3">
        <v>9721279.1500000004</v>
      </c>
      <c r="E33" s="4">
        <f>GETPIVOTDATA("[Measures].[Сумма по столбцу fact_amount 2]",$B$18,"[public mart_plan_fact_history].[year]","[public mart_plan_fact_history].[year].&amp;[2025]","[public mart_plan_fact_history].[month]","[public mart_plan_fact_history].[month].&amp;[1]")/GETPIVOTDATA("[Measures].[Сумма по столбцу plan_amount 2]",$B$18,"[public mart_plan_fact_history].[year]","[public mart_plan_fact_history].[year].&amp;[2025]","[public mart_plan_fact_history].[month]","[public mart_plan_fact_history].[month].&amp;[1]")</f>
        <v>1.0243026330542107</v>
      </c>
    </row>
    <row r="34" spans="2:5" x14ac:dyDescent="0.35">
      <c r="B34" s="9">
        <v>2</v>
      </c>
      <c r="C34" s="3">
        <v>11435411.85</v>
      </c>
      <c r="D34" s="3">
        <v>11829227.609999999</v>
      </c>
      <c r="E34" s="4">
        <f>GETPIVOTDATA("[Measures].[Сумма по столбцу fact_amount 2]",$B$18,"[public mart_plan_fact_history].[year]","[public mart_plan_fact_history].[year].&amp;[2025]","[public mart_plan_fact_history].[month]","[public mart_plan_fact_history].[month].&amp;[2]")/GETPIVOTDATA("[Measures].[Сумма по столбцу plan_amount 2]",$B$18,"[public mart_plan_fact_history].[year]","[public mart_plan_fact_history].[year].&amp;[2025]","[public mart_plan_fact_history].[month]","[public mart_plan_fact_history].[month].&amp;[2]")</f>
        <v>0.96670824393749244</v>
      </c>
    </row>
    <row r="35" spans="2:5" x14ac:dyDescent="0.35">
      <c r="B35" s="9">
        <v>3</v>
      </c>
      <c r="C35" s="3">
        <v>12822644.59</v>
      </c>
      <c r="D35" s="3">
        <v>13261071.93</v>
      </c>
      <c r="E35" s="4">
        <f>GETPIVOTDATA("[Measures].[Сумма по столбцу fact_amount 2]",$B$18,"[public mart_plan_fact_history].[year]","[public mart_plan_fact_history].[year].&amp;[2025]","[public mart_plan_fact_history].[month]","[public mart_plan_fact_history].[month].&amp;[3]")/GETPIVOTDATA("[Measures].[Сумма по столбцу plan_amount 2]",$B$18,"[public mart_plan_fact_history].[year]","[public mart_plan_fact_history].[year].&amp;[2025]","[public mart_plan_fact_history].[month]","[public mart_plan_fact_history].[month].&amp;[3]")</f>
        <v>0.96693877068804956</v>
      </c>
    </row>
    <row r="36" spans="2:5" x14ac:dyDescent="0.35">
      <c r="B36" s="9">
        <v>4</v>
      </c>
      <c r="C36" s="3">
        <v>11484016.49</v>
      </c>
      <c r="D36" s="3">
        <v>12367327.640000001</v>
      </c>
      <c r="E36" s="4">
        <f>GETPIVOTDATA("[Measures].[Сумма по столбцу fact_amount 2]",$B$18,"[public mart_plan_fact_history].[year]","[public mart_plan_fact_history].[year].&amp;[2025]","[public mart_plan_fact_history].[month]","[public mart_plan_fact_history].[month].&amp;[4]")/GETPIVOTDATA("[Measures].[Сумма по столбцу plan_amount 2]",$B$18,"[public mart_plan_fact_history].[year]","[public mart_plan_fact_history].[year].&amp;[2025]","[public mart_plan_fact_history].[month]","[public mart_plan_fact_history].[month].&amp;[4]")</f>
        <v>0.9285770397848051</v>
      </c>
    </row>
    <row r="37" spans="2:5" x14ac:dyDescent="0.35">
      <c r="B37" s="9">
        <v>5</v>
      </c>
      <c r="C37" s="3">
        <v>13271578.199999999</v>
      </c>
      <c r="D37" s="3">
        <v>12813525.630000001</v>
      </c>
      <c r="E37" s="4">
        <f>GETPIVOTDATA("[Measures].[Сумма по столбцу fact_amount 2]",$B$18,"[public mart_plan_fact_history].[year]","[public mart_plan_fact_history].[year].&amp;[2025]","[public mart_plan_fact_history].[month]","[public mart_plan_fact_history].[month].&amp;[5]")/GETPIVOTDATA("[Measures].[Сумма по столбцу plan_amount 2]",$B$18,"[public mart_plan_fact_history].[year]","[public mart_plan_fact_history].[year].&amp;[2025]","[public mart_plan_fact_history].[month]","[public mart_plan_fact_history].[month].&amp;[5]")</f>
        <v>1.0357475829234362</v>
      </c>
    </row>
    <row r="38" spans="2:5" x14ac:dyDescent="0.35">
      <c r="B38" s="9">
        <v>6</v>
      </c>
      <c r="C38" s="3">
        <v>12340209.41</v>
      </c>
      <c r="D38" s="3">
        <v>12353299.560000001</v>
      </c>
      <c r="E38" s="4">
        <f>GETPIVOTDATA("[Measures].[Сумма по столбцу fact_amount 2]",$B$18,"[public mart_plan_fact_history].[year]","[public mart_plan_fact_history].[year].&amp;[2025]","[public mart_plan_fact_history].[month]","[public mart_plan_fact_history].[month].&amp;[6]")/GETPIVOTDATA("[Measures].[Сумма по столбцу plan_amount 2]",$B$18,"[public mart_plan_fact_history].[year]","[public mart_plan_fact_history].[year].&amp;[2025]","[public mart_plan_fact_history].[month]","[public mart_plan_fact_history].[month].&amp;[6]")</f>
        <v>0.99894035193298591</v>
      </c>
    </row>
    <row r="39" spans="2:5" x14ac:dyDescent="0.35">
      <c r="B39" s="9">
        <v>7</v>
      </c>
      <c r="C39" s="3">
        <v>7732086.4400000004</v>
      </c>
      <c r="D39" s="3">
        <v>7986631.79</v>
      </c>
      <c r="E39" s="4">
        <f>GETPIVOTDATA("[Measures].[Сумма по столбцу fact_amount 2]",$B$18,"[public mart_plan_fact_history].[year]","[public mart_plan_fact_history].[year].&amp;[2025]","[public mart_plan_fact_history].[month]","[public mart_plan_fact_history].[month].&amp;[7]")/GETPIVOTDATA("[Measures].[Сумма по столбцу plan_amount 2]",$B$18,"[public mart_plan_fact_history].[year]","[public mart_plan_fact_history].[year].&amp;[2025]","[public mart_plan_fact_history].[month]","[public mart_plan_fact_history].[month].&amp;[7]")</f>
        <v>0.96812857325929136</v>
      </c>
    </row>
    <row r="40" spans="2:5" x14ac:dyDescent="0.35">
      <c r="B40" s="9">
        <v>8</v>
      </c>
      <c r="C40" s="3">
        <v>12436169.310000001</v>
      </c>
      <c r="D40" s="3">
        <v>13451239.439999999</v>
      </c>
      <c r="E40" s="4">
        <f>GETPIVOTDATA("[Measures].[Сумма по столбцу fact_amount 2]",$B$18,"[public mart_plan_fact_history].[year]","[public mart_plan_fact_history].[year].&amp;[2025]","[public mart_plan_fact_history].[month]","[public mart_plan_fact_history].[month].&amp;[8]")/GETPIVOTDATA("[Measures].[Сумма по столбцу plan_amount 2]",$B$18,"[public mart_plan_fact_history].[year]","[public mart_plan_fact_history].[year].&amp;[2025]","[public mart_plan_fact_history].[month]","[public mart_plan_fact_history].[month].&amp;[8]")</f>
        <v>0.92453705589527446</v>
      </c>
    </row>
    <row r="41" spans="2:5" x14ac:dyDescent="0.35">
      <c r="B41" s="9">
        <v>9</v>
      </c>
      <c r="C41" s="3">
        <v>16992304.91</v>
      </c>
      <c r="D41" s="3">
        <v>17301905.949999999</v>
      </c>
      <c r="E41" s="4">
        <f>GETPIVOTDATA("[Measures].[Сумма по столбцу fact_amount 2]",$B$18,"[public mart_plan_fact_history].[year]","[public mart_plan_fact_history].[year].&amp;[2025]","[public mart_plan_fact_history].[month]","[public mart_plan_fact_history].[month].&amp;[9]")/GETPIVOTDATA("[Measures].[Сумма по столбцу plan_amount 2]",$B$18,"[public mart_plan_fact_history].[year]","[public mart_plan_fact_history].[year].&amp;[2025]","[public mart_plan_fact_history].[month]","[public mart_plan_fact_history].[month].&amp;[9]")</f>
        <v>0.98210595752313634</v>
      </c>
    </row>
    <row r="42" spans="2:5" x14ac:dyDescent="0.35">
      <c r="B42" s="9">
        <v>10</v>
      </c>
      <c r="C42" s="3">
        <v>13269238.84</v>
      </c>
      <c r="D42" s="3">
        <v>12968878.880000001</v>
      </c>
      <c r="E42" s="4">
        <f>GETPIVOTDATA("[Measures].[Сумма по столбцу fact_amount 2]",$B$18,"[public mart_plan_fact_history].[year]","[public mart_plan_fact_history].[year].&amp;[2025]","[public mart_plan_fact_history].[month]","[public mart_plan_fact_history].[month].&amp;[10]")/GETPIVOTDATA("[Measures].[Сумма по столбцу plan_amount 2]",$B$18,"[public mart_plan_fact_history].[year]","[public mart_plan_fact_history].[year].&amp;[2025]","[public mart_plan_fact_history].[month]","[public mart_plan_fact_history].[month].&amp;[10]")</f>
        <v>1.0231600559137921</v>
      </c>
    </row>
    <row r="43" spans="2:5" x14ac:dyDescent="0.35">
      <c r="B43" s="9">
        <v>11</v>
      </c>
      <c r="C43" s="3">
        <v>13337856.210000001</v>
      </c>
      <c r="D43" s="3">
        <v>13462759.93</v>
      </c>
      <c r="E43" s="4">
        <f>GETPIVOTDATA("[Measures].[Сумма по столбцу fact_amount 2]",$B$18,"[public mart_plan_fact_history].[year]","[public mart_plan_fact_history].[year].&amp;[2025]","[public mart_plan_fact_history].[month]","[public mart_plan_fact_history].[month].&amp;[11]")/GETPIVOTDATA("[Measures].[Сумма по столбцу plan_amount 2]",$B$18,"[public mart_plan_fact_history].[year]","[public mart_plan_fact_history].[year].&amp;[2025]","[public mart_plan_fact_history].[month]","[public mart_plan_fact_history].[month].&amp;[11]")</f>
        <v>0.99072227978145344</v>
      </c>
    </row>
    <row r="44" spans="2:5" x14ac:dyDescent="0.35">
      <c r="B44" s="9">
        <v>12</v>
      </c>
      <c r="C44" s="3">
        <v>23609688.66</v>
      </c>
      <c r="D44" s="3">
        <v>24104658.57</v>
      </c>
      <c r="E44" s="4">
        <f>GETPIVOTDATA("[Measures].[Сумма по столбцу fact_amount 2]",$B$18,"[public mart_plan_fact_history].[year]","[public mart_plan_fact_history].[year].&amp;[2025]","[public mart_plan_fact_history].[month]","[public mart_plan_fact_history].[month].&amp;[12]")/GETPIVOTDATA("[Measures].[Сумма по столбцу plan_amount 2]",$B$18,"[public mart_plan_fact_history].[year]","[public mart_plan_fact_history].[year].&amp;[2025]","[public mart_plan_fact_history].[month]","[public mart_plan_fact_history].[month].&amp;[12]")</f>
        <v>0.97946579875576312</v>
      </c>
    </row>
    <row r="45" spans="2:5" x14ac:dyDescent="0.35">
      <c r="B45" s="7">
        <v>2026</v>
      </c>
      <c r="C45" s="3">
        <v>43661217.060000002</v>
      </c>
      <c r="D45" s="3">
        <v>52795866.700000003</v>
      </c>
      <c r="E45" s="4">
        <f>GETPIVOTDATA("[Measures].[Сумма по столбцу fact_amount 2]",$B$18,"[public mart_plan_fact_history].[year]","[public mart_plan_fact_history].[year].&amp;[2026]")/GETPIVOTDATA("[Measures].[Сумма по столбцу plan_amount 2]",$B$18,"[public mart_plan_fact_history].[year]","[public mart_plan_fact_history].[year].&amp;[2026]")</f>
        <v>0.82698172771922696</v>
      </c>
    </row>
    <row r="46" spans="2:5" x14ac:dyDescent="0.35">
      <c r="B46" s="9">
        <v>1</v>
      </c>
      <c r="C46" s="3">
        <v>11043928.6</v>
      </c>
      <c r="D46" s="3">
        <v>11355353.65</v>
      </c>
      <c r="E46" s="4">
        <f>GETPIVOTDATA("[Measures].[Сумма по столбцу fact_amount 2]",$B$18,"[public mart_plan_fact_history].[year]","[public mart_plan_fact_history].[year].&amp;[2026]","[public mart_plan_fact_history].[month]","[public mart_plan_fact_history].[month].&amp;[1]")/GETPIVOTDATA("[Measures].[Сумма по столбцу plan_amount 2]",$B$18,"[public mart_plan_fact_history].[year]","[public mart_plan_fact_history].[year].&amp;[2026]","[public mart_plan_fact_history].[month]","[public mart_plan_fact_history].[month].&amp;[1]")</f>
        <v>0.97257460581159438</v>
      </c>
    </row>
    <row r="47" spans="2:5" x14ac:dyDescent="0.35">
      <c r="B47" s="9">
        <v>2</v>
      </c>
      <c r="C47" s="3">
        <v>12110490.300000001</v>
      </c>
      <c r="D47" s="3">
        <v>12705534.59</v>
      </c>
      <c r="E47" s="4">
        <f>GETPIVOTDATA("[Measures].[Сумма по столбцу fact_amount 2]",$B$18,"[public mart_plan_fact_history].[year]","[public mart_plan_fact_history].[year].&amp;[2026]","[public mart_plan_fact_history].[month]","[public mart_plan_fact_history].[month].&amp;[2]")/GETPIVOTDATA("[Measures].[Сумма по столбцу plan_amount 2]",$B$18,"[public mart_plan_fact_history].[year]","[public mart_plan_fact_history].[year].&amp;[2026]","[public mart_plan_fact_history].[month]","[public mart_plan_fact_history].[month].&amp;[2]")</f>
        <v>0.9531665286663078</v>
      </c>
    </row>
    <row r="48" spans="2:5" x14ac:dyDescent="0.35">
      <c r="B48" s="9">
        <v>3</v>
      </c>
      <c r="C48" s="3">
        <v>14208639.970000001</v>
      </c>
      <c r="D48" s="3">
        <v>14616512.65</v>
      </c>
      <c r="E48" s="4">
        <f>GETPIVOTDATA("[Measures].[Сумма по столбцу fact_amount 2]",$B$18,"[public mart_plan_fact_history].[year]","[public mart_plan_fact_history].[year].&amp;[2026]","[public mart_plan_fact_history].[month]","[public mart_plan_fact_history].[month].&amp;[3]")/GETPIVOTDATA("[Measures].[Сумма по столбцу plan_amount 2]",$B$18,"[public mart_plan_fact_history].[year]","[public mart_plan_fact_history].[year].&amp;[2026]","[public mart_plan_fact_history].[month]","[public mart_plan_fact_history].[month].&amp;[3]")</f>
        <v>0.97209507563351649</v>
      </c>
    </row>
    <row r="49" spans="2:5" x14ac:dyDescent="0.35">
      <c r="B49" s="9">
        <v>4</v>
      </c>
      <c r="C49" s="3">
        <v>6298158.1900000004</v>
      </c>
      <c r="D49" s="3">
        <v>14118465.810000001</v>
      </c>
      <c r="E49" s="4">
        <f>GETPIVOTDATA("[Measures].[Сумма по столбцу fact_amount 2]",$B$18,"[public mart_plan_fact_history].[year]","[public mart_plan_fact_history].[year].&amp;[2026]","[public mart_plan_fact_history].[month]","[public mart_plan_fact_history].[month].&amp;[4]")/GETPIVOTDATA("[Measures].[Сумма по столбцу plan_amount 2]",$B$18,"[public mart_plan_fact_history].[year]","[public mart_plan_fact_history].[year].&amp;[2026]","[public mart_plan_fact_history].[month]","[public mart_plan_fact_history].[month].&amp;[4]")</f>
        <v>0.44609366731185929</v>
      </c>
    </row>
    <row r="50" spans="2:5" x14ac:dyDescent="0.35">
      <c r="B50" s="7" t="s">
        <v>73</v>
      </c>
      <c r="C50" s="3">
        <v>345515915.01999998</v>
      </c>
      <c r="D50" s="3">
        <v>367897396.18000001</v>
      </c>
      <c r="E50" s="1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1DE3C04-5D1E-4730-9512-7C0FCEC245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Сегодня</vt:lpstr>
      <vt:lpstr>Данные</vt:lpstr>
      <vt:lpstr>История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Lev Ts</dc:creator>
  <cp:lastModifiedBy>Shchinova</cp:lastModifiedBy>
  <dcterms:created xsi:type="dcterms:W3CDTF">2015-06-05T18:19:34Z</dcterms:created>
  <dcterms:modified xsi:type="dcterms:W3CDTF">2026-04-21T09:51:01Z</dcterms:modified>
</cp:coreProperties>
</file>