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60.Source\SmartMES\src\Micube.SmartMES.SPC\Resources\"/>
    </mc:Choice>
  </mc:AlternateContent>
  <bookViews>
    <workbookView xWindow="-30" yWindow="-60" windowWidth="15480" windowHeight="11640"/>
  </bookViews>
  <sheets>
    <sheet name="Datainsamling" sheetId="1" r:id="rId1"/>
    <sheet name="Rapport" sheetId="3" r:id="rId2"/>
  </sheets>
  <definedNames>
    <definedName name="AV_">Rapport!$C$18</definedName>
    <definedName name="EV_">Rapport!$C$12</definedName>
    <definedName name="GRR_">Rapport!$C$25</definedName>
    <definedName name="K1_">Rapport!$E$11</definedName>
    <definedName name="K2_">Rapport!$E$17</definedName>
    <definedName name="K3_">Rapport!$E$30</definedName>
    <definedName name="n_">Rapport!$B$20</definedName>
    <definedName name="_xlnm.Print_Area" localSheetId="0">Datainsamling!$A$1:$N$57</definedName>
    <definedName name="PV_">Rapport!$C$31</definedName>
    <definedName name="r_">Rapport!$D$20</definedName>
    <definedName name="R__">Rapport!$E$5</definedName>
    <definedName name="Tol">Rapport!$Q$8</definedName>
    <definedName name="Tolvidd">Rapport!$Q$9</definedName>
    <definedName name="TV_">Rapport!$C$37</definedName>
    <definedName name="Xdiff_">Rapport!$H$5</definedName>
  </definedNames>
  <calcPr calcId="162913"/>
</workbook>
</file>

<file path=xl/calcChain.xml><?xml version="1.0" encoding="utf-8"?>
<calcChain xmlns="http://schemas.openxmlformats.org/spreadsheetml/2006/main">
  <c r="E12" i="1" l="1"/>
  <c r="E48" i="1" s="1"/>
  <c r="L12" i="1"/>
  <c r="Q9" i="3"/>
  <c r="C24" i="1"/>
  <c r="D24" i="1"/>
  <c r="E24" i="1"/>
  <c r="F24" i="1"/>
  <c r="G24" i="1"/>
  <c r="H24" i="1"/>
  <c r="I24" i="1"/>
  <c r="J24" i="1"/>
  <c r="K24" i="1"/>
  <c r="L24" i="1"/>
  <c r="C13" i="1"/>
  <c r="C51" i="1"/>
  <c r="D13" i="1"/>
  <c r="D51" i="1"/>
  <c r="E13" i="1"/>
  <c r="E51" i="1"/>
  <c r="F13" i="1"/>
  <c r="F51" i="1"/>
  <c r="G13" i="1"/>
  <c r="G51" i="1" s="1"/>
  <c r="H13" i="1"/>
  <c r="H51" i="1"/>
  <c r="I13" i="1"/>
  <c r="I51" i="1"/>
  <c r="J13" i="1"/>
  <c r="J51" i="1"/>
  <c r="K13" i="1"/>
  <c r="K51" i="1" s="1"/>
  <c r="L13" i="1"/>
  <c r="L51" i="1"/>
  <c r="C18" i="1"/>
  <c r="C52" i="1"/>
  <c r="D18" i="1"/>
  <c r="D52" i="1"/>
  <c r="E18" i="1"/>
  <c r="E52" i="1" s="1"/>
  <c r="F18" i="1"/>
  <c r="F52" i="1"/>
  <c r="G18" i="1"/>
  <c r="G52" i="1" s="1"/>
  <c r="H18" i="1"/>
  <c r="H52" i="1" s="1"/>
  <c r="I18" i="1"/>
  <c r="I52" i="1" s="1"/>
  <c r="J18" i="1"/>
  <c r="J52" i="1"/>
  <c r="K18" i="1"/>
  <c r="K52" i="1" s="1"/>
  <c r="L18" i="1"/>
  <c r="L52" i="1" s="1"/>
  <c r="C23" i="1"/>
  <c r="C53" i="1"/>
  <c r="D23" i="1"/>
  <c r="D53" i="1"/>
  <c r="E23" i="1"/>
  <c r="N23" i="1" s="1"/>
  <c r="J26" i="1" s="1"/>
  <c r="F23" i="1"/>
  <c r="F53" i="1" s="1"/>
  <c r="G23" i="1"/>
  <c r="G53" i="1" s="1"/>
  <c r="H23" i="1"/>
  <c r="H53" i="1" s="1"/>
  <c r="I23" i="1"/>
  <c r="I53" i="1" s="1"/>
  <c r="J23" i="1"/>
  <c r="J53" i="1" s="1"/>
  <c r="K23" i="1"/>
  <c r="K53" i="1" s="1"/>
  <c r="L23" i="1"/>
  <c r="L53" i="1" s="1"/>
  <c r="C22" i="1"/>
  <c r="C50" i="1"/>
  <c r="D22" i="1"/>
  <c r="D50" i="1"/>
  <c r="E22" i="1"/>
  <c r="E50" i="1" s="1"/>
  <c r="F22" i="1"/>
  <c r="F50" i="1" s="1"/>
  <c r="G22" i="1"/>
  <c r="G50" i="1" s="1"/>
  <c r="H22" i="1"/>
  <c r="H50" i="1" s="1"/>
  <c r="I22" i="1"/>
  <c r="I50" i="1" s="1"/>
  <c r="J22" i="1"/>
  <c r="K22" i="1"/>
  <c r="K50" i="1" s="1"/>
  <c r="L22" i="1"/>
  <c r="L50" i="1" s="1"/>
  <c r="C12" i="1"/>
  <c r="C48" i="1"/>
  <c r="D12" i="1"/>
  <c r="D48" i="1"/>
  <c r="F12" i="1"/>
  <c r="F48" i="1"/>
  <c r="G12" i="1"/>
  <c r="G48" i="1"/>
  <c r="H12" i="1"/>
  <c r="H48" i="1" s="1"/>
  <c r="I12" i="1"/>
  <c r="I48" i="1"/>
  <c r="J12" i="1"/>
  <c r="J48" i="1"/>
  <c r="K12" i="1"/>
  <c r="K48" i="1"/>
  <c r="L48" i="1"/>
  <c r="C17" i="1"/>
  <c r="C49" i="1"/>
  <c r="D17" i="1"/>
  <c r="D49" i="1"/>
  <c r="E17" i="1"/>
  <c r="E49" i="1" s="1"/>
  <c r="F17" i="1"/>
  <c r="F49" i="1" s="1"/>
  <c r="G17" i="1"/>
  <c r="G49" i="1" s="1"/>
  <c r="H17" i="1"/>
  <c r="H49" i="1"/>
  <c r="I17" i="1"/>
  <c r="I49" i="1" s="1"/>
  <c r="J17" i="1"/>
  <c r="J49" i="1" s="1"/>
  <c r="K17" i="1"/>
  <c r="K49" i="1" s="1"/>
  <c r="L17" i="1"/>
  <c r="L49" i="1"/>
  <c r="G28" i="1"/>
  <c r="N21" i="1"/>
  <c r="N20" i="1"/>
  <c r="N19" i="1"/>
  <c r="N16" i="1"/>
  <c r="N15" i="1"/>
  <c r="N14" i="1"/>
  <c r="N11" i="1"/>
  <c r="N10" i="1"/>
  <c r="N9" i="1"/>
  <c r="J50" i="1"/>
  <c r="E30" i="3"/>
  <c r="E11" i="3"/>
  <c r="E17" i="3"/>
  <c r="N13" i="1"/>
  <c r="D26" i="1"/>
  <c r="N12" i="1"/>
  <c r="E53" i="1" l="1"/>
  <c r="N22" i="1"/>
  <c r="N17" i="1"/>
  <c r="D27" i="1" s="1"/>
  <c r="N18" i="1"/>
  <c r="G26" i="1" s="1"/>
  <c r="N26" i="1" s="1"/>
  <c r="N24" i="1"/>
  <c r="N25" i="1"/>
  <c r="D28" i="1" l="1"/>
  <c r="N28" i="1" s="1"/>
  <c r="E5" i="3"/>
  <c r="G27" i="1"/>
  <c r="N27" i="1" s="1"/>
  <c r="H5" i="3" s="1"/>
  <c r="C17" i="3" s="1"/>
  <c r="C12" i="3"/>
  <c r="C11" i="3"/>
  <c r="K5" i="3"/>
  <c r="C31" i="3" s="1"/>
  <c r="C30" i="3"/>
  <c r="G17" i="3" l="1"/>
  <c r="P12" i="3"/>
  <c r="C24" i="3"/>
  <c r="K11" i="3"/>
  <c r="K29" i="3"/>
  <c r="K35" i="3"/>
  <c r="P30" i="3"/>
  <c r="E36" i="3"/>
  <c r="C18" i="3"/>
  <c r="E24" i="3" l="1"/>
  <c r="P18" i="3"/>
  <c r="K17" i="3"/>
  <c r="C25" i="3"/>
  <c r="C37" i="3" l="1"/>
  <c r="K24" i="3" s="1"/>
  <c r="H46" i="3" s="1"/>
  <c r="P24" i="3"/>
  <c r="K23" i="3"/>
  <c r="L35" i="3"/>
  <c r="C36" i="3"/>
  <c r="K36" i="3"/>
  <c r="F46" i="3" l="1"/>
  <c r="L17" i="3"/>
  <c r="L11" i="3"/>
  <c r="L29" i="3"/>
  <c r="L23" i="3"/>
  <c r="K30" i="3"/>
  <c r="K12" i="3"/>
  <c r="K18" i="3"/>
</calcChain>
</file>

<file path=xl/comments1.xml><?xml version="1.0" encoding="utf-8"?>
<comments xmlns="http://schemas.openxmlformats.org/spreadsheetml/2006/main">
  <authors>
    <author>MIC10</author>
  </authors>
  <commentList>
    <comment ref="C9" authorId="0" shapeId="0">
      <text>
        <r>
          <rPr>
            <sz val="9"/>
            <color indexed="81"/>
            <rFont val="Tahoma"/>
            <family val="2"/>
          </rPr>
          <t>A_R01C01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>A_R01C02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A_R02C01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A_R02C02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A_R03C01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A_R03C02</t>
        </r>
      </text>
    </comment>
  </commentList>
</comments>
</file>

<file path=xl/sharedStrings.xml><?xml version="1.0" encoding="utf-8"?>
<sst xmlns="http://schemas.openxmlformats.org/spreadsheetml/2006/main" count="144" uniqueCount="100">
  <si>
    <t>Medel</t>
  </si>
  <si>
    <t>Average / Medel</t>
  </si>
  <si>
    <t>Range / Variationsvidd</t>
  </si>
  <si>
    <t>Detaljmedel</t>
  </si>
  <si>
    <t>Average /</t>
  </si>
  <si>
    <t>Antal Op.=</t>
  </si>
  <si>
    <t>Part Average /</t>
  </si>
  <si>
    <t>rad</t>
  </si>
  <si>
    <t xml:space="preserve">Överfört data: </t>
  </si>
  <si>
    <t>=</t>
  </si>
  <si>
    <t>Trials</t>
  </si>
  <si>
    <r>
      <t>K</t>
    </r>
    <r>
      <rPr>
        <b/>
        <vertAlign val="subscript"/>
        <sz val="10"/>
        <rFont val="Arial"/>
        <family val="2"/>
      </rPr>
      <t>1</t>
    </r>
  </si>
  <si>
    <t>%EV</t>
  </si>
  <si>
    <t>[EV/TV] * 100</t>
  </si>
  <si>
    <t>Appraisers</t>
  </si>
  <si>
    <r>
      <t>K</t>
    </r>
    <r>
      <rPr>
        <b/>
        <vertAlign val="subscript"/>
        <sz val="11"/>
        <rFont val="Arial"/>
        <family val="2"/>
      </rPr>
      <t>2</t>
    </r>
  </si>
  <si>
    <t xml:space="preserve"> = </t>
  </si>
  <si>
    <t>Parts</t>
  </si>
  <si>
    <r>
      <t>K</t>
    </r>
    <r>
      <rPr>
        <b/>
        <vertAlign val="subscript"/>
        <sz val="10"/>
        <rFont val="Arial"/>
        <family val="2"/>
      </rPr>
      <t>3</t>
    </r>
  </si>
  <si>
    <t xml:space="preserve"> =   </t>
  </si>
  <si>
    <t>%</t>
  </si>
  <si>
    <t>%AV</t>
  </si>
  <si>
    <t>[AV/TV] * 100</t>
  </si>
  <si>
    <t xml:space="preserve"> =  </t>
  </si>
  <si>
    <t>%GRR</t>
  </si>
  <si>
    <t>[GRR/TV] * 100</t>
  </si>
  <si>
    <t>[PV/TV] * 100</t>
  </si>
  <si>
    <t>%PV</t>
  </si>
  <si>
    <t>ndc</t>
  </si>
  <si>
    <t>Op A</t>
  </si>
  <si>
    <t>Op B</t>
  </si>
  <si>
    <t>Op C</t>
  </si>
  <si>
    <t xml:space="preserve">n = </t>
  </si>
  <si>
    <t xml:space="preserve">r = </t>
  </si>
  <si>
    <t>Toleransvidd</t>
  </si>
  <si>
    <t xml:space="preserve">ange Toleransen </t>
  </si>
  <si>
    <t>±</t>
  </si>
  <si>
    <t>[EV/(Tolvidd/6)]*100</t>
  </si>
  <si>
    <t>[AV/(Tolvidd/6)]*100</t>
  </si>
  <si>
    <t>[ GRR/(Tolvidd/6)] * 100</t>
  </si>
  <si>
    <t>[PV/(Tolvidd/6)]*100</t>
  </si>
  <si>
    <t xml:space="preserve"> Försöksnr.</t>
    <phoneticPr fontId="0" type="noConversion"/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</si>
  <si>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</si>
  <si>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</si>
  <si>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</si>
  <si>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</si>
  <si>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</si>
  <si>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</si>
  <si>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</si>
  <si>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</si>
  <si>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</si>
  <si>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X</t>
    <phoneticPr fontId="0" type="noConversion"/>
  </si>
  <si>
    <t>PART / Detalj nr.   (index i=1 - n)</t>
  </si>
  <si>
    <t>측 정 일 자</t>
    <phoneticPr fontId="0" type="noConversion"/>
  </si>
  <si>
    <t>공 정 명</t>
    <phoneticPr fontId="0" type="noConversion"/>
  </si>
  <si>
    <t>측 정 자</t>
    <phoneticPr fontId="0" type="noConversion"/>
  </si>
  <si>
    <t>관 리 번 호</t>
    <phoneticPr fontId="0" type="noConversion"/>
  </si>
  <si>
    <t>Gage R＆R Sheet</t>
    <phoneticPr fontId="0" type="noConversion"/>
  </si>
  <si>
    <t>% Toleransvidd</t>
    <phoneticPr fontId="0" type="noConversion"/>
  </si>
  <si>
    <r>
      <t>Repeatability [</t>
    </r>
    <r>
      <rPr>
        <b/>
        <sz val="11"/>
        <rFont val="돋움"/>
        <family val="3"/>
        <charset val="129"/>
      </rPr>
      <t>반복성</t>
    </r>
    <r>
      <rPr>
        <b/>
        <sz val="11"/>
        <rFont val="Arial"/>
        <family val="2"/>
      </rPr>
      <t>] - Equipment Variation (EV)</t>
    </r>
    <phoneticPr fontId="0" type="noConversion"/>
  </si>
  <si>
    <r>
      <t>Reproducibility [</t>
    </r>
    <r>
      <rPr>
        <b/>
        <sz val="11"/>
        <rFont val="돋움"/>
        <family val="3"/>
        <charset val="129"/>
      </rPr>
      <t>재현성</t>
    </r>
    <r>
      <rPr>
        <b/>
        <sz val="11"/>
        <rFont val="Arial"/>
        <family val="2"/>
      </rPr>
      <t>] - Appraiser Variation (AV)</t>
    </r>
    <phoneticPr fontId="0" type="noConversion"/>
  </si>
  <si>
    <r>
      <t>Repeatability and Reproducibility [</t>
    </r>
    <r>
      <rPr>
        <b/>
        <sz val="11"/>
        <rFont val="돋움"/>
        <family val="3"/>
        <charset val="129"/>
      </rPr>
      <t>반복성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과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재현성</t>
    </r>
    <r>
      <rPr>
        <b/>
        <sz val="11"/>
        <rFont val="Arial"/>
        <family val="2"/>
      </rPr>
      <t>] (GRR)</t>
    </r>
    <phoneticPr fontId="0" type="noConversion"/>
  </si>
  <si>
    <r>
      <t>% Total Variation (TV) [</t>
    </r>
    <r>
      <rPr>
        <b/>
        <sz val="11"/>
        <rFont val="돋움"/>
        <family val="3"/>
        <charset val="129"/>
      </rPr>
      <t>합계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변화</t>
    </r>
    <r>
      <rPr>
        <b/>
        <sz val="11"/>
        <rFont val="Arial"/>
        <family val="2"/>
      </rPr>
      <t>]</t>
    </r>
    <phoneticPr fontId="0" type="noConversion"/>
  </si>
  <si>
    <r>
      <t>Measurement Unit Analysis [</t>
    </r>
    <r>
      <rPr>
        <b/>
        <sz val="11"/>
        <rFont val="돋움"/>
        <family val="3"/>
        <charset val="129"/>
      </rPr>
      <t>측정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단위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분석</t>
    </r>
    <r>
      <rPr>
        <b/>
        <sz val="11"/>
        <rFont val="Arial"/>
        <family val="2"/>
      </rPr>
      <t>]</t>
    </r>
    <phoneticPr fontId="0" type="noConversion"/>
  </si>
  <si>
    <r>
      <t>Part Variation [</t>
    </r>
    <r>
      <rPr>
        <b/>
        <sz val="11"/>
        <rFont val="돋움"/>
        <family val="3"/>
        <charset val="129"/>
      </rPr>
      <t>일부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변화율</t>
    </r>
    <r>
      <rPr>
        <b/>
        <sz val="11"/>
        <rFont val="Arial"/>
        <family val="2"/>
      </rPr>
      <t>] (PV)</t>
    </r>
    <phoneticPr fontId="0" type="noConversion"/>
  </si>
  <si>
    <r>
      <t>Total Variation [</t>
    </r>
    <r>
      <rPr>
        <b/>
        <sz val="11"/>
        <rFont val="돋움"/>
        <family val="3"/>
        <charset val="129"/>
      </rPr>
      <t>전체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변동</t>
    </r>
    <r>
      <rPr>
        <b/>
        <sz val="11"/>
        <rFont val="Arial"/>
        <family val="2"/>
      </rPr>
      <t>] (TV)</t>
    </r>
    <phoneticPr fontId="0" type="noConversion"/>
  </si>
  <si>
    <t>Sammanställning för diagram</t>
    <phoneticPr fontId="0" type="noConversion"/>
  </si>
  <si>
    <r>
      <t xml:space="preserve">Operatör </t>
    </r>
    <r>
      <rPr>
        <sz val="8"/>
        <rFont val="Arial"/>
        <family val="2"/>
      </rPr>
      <t>ind.j=1 - k</t>
    </r>
    <phoneticPr fontId="0" type="noConversion"/>
  </si>
  <si>
    <r>
      <t>A 2차</t>
    </r>
    <r>
      <rPr>
        <sz val="10"/>
        <rFont val="돋움"/>
        <family val="3"/>
        <charset val="129"/>
      </rPr>
      <t/>
    </r>
  </si>
  <si>
    <r>
      <t>A 3차</t>
    </r>
    <r>
      <rPr>
        <sz val="10"/>
        <rFont val="돋움"/>
        <family val="3"/>
        <charset val="129"/>
      </rPr>
      <t/>
    </r>
  </si>
  <si>
    <r>
      <t>B 2차</t>
    </r>
    <r>
      <rPr>
        <sz val="10"/>
        <rFont val="돋움"/>
        <family val="3"/>
        <charset val="129"/>
      </rPr>
      <t/>
    </r>
  </si>
  <si>
    <r>
      <t>B 3차</t>
    </r>
    <r>
      <rPr>
        <sz val="10"/>
        <rFont val="돋움"/>
        <family val="3"/>
        <charset val="129"/>
      </rPr>
      <t/>
    </r>
  </si>
  <si>
    <r>
      <t>C 2차</t>
    </r>
    <r>
      <rPr>
        <sz val="10"/>
        <rFont val="돋움"/>
        <family val="3"/>
        <charset val="129"/>
      </rPr>
      <t/>
    </r>
  </si>
  <si>
    <r>
      <t>C 3차</t>
    </r>
    <r>
      <rPr>
        <sz val="10"/>
        <rFont val="돋움"/>
        <family val="3"/>
        <charset val="129"/>
      </rPr>
      <t/>
    </r>
  </si>
  <si>
    <r>
      <t>A 1</t>
    </r>
    <r>
      <rPr>
        <sz val="10"/>
        <rFont val="돋움"/>
        <family val="3"/>
        <charset val="129"/>
      </rPr>
      <t>차</t>
    </r>
    <phoneticPr fontId="0" type="noConversion"/>
  </si>
  <si>
    <r>
      <t>B 1</t>
    </r>
    <r>
      <rPr>
        <sz val="10"/>
        <rFont val="돋움"/>
        <family val="3"/>
        <charset val="129"/>
      </rPr>
      <t>차</t>
    </r>
    <phoneticPr fontId="0" type="noConversion"/>
  </si>
  <si>
    <r>
      <t>C 1</t>
    </r>
    <r>
      <rPr>
        <sz val="10"/>
        <rFont val="돋움"/>
        <family val="3"/>
        <charset val="129"/>
      </rPr>
      <t>차</t>
    </r>
    <phoneticPr fontId="0" type="noConversion"/>
  </si>
  <si>
    <t>* 10% 미만인 경우 :</t>
  </si>
  <si>
    <t xml:space="preserve"> </t>
  </si>
  <si>
    <t>결 론</t>
  </si>
  <si>
    <t>Acceptability Criteria for %R&amp;R (% of Total Variation)</t>
    <phoneticPr fontId="14" type="noConversion"/>
  </si>
  <si>
    <t xml:space="preserve">* 10% ~30% 인 경우 : </t>
    <phoneticPr fontId="14" type="noConversion"/>
  </si>
  <si>
    <t>계측기의 수리비용, 측정오차의심각성등을  고려하여 조치여부를 결정함.(계측기교환 / 측정자 교육)</t>
    <phoneticPr fontId="14" type="noConversion"/>
  </si>
  <si>
    <t xml:space="preserve">* 30% 이상인 경우 : </t>
    <phoneticPr fontId="14" type="noConversion"/>
  </si>
  <si>
    <t>계측기 관리가 미흡하며 반드시 계측기 오차의 원인을 규명하여 조치가 필요함.</t>
    <phoneticPr fontId="14" type="noConversion"/>
  </si>
  <si>
    <t>NOTE:   ☞  R&amp;R 평가결과</t>
    <phoneticPr fontId="14" type="noConversion"/>
  </si>
  <si>
    <t>로써</t>
    <phoneticPr fontId="14" type="noConversion"/>
  </si>
  <si>
    <t>(PV / GRR) X 1.41</t>
    <phoneticPr fontId="0" type="noConversion"/>
  </si>
  <si>
    <t>계측기관리가 양호함.</t>
    <phoneticPr fontId="0" type="noConversion"/>
  </si>
  <si>
    <r>
      <rPr>
        <sz val="10"/>
        <rFont val="돋움"/>
        <family val="3"/>
        <charset val="129"/>
      </rPr>
      <t>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</t>
    </r>
    <phoneticPr fontId="0" type="noConversion"/>
  </si>
  <si>
    <t>A</t>
    <phoneticPr fontId="0" type="noConversion"/>
  </si>
  <si>
    <t>SPL1</t>
    <phoneticPr fontId="0" type="noConversion"/>
  </si>
  <si>
    <r>
      <t>IF-</t>
    </r>
    <r>
      <rPr>
        <sz val="10"/>
        <rFont val="돋움"/>
        <family val="3"/>
        <charset val="129"/>
      </rPr>
      <t>계측</t>
    </r>
    <r>
      <rPr>
        <sz val="10"/>
        <rFont val="Arial"/>
        <family val="2"/>
      </rPr>
      <t>-019</t>
    </r>
    <phoneticPr fontId="0" type="noConversion"/>
  </si>
  <si>
    <t>전해식두께측정기</t>
    <phoneticPr fontId="0" type="noConversion"/>
  </si>
  <si>
    <t>엠손 동도금</t>
    <phoneticPr fontId="0" type="noConversion"/>
  </si>
  <si>
    <t>우태경</t>
    <phoneticPr fontId="0" type="noConversion"/>
  </si>
  <si>
    <t>B</t>
    <phoneticPr fontId="0" type="noConversion"/>
  </si>
  <si>
    <t>이재승</t>
    <phoneticPr fontId="0" type="noConversion"/>
  </si>
  <si>
    <t>C</t>
    <phoneticPr fontId="0" type="noConversion"/>
  </si>
  <si>
    <t>류경현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</si>
</sst>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93" formatCode="0.00000"/>
    <numFmt numFmtId="194" formatCode="0.0000"/>
    <numFmt numFmtId="195" formatCode="0.000"/>
    <numFmt numFmtId="196" formatCode="0.0"/>
    <numFmt numFmtId="202" formatCode="0.0%"/>
  </numFmts>
  <fonts count="19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bscript"/>
      <sz val="10"/>
      <name val="Arial"/>
      <family val="2"/>
    </font>
    <font>
      <b/>
      <vertAlign val="subscript"/>
      <sz val="11"/>
      <name val="Arial"/>
      <family val="2"/>
    </font>
    <font>
      <sz val="10"/>
      <name val="돋움"/>
      <family val="3"/>
      <charset val="129"/>
    </font>
    <font>
      <b/>
      <sz val="15"/>
      <name val="돋움"/>
      <family val="3"/>
      <charset val="129"/>
    </font>
    <font>
      <b/>
      <sz val="11"/>
      <name val="돋움"/>
      <family val="3"/>
      <charset val="129"/>
    </font>
    <font>
      <sz val="8"/>
      <name val="Arial"/>
      <family val="2"/>
    </font>
    <font>
      <sz val="12"/>
      <name val="바탕체"/>
      <family val="1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sz val="8"/>
      <name val="바탕"/>
      <family val="1"/>
      <charset val="129"/>
    </font>
    <font>
      <b/>
      <sz val="12"/>
      <name val="Symbol"/>
      <family val="1"/>
      <charset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50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95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194" fontId="1" fillId="0" borderId="5" xfId="0" applyNumberFormat="1" applyFont="1" applyBorder="1" applyAlignment="1">
      <alignment horizontal="right" vertical="center"/>
    </xf>
    <xf numFmtId="195" fontId="1" fillId="0" borderId="6" xfId="0" applyNumberFormat="1" applyFont="1" applyBorder="1" applyAlignment="1">
      <alignment horizontal="center" vertical="center"/>
    </xf>
    <xf numFmtId="194" fontId="1" fillId="0" borderId="7" xfId="0" applyNumberFormat="1" applyFont="1" applyBorder="1" applyAlignment="1">
      <alignment horizontal="right" vertical="center"/>
    </xf>
    <xf numFmtId="0" fontId="0" fillId="0" borderId="8" xfId="0" applyBorder="1"/>
    <xf numFmtId="195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94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193" fontId="3" fillId="0" borderId="0" xfId="0" applyNumberFormat="1" applyFont="1" applyBorder="1" applyAlignment="1">
      <alignment horizontal="center"/>
    </xf>
    <xf numFmtId="0" fontId="0" fillId="0" borderId="12" xfId="0" applyBorder="1"/>
    <xf numFmtId="194" fontId="1" fillId="0" borderId="13" xfId="0" applyNumberFormat="1" applyFont="1" applyBorder="1" applyAlignment="1">
      <alignment horizontal="right" vertical="center"/>
    </xf>
    <xf numFmtId="0" fontId="0" fillId="0" borderId="5" xfId="0" applyBorder="1"/>
    <xf numFmtId="193" fontId="3" fillId="0" borderId="0" xfId="0" applyNumberFormat="1" applyFont="1" applyBorder="1"/>
    <xf numFmtId="0" fontId="3" fillId="0" borderId="0" xfId="0" applyFont="1" applyBorder="1"/>
    <xf numFmtId="0" fontId="0" fillId="0" borderId="13" xfId="0" applyBorder="1"/>
    <xf numFmtId="194" fontId="4" fillId="0" borderId="0" xfId="0" applyNumberFormat="1" applyFont="1" applyBorder="1"/>
    <xf numFmtId="0" fontId="4" fillId="0" borderId="0" xfId="0" applyFont="1" applyBorder="1"/>
    <xf numFmtId="193" fontId="4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93" fontId="0" fillId="0" borderId="0" xfId="0" applyNumberFormat="1" applyBorder="1"/>
    <xf numFmtId="0" fontId="2" fillId="0" borderId="0" xfId="0" applyFont="1" applyBorder="1"/>
    <xf numFmtId="0" fontId="0" fillId="0" borderId="12" xfId="0" applyBorder="1" applyAlignment="1">
      <alignment horizontal="right"/>
    </xf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93" fontId="2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right"/>
    </xf>
    <xf numFmtId="193" fontId="1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94" fontId="3" fillId="0" borderId="0" xfId="0" applyNumberFormat="1" applyFont="1" applyBorder="1" applyAlignment="1">
      <alignment horizontal="center"/>
    </xf>
    <xf numFmtId="196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/>
    </xf>
    <xf numFmtId="196" fontId="3" fillId="0" borderId="0" xfId="0" applyNumberFormat="1" applyFont="1" applyAlignment="1">
      <alignment horizontal="center"/>
    </xf>
    <xf numFmtId="195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right"/>
    </xf>
    <xf numFmtId="193" fontId="2" fillId="0" borderId="0" xfId="0" applyNumberFormat="1" applyFont="1" applyBorder="1" applyAlignment="1">
      <alignment horizontal="left"/>
    </xf>
    <xf numFmtId="193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95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93" fontId="0" fillId="0" borderId="0" xfId="0" applyNumberFormat="1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195" fontId="0" fillId="0" borderId="0" xfId="0" applyNumberFormat="1" applyAlignment="1">
      <alignment vertical="center"/>
    </xf>
    <xf numFmtId="0" fontId="3" fillId="0" borderId="3" xfId="0" applyFont="1" applyBorder="1"/>
    <xf numFmtId="0" fontId="3" fillId="0" borderId="3" xfId="0" applyFont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3" fillId="0" borderId="0" xfId="1" applyFont="1" applyBorder="1" applyAlignment="1" applyProtection="1">
      <alignment vertical="center"/>
      <protection locked="0"/>
    </xf>
    <xf numFmtId="0" fontId="9" fillId="0" borderId="0" xfId="1" applyFont="1" applyBorder="1" applyAlignment="1" applyProtection="1">
      <alignment vertical="center"/>
      <protection locked="0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9" fillId="0" borderId="0" xfId="1" applyFont="1" applyFill="1" applyBorder="1" applyAlignment="1" applyProtection="1">
      <alignment horizontal="centerContinuous" vertical="center"/>
      <protection locked="0"/>
    </xf>
    <xf numFmtId="0" fontId="13" fillId="0" borderId="0" xfId="1" quotePrefix="1" applyFont="1" applyFill="1" applyBorder="1" applyAlignment="1" applyProtection="1">
      <alignment horizontal="center" vertical="center"/>
      <protection locked="0"/>
    </xf>
    <xf numFmtId="0" fontId="9" fillId="0" borderId="0" xfId="1" applyFont="1" applyFill="1" applyBorder="1" applyAlignment="1" applyProtection="1">
      <alignment horizontal="left" vertical="center"/>
      <protection locked="0"/>
    </xf>
    <xf numFmtId="0" fontId="13" fillId="0" borderId="0" xfId="1" quotePrefix="1" applyFont="1" applyBorder="1" applyAlignment="1" applyProtection="1">
      <alignment horizontal="left" vertical="center"/>
      <protection locked="0"/>
    </xf>
    <xf numFmtId="0" fontId="13" fillId="0" borderId="0" xfId="1" applyFont="1" applyFill="1" applyBorder="1" applyAlignment="1" applyProtection="1">
      <alignment vertical="center"/>
      <protection locked="0"/>
    </xf>
    <xf numFmtId="0" fontId="9" fillId="0" borderId="0" xfId="1" quotePrefix="1" applyFont="1" applyBorder="1" applyAlignment="1" applyProtection="1">
      <alignment horizontal="left" vertical="center"/>
      <protection locked="0"/>
    </xf>
    <xf numFmtId="0" fontId="13" fillId="0" borderId="0" xfId="1" applyFont="1" applyFill="1" applyBorder="1" applyAlignment="1" applyProtection="1">
      <alignment horizontal="centerContinuous" vertical="center"/>
      <protection locked="0"/>
    </xf>
    <xf numFmtId="0" fontId="9" fillId="0" borderId="0" xfId="1" applyFont="1" applyBorder="1" applyAlignment="1" applyProtection="1">
      <alignment vertical="center"/>
    </xf>
    <xf numFmtId="0" fontId="12" fillId="0" borderId="0" xfId="1" applyFont="1" applyFill="1" applyBorder="1" applyAlignment="1" applyProtection="1">
      <alignment vertic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0" fillId="0" borderId="0" xfId="0" applyFont="1"/>
    <xf numFmtId="0" fontId="3" fillId="0" borderId="10" xfId="0" applyFont="1" applyBorder="1" applyAlignment="1">
      <alignment horizontal="right" vertical="center"/>
    </xf>
    <xf numFmtId="0" fontId="1" fillId="0" borderId="0" xfId="0" applyFont="1" applyBorder="1"/>
    <xf numFmtId="0" fontId="1" fillId="0" borderId="0" xfId="0" applyFont="1" applyFill="1" applyBorder="1"/>
    <xf numFmtId="0" fontId="15" fillId="0" borderId="0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/>
    <xf numFmtId="202" fontId="9" fillId="0" borderId="0" xfId="1" applyNumberFormat="1" applyFont="1" applyBorder="1" applyAlignment="1" applyProtection="1">
      <alignment vertical="center"/>
    </xf>
    <xf numFmtId="10" fontId="9" fillId="0" borderId="0" xfId="1" applyNumberFormat="1" applyFont="1" applyBorder="1" applyAlignment="1" applyProtection="1">
      <alignment vertical="center"/>
    </xf>
    <xf numFmtId="0" fontId="9" fillId="0" borderId="0" xfId="1" applyFont="1" applyAlignment="1" applyProtection="1">
      <alignment horizontal="center" vertical="center"/>
      <protection locked="0"/>
    </xf>
    <xf numFmtId="19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1" fontId="0" fillId="0" borderId="2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4" borderId="5" xfId="0" applyNumberFormat="1" applyFill="1" applyBorder="1" applyAlignment="1" applyProtection="1">
      <alignment horizontal="center" vertical="center"/>
      <protection locked="0"/>
    </xf>
    <xf numFmtId="2" fontId="0" fillId="5" borderId="2" xfId="0" applyNumberForma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>
      <alignment horizontal="center"/>
    </xf>
    <xf numFmtId="0" fontId="13" fillId="0" borderId="0" xfId="1" applyFont="1" applyFill="1" applyBorder="1" applyAlignment="1" applyProtection="1">
      <alignment horizontal="left" vertical="center"/>
      <protection locked="0"/>
    </xf>
  </cellXfs>
  <cellStyles count="2">
    <cellStyle name="표준" xfId="0" builtinId="0"/>
    <cellStyle name="표준_GAGE-RnR-CAP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3807568939788"/>
          <c:y val="9.0225563909774431E-2"/>
          <c:w val="0.83138268372031854"/>
          <c:h val="0.75939849624060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Datainsamling!$B$51</c:f>
              <c:strCache>
                <c:ptCount val="1"/>
                <c:pt idx="0">
                  <c:v>Op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Datainsamling!$C$47:$L$47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Datainsamling!$C$51:$L$51</c:f>
              <c:numCache>
                <c:formatCode>0.000</c:formatCode>
                <c:ptCount val="10"/>
                <c:pt idx="0">
                  <c:v>2.9999999999999805E-2</c:v>
                </c:pt>
                <c:pt idx="1">
                  <c:v>3.0000000000000249E-2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2-4412-9F63-309086483108}"/>
            </c:ext>
          </c:extLst>
        </c:ser>
        <c:ser>
          <c:idx val="1"/>
          <c:order val="1"/>
          <c:tx>
            <c:strRef>
              <c:f>Datainsamling!$B$52</c:f>
              <c:strCache>
                <c:ptCount val="1"/>
                <c:pt idx="0">
                  <c:v>Op 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Datainsamling!$C$47:$L$47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Datainsamling!$C$52:$L$52</c:f>
              <c:numCache>
                <c:formatCode>0.000</c:formatCode>
                <c:ptCount val="10"/>
                <c:pt idx="0">
                  <c:v>4.0000000000000036E-2</c:v>
                </c:pt>
                <c:pt idx="1">
                  <c:v>2.0000000000000018E-2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2-4412-9F63-309086483108}"/>
            </c:ext>
          </c:extLst>
        </c:ser>
        <c:ser>
          <c:idx val="2"/>
          <c:order val="2"/>
          <c:tx>
            <c:strRef>
              <c:f>Datainsamling!$B$53</c:f>
              <c:strCache>
                <c:ptCount val="1"/>
                <c:pt idx="0">
                  <c:v>Op 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Datainsamling!$C$47:$L$47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Datainsamling!$C$53:$L$53</c:f>
              <c:numCache>
                <c:formatCode>0.000</c:formatCode>
                <c:ptCount val="10"/>
                <c:pt idx="0">
                  <c:v>3.0000000000000249E-2</c:v>
                </c:pt>
                <c:pt idx="1">
                  <c:v>2.9999999999999805E-2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2-4412-9F63-30908648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28048"/>
        <c:axId val="1"/>
      </c:scatterChart>
      <c:valAx>
        <c:axId val="259928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59928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6670628435587"/>
          <c:y val="1.8797185235566487E-2"/>
          <c:w val="0.14754122715792595"/>
          <c:h val="0.173773859662890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 b="1"/>
              <a:t>Mean för 3 operatörer</a:t>
            </a:r>
          </a:p>
        </c:rich>
      </c:tx>
      <c:layout>
        <c:manualLayout>
          <c:xMode val="edge"/>
          <c:yMode val="edge"/>
          <c:x val="0.35363071182367262"/>
          <c:y val="2.621732283464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3807568939788"/>
          <c:y val="0.15355861408083918"/>
          <c:w val="0.81967306845665211"/>
          <c:h val="0.67415976913539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Datainsamling!$B$48</c:f>
              <c:strCache>
                <c:ptCount val="1"/>
                <c:pt idx="0">
                  <c:v>Op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Datainsamling!$C$47:$L$47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Datainsamling!$C$48:$L$48</c:f>
              <c:numCache>
                <c:formatCode>0.000</c:formatCode>
                <c:ptCount val="10"/>
                <c:pt idx="0">
                  <c:v>3.4466666666666668</c:v>
                </c:pt>
                <c:pt idx="1">
                  <c:v>2.686666666666667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6-4954-94F5-14323D80B309}"/>
            </c:ext>
          </c:extLst>
        </c:ser>
        <c:ser>
          <c:idx val="1"/>
          <c:order val="1"/>
          <c:tx>
            <c:strRef>
              <c:f>Datainsamling!$B$49</c:f>
              <c:strCache>
                <c:ptCount val="1"/>
                <c:pt idx="0">
                  <c:v>Op 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Datainsamling!$C$47:$L$47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Datainsamling!$C$49:$L$49</c:f>
              <c:numCache>
                <c:formatCode>0.000</c:formatCode>
                <c:ptCount val="10"/>
                <c:pt idx="0">
                  <c:v>3.4333333333333336</c:v>
                </c:pt>
                <c:pt idx="1">
                  <c:v>2.6233333333333335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6-4954-94F5-14323D80B309}"/>
            </c:ext>
          </c:extLst>
        </c:ser>
        <c:ser>
          <c:idx val="2"/>
          <c:order val="2"/>
          <c:tx>
            <c:strRef>
              <c:f>Datainsamling!$B$50</c:f>
              <c:strCache>
                <c:ptCount val="1"/>
                <c:pt idx="0">
                  <c:v>Op 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Datainsamling!$C$47:$L$47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Datainsamling!$C$50:$L$50</c:f>
              <c:numCache>
                <c:formatCode>0.000</c:formatCode>
                <c:ptCount val="10"/>
                <c:pt idx="0">
                  <c:v>3.4133333333333336</c:v>
                </c:pt>
                <c:pt idx="1">
                  <c:v>2.6133333333333333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6-4954-94F5-14323D80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67568"/>
        <c:axId val="1"/>
      </c:scatterChart>
      <c:valAx>
        <c:axId val="25966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59667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75033994244697"/>
          <c:y val="1.8726859142607175E-2"/>
          <c:w val="0.15133061379375767"/>
          <c:h val="0.187957655293088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emf"/><Relationship Id="rId3" Type="http://schemas.openxmlformats.org/officeDocument/2006/relationships/image" Target="../media/image26.emf"/><Relationship Id="rId7" Type="http://schemas.openxmlformats.org/officeDocument/2006/relationships/image" Target="../media/image30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Relationship Id="rId6" Type="http://schemas.openxmlformats.org/officeDocument/2006/relationships/image" Target="../media/image29.emf"/><Relationship Id="rId5" Type="http://schemas.openxmlformats.org/officeDocument/2006/relationships/image" Target="../media/image28.emf"/><Relationship Id="rId4" Type="http://schemas.openxmlformats.org/officeDocument/2006/relationships/image" Target="../media/image27.emf"/><Relationship Id="rId9" Type="http://schemas.openxmlformats.org/officeDocument/2006/relationships/image" Target="../media/image3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28</xdr:row>
      <xdr:rowOff>47625</xdr:rowOff>
    </xdr:from>
    <xdr:to>
      <xdr:col>13</xdr:col>
      <xdr:colOff>781050</xdr:colOff>
      <xdr:row>44</xdr:row>
      <xdr:rowOff>47625</xdr:rowOff>
    </xdr:to>
    <xdr:graphicFrame macro="">
      <xdr:nvGraphicFramePr>
        <xdr:cNvPr id="1206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28</xdr:row>
      <xdr:rowOff>47625</xdr:rowOff>
    </xdr:from>
    <xdr:to>
      <xdr:col>7</xdr:col>
      <xdr:colOff>76200</xdr:colOff>
      <xdr:row>44</xdr:row>
      <xdr:rowOff>38100</xdr:rowOff>
    </xdr:to>
    <xdr:graphicFrame macro="">
      <xdr:nvGraphicFramePr>
        <xdr:cNvPr id="1207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9525</xdr:colOff>
      <xdr:row>12</xdr:row>
      <xdr:rowOff>38100</xdr:rowOff>
    </xdr:from>
    <xdr:to>
      <xdr:col>13</xdr:col>
      <xdr:colOff>85725</xdr:colOff>
      <xdr:row>12</xdr:row>
      <xdr:rowOff>304800</xdr:rowOff>
    </xdr:to>
    <xdr:pic>
      <xdr:nvPicPr>
        <xdr:cNvPr id="120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762250"/>
          <a:ext cx="457200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11</xdr:row>
          <xdr:rowOff>38100</xdr:rowOff>
        </xdr:from>
        <xdr:to>
          <xdr:col>13</xdr:col>
          <xdr:colOff>85725</xdr:colOff>
          <xdr:row>11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17</xdr:row>
          <xdr:rowOff>38100</xdr:rowOff>
        </xdr:from>
        <xdr:to>
          <xdr:col>13</xdr:col>
          <xdr:colOff>66675</xdr:colOff>
          <xdr:row>17</xdr:row>
          <xdr:rowOff>304800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22</xdr:row>
          <xdr:rowOff>9525</xdr:rowOff>
        </xdr:from>
        <xdr:to>
          <xdr:col>13</xdr:col>
          <xdr:colOff>66675</xdr:colOff>
          <xdr:row>22</xdr:row>
          <xdr:rowOff>285750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21</xdr:row>
          <xdr:rowOff>19050</xdr:rowOff>
        </xdr:from>
        <xdr:to>
          <xdr:col>13</xdr:col>
          <xdr:colOff>85725</xdr:colOff>
          <xdr:row>21</xdr:row>
          <xdr:rowOff>295275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16</xdr:row>
          <xdr:rowOff>19050</xdr:rowOff>
        </xdr:from>
        <xdr:to>
          <xdr:col>13</xdr:col>
          <xdr:colOff>66675</xdr:colOff>
          <xdr:row>16</xdr:row>
          <xdr:rowOff>285750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9525</xdr:rowOff>
        </xdr:from>
        <xdr:to>
          <xdr:col>12</xdr:col>
          <xdr:colOff>361950</xdr:colOff>
          <xdr:row>23</xdr:row>
          <xdr:rowOff>257175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25</xdr:row>
          <xdr:rowOff>38100</xdr:rowOff>
        </xdr:from>
        <xdr:to>
          <xdr:col>13</xdr:col>
          <xdr:colOff>9525</xdr:colOff>
          <xdr:row>25</xdr:row>
          <xdr:rowOff>285750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25</xdr:row>
          <xdr:rowOff>38100</xdr:rowOff>
        </xdr:from>
        <xdr:to>
          <xdr:col>2</xdr:col>
          <xdr:colOff>523875</xdr:colOff>
          <xdr:row>25</xdr:row>
          <xdr:rowOff>304800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25</xdr:row>
          <xdr:rowOff>47625</xdr:rowOff>
        </xdr:from>
        <xdr:to>
          <xdr:col>8</xdr:col>
          <xdr:colOff>523875</xdr:colOff>
          <xdr:row>25</xdr:row>
          <xdr:rowOff>323850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25</xdr:row>
          <xdr:rowOff>38100</xdr:rowOff>
        </xdr:from>
        <xdr:to>
          <xdr:col>5</xdr:col>
          <xdr:colOff>542925</xdr:colOff>
          <xdr:row>25</xdr:row>
          <xdr:rowOff>304800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276225</xdr:rowOff>
        </xdr:from>
        <xdr:to>
          <xdr:col>13</xdr:col>
          <xdr:colOff>66675</xdr:colOff>
          <xdr:row>24</xdr:row>
          <xdr:rowOff>257175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26</xdr:row>
          <xdr:rowOff>38100</xdr:rowOff>
        </xdr:from>
        <xdr:to>
          <xdr:col>3</xdr:col>
          <xdr:colOff>47625</xdr:colOff>
          <xdr:row>26</xdr:row>
          <xdr:rowOff>304800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26</xdr:row>
          <xdr:rowOff>38100</xdr:rowOff>
        </xdr:from>
        <xdr:to>
          <xdr:col>6</xdr:col>
          <xdr:colOff>0</xdr:colOff>
          <xdr:row>26</xdr:row>
          <xdr:rowOff>304800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26</xdr:row>
          <xdr:rowOff>57150</xdr:rowOff>
        </xdr:from>
        <xdr:to>
          <xdr:col>11</xdr:col>
          <xdr:colOff>66675</xdr:colOff>
          <xdr:row>26</xdr:row>
          <xdr:rowOff>323850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27</xdr:row>
          <xdr:rowOff>47625</xdr:rowOff>
        </xdr:from>
        <xdr:to>
          <xdr:col>2</xdr:col>
          <xdr:colOff>495300</xdr:colOff>
          <xdr:row>27</xdr:row>
          <xdr:rowOff>295275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27</xdr:row>
          <xdr:rowOff>57150</xdr:rowOff>
        </xdr:from>
        <xdr:to>
          <xdr:col>5</xdr:col>
          <xdr:colOff>542925</xdr:colOff>
          <xdr:row>27</xdr:row>
          <xdr:rowOff>304800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27</xdr:row>
          <xdr:rowOff>38100</xdr:rowOff>
        </xdr:from>
        <xdr:to>
          <xdr:col>10</xdr:col>
          <xdr:colOff>152400</xdr:colOff>
          <xdr:row>27</xdr:row>
          <xdr:rowOff>333375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26</xdr:row>
          <xdr:rowOff>38100</xdr:rowOff>
        </xdr:from>
        <xdr:to>
          <xdr:col>13</xdr:col>
          <xdr:colOff>285750</xdr:colOff>
          <xdr:row>26</xdr:row>
          <xdr:rowOff>304800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27</xdr:row>
          <xdr:rowOff>57150</xdr:rowOff>
        </xdr:from>
        <xdr:to>
          <xdr:col>13</xdr:col>
          <xdr:colOff>314325</xdr:colOff>
          <xdr:row>27</xdr:row>
          <xdr:rowOff>304800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0.35465</cdr:x>
      <cdr:y>0.01873</cdr:y>
    </cdr:from>
    <cdr:to>
      <cdr:x>0.63329</cdr:x>
      <cdr:y>0.06788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1283" y="53731"/>
          <a:ext cx="1124539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ko-K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Range för 3 operatörer</a:t>
          </a:r>
        </a:p>
      </cdr:txBody>
    </cdr:sp>
  </cdr:relSizeAnchor>
  <cdr:relSizeAnchor xmlns:cdr="http://schemas.openxmlformats.org/drawingml/2006/chartDrawing">
    <cdr:from>
      <cdr:x>0.40453</cdr:x>
      <cdr:y>0.91029</cdr:y>
    </cdr:from>
    <cdr:to>
      <cdr:x>0.51085</cdr:x>
      <cdr:y>0.95944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2375" y="2611354"/>
          <a:ext cx="429028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Detalj nr.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0.38158</cdr:x>
      <cdr:y>0.92479</cdr:y>
    </cdr:from>
    <cdr:to>
      <cdr:x>0.49005</cdr:x>
      <cdr:y>0.97411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9193" y="2644142"/>
          <a:ext cx="429028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Detalj nr.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14</xdr:row>
      <xdr:rowOff>104775</xdr:rowOff>
    </xdr:from>
    <xdr:to>
      <xdr:col>5</xdr:col>
      <xdr:colOff>352425</xdr:colOff>
      <xdr:row>15</xdr:row>
      <xdr:rowOff>209550</xdr:rowOff>
    </xdr:to>
    <xdr:pic>
      <xdr:nvPicPr>
        <xdr:cNvPr id="3798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857500"/>
          <a:ext cx="24955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21</xdr:row>
      <xdr:rowOff>171450</xdr:rowOff>
    </xdr:from>
    <xdr:to>
      <xdr:col>3</xdr:col>
      <xdr:colOff>276225</xdr:colOff>
      <xdr:row>22</xdr:row>
      <xdr:rowOff>219075</xdr:rowOff>
    </xdr:to>
    <xdr:pic>
      <xdr:nvPicPr>
        <xdr:cNvPr id="3799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619625"/>
          <a:ext cx="1619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8</xdr:row>
      <xdr:rowOff>114300</xdr:rowOff>
    </xdr:from>
    <xdr:to>
      <xdr:col>2</xdr:col>
      <xdr:colOff>542925</xdr:colOff>
      <xdr:row>9</xdr:row>
      <xdr:rowOff>200025</xdr:rowOff>
    </xdr:to>
    <xdr:pic>
      <xdr:nvPicPr>
        <xdr:cNvPr id="3800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562100"/>
          <a:ext cx="9239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27</xdr:row>
      <xdr:rowOff>238125</xdr:rowOff>
    </xdr:from>
    <xdr:to>
      <xdr:col>3</xdr:col>
      <xdr:colOff>9525</xdr:colOff>
      <xdr:row>29</xdr:row>
      <xdr:rowOff>9525</xdr:rowOff>
    </xdr:to>
    <xdr:pic>
      <xdr:nvPicPr>
        <xdr:cNvPr id="3801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6181725"/>
          <a:ext cx="11334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33</xdr:row>
      <xdr:rowOff>142875</xdr:rowOff>
    </xdr:from>
    <xdr:to>
      <xdr:col>4</xdr:col>
      <xdr:colOff>123825</xdr:colOff>
      <xdr:row>34</xdr:row>
      <xdr:rowOff>219075</xdr:rowOff>
    </xdr:to>
    <xdr:pic>
      <xdr:nvPicPr>
        <xdr:cNvPr id="380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7572375"/>
          <a:ext cx="1514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123825</xdr:rowOff>
    </xdr:from>
    <xdr:to>
      <xdr:col>9</xdr:col>
      <xdr:colOff>447675</xdr:colOff>
      <xdr:row>5</xdr:row>
      <xdr:rowOff>76200</xdr:rowOff>
    </xdr:to>
    <xdr:pic>
      <xdr:nvPicPr>
        <xdr:cNvPr id="380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09600"/>
          <a:ext cx="428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3</xdr:row>
      <xdr:rowOff>95250</xdr:rowOff>
    </xdr:from>
    <xdr:to>
      <xdr:col>7</xdr:col>
      <xdr:colOff>38100</xdr:colOff>
      <xdr:row>5</xdr:row>
      <xdr:rowOff>38100</xdr:rowOff>
    </xdr:to>
    <xdr:pic>
      <xdr:nvPicPr>
        <xdr:cNvPr id="380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581025"/>
          <a:ext cx="628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3</xdr:row>
      <xdr:rowOff>76200</xdr:rowOff>
    </xdr:from>
    <xdr:to>
      <xdr:col>3</xdr:col>
      <xdr:colOff>228600</xdr:colOff>
      <xdr:row>5</xdr:row>
      <xdr:rowOff>9525</xdr:rowOff>
    </xdr:to>
    <xdr:pic>
      <xdr:nvPicPr>
        <xdr:cNvPr id="3805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1975"/>
          <a:ext cx="3714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542925</xdr:colOff>
      <xdr:row>15</xdr:row>
      <xdr:rowOff>228600</xdr:rowOff>
    </xdr:from>
    <xdr:to>
      <xdr:col>7</xdr:col>
      <xdr:colOff>552450</xdr:colOff>
      <xdr:row>17</xdr:row>
      <xdr:rowOff>57150</xdr:rowOff>
    </xdr:to>
    <xdr:pic>
      <xdr:nvPicPr>
        <xdr:cNvPr id="3806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228975"/>
          <a:ext cx="35909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0</xdr:colOff>
      <xdr:row>21</xdr:row>
      <xdr:rowOff>190500</xdr:rowOff>
    </xdr:from>
    <xdr:ext cx="182358" cy="180036"/>
    <xdr:sp macro="" textlink="">
      <xdr:nvSpPr>
        <xdr:cNvPr id="3164" name="Text Box 92"/>
        <xdr:cNvSpPr txBox="1">
          <a:spLocks noChangeArrowheads="1"/>
        </xdr:cNvSpPr>
      </xdr:nvSpPr>
      <xdr:spPr bwMode="auto">
        <a:xfrm>
          <a:off x="5165912" y="4594412"/>
          <a:ext cx="18235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TV</a:t>
          </a:r>
        </a:p>
      </xdr:txBody>
    </xdr:sp>
    <xdr:clientData/>
  </xdr:oneCellAnchor>
  <xdr:twoCellAnchor>
    <xdr:from>
      <xdr:col>9</xdr:col>
      <xdr:colOff>13606</xdr:colOff>
      <xdr:row>9</xdr:row>
      <xdr:rowOff>176892</xdr:rowOff>
    </xdr:from>
    <xdr:to>
      <xdr:col>13</xdr:col>
      <xdr:colOff>449035</xdr:colOff>
      <xdr:row>11</xdr:row>
      <xdr:rowOff>81643</xdr:rowOff>
    </xdr:to>
    <xdr:sp macro="" textlink="">
      <xdr:nvSpPr>
        <xdr:cNvPr id="19" name="직사각형 18"/>
        <xdr:cNvSpPr/>
      </xdr:nvSpPr>
      <xdr:spPr bwMode="auto">
        <a:xfrm>
          <a:off x="5184320" y="2612571"/>
          <a:ext cx="2803072" cy="36739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300">
              <a:solidFill>
                <a:schemeClr val="tx1"/>
              </a:solidFill>
            </a:rPr>
            <a:t>[                /                ]X100</a:t>
          </a:r>
          <a:endParaRPr lang="ko-KR" alt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530676</xdr:colOff>
      <xdr:row>15</xdr:row>
      <xdr:rowOff>217714</xdr:rowOff>
    </xdr:from>
    <xdr:to>
      <xdr:col>13</xdr:col>
      <xdr:colOff>435427</xdr:colOff>
      <xdr:row>17</xdr:row>
      <xdr:rowOff>95250</xdr:rowOff>
    </xdr:to>
    <xdr:sp macro="" textlink="">
      <xdr:nvSpPr>
        <xdr:cNvPr id="20" name="직사각형 19"/>
        <xdr:cNvSpPr/>
      </xdr:nvSpPr>
      <xdr:spPr bwMode="auto">
        <a:xfrm>
          <a:off x="5170712" y="4014107"/>
          <a:ext cx="2803072" cy="36739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300">
              <a:solidFill>
                <a:schemeClr val="tx1"/>
              </a:solidFill>
            </a:rPr>
            <a:t>[                /                ]X100</a:t>
          </a:r>
          <a:endParaRPr lang="ko-KR" alt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476248</xdr:colOff>
      <xdr:row>21</xdr:row>
      <xdr:rowOff>231321</xdr:rowOff>
    </xdr:from>
    <xdr:to>
      <xdr:col>13</xdr:col>
      <xdr:colOff>380999</xdr:colOff>
      <xdr:row>23</xdr:row>
      <xdr:rowOff>95250</xdr:rowOff>
    </xdr:to>
    <xdr:sp macro="" textlink="">
      <xdr:nvSpPr>
        <xdr:cNvPr id="21" name="직사각형 20"/>
        <xdr:cNvSpPr/>
      </xdr:nvSpPr>
      <xdr:spPr bwMode="auto">
        <a:xfrm>
          <a:off x="5116284" y="5470071"/>
          <a:ext cx="2803072" cy="36739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300">
              <a:solidFill>
                <a:schemeClr val="tx1"/>
              </a:solidFill>
            </a:rPr>
            <a:t>[                      /               ]X100</a:t>
          </a:r>
          <a:endParaRPr lang="ko-KR" alt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530677</xdr:colOff>
      <xdr:row>27</xdr:row>
      <xdr:rowOff>217714</xdr:rowOff>
    </xdr:from>
    <xdr:to>
      <xdr:col>13</xdr:col>
      <xdr:colOff>435428</xdr:colOff>
      <xdr:row>29</xdr:row>
      <xdr:rowOff>95250</xdr:rowOff>
    </xdr:to>
    <xdr:sp macro="" textlink="">
      <xdr:nvSpPr>
        <xdr:cNvPr id="22" name="직사각형 21"/>
        <xdr:cNvSpPr/>
      </xdr:nvSpPr>
      <xdr:spPr bwMode="auto">
        <a:xfrm>
          <a:off x="5170713" y="6939643"/>
          <a:ext cx="2803072" cy="36739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300">
              <a:solidFill>
                <a:schemeClr val="tx1"/>
              </a:solidFill>
            </a:rPr>
            <a:t>[                 / </a:t>
          </a:r>
          <a:r>
            <a:rPr lang="en-US" altLang="ko-KR" sz="1300" baseline="0">
              <a:solidFill>
                <a:schemeClr val="tx1"/>
              </a:solidFill>
            </a:rPr>
            <a:t>     </a:t>
          </a:r>
          <a:r>
            <a:rPr lang="en-US" altLang="ko-KR" sz="1300">
              <a:solidFill>
                <a:schemeClr val="tx1"/>
              </a:solidFill>
            </a:rPr>
            <a:t>            ]X100</a:t>
          </a:r>
          <a:endParaRPr lang="ko-KR" alt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24811</xdr:colOff>
      <xdr:row>33</xdr:row>
      <xdr:rowOff>228920</xdr:rowOff>
    </xdr:from>
    <xdr:to>
      <xdr:col>13</xdr:col>
      <xdr:colOff>460240</xdr:colOff>
      <xdr:row>35</xdr:row>
      <xdr:rowOff>106456</xdr:rowOff>
    </xdr:to>
    <xdr:sp macro="" textlink="">
      <xdr:nvSpPr>
        <xdr:cNvPr id="23" name="직사각형 22"/>
        <xdr:cNvSpPr/>
      </xdr:nvSpPr>
      <xdr:spPr bwMode="auto">
        <a:xfrm>
          <a:off x="5190723" y="7602391"/>
          <a:ext cx="2811076" cy="37059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300">
              <a:solidFill>
                <a:schemeClr val="tx1"/>
              </a:solidFill>
            </a:rPr>
            <a:t>[                 / </a:t>
          </a:r>
          <a:r>
            <a:rPr lang="en-US" altLang="ko-KR" sz="1300" baseline="0">
              <a:solidFill>
                <a:schemeClr val="tx1"/>
              </a:solidFill>
            </a:rPr>
            <a:t>     </a:t>
          </a:r>
          <a:r>
            <a:rPr lang="en-US" altLang="ko-KR" sz="1300">
              <a:solidFill>
                <a:schemeClr val="tx1"/>
              </a:solidFill>
            </a:rPr>
            <a:t>            ]X1.41</a:t>
          </a:r>
          <a:endParaRPr lang="ko-KR" altLang="en-US" sz="13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76200</xdr:rowOff>
        </xdr:from>
        <xdr:to>
          <xdr:col>3</xdr:col>
          <xdr:colOff>276225</xdr:colOff>
          <xdr:row>10</xdr:row>
          <xdr:rowOff>219075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16</xdr:row>
          <xdr:rowOff>85725</xdr:rowOff>
        </xdr:from>
        <xdr:to>
          <xdr:col>3</xdr:col>
          <xdr:colOff>228600</xdr:colOff>
          <xdr:row>16</xdr:row>
          <xdr:rowOff>228600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23</xdr:row>
          <xdr:rowOff>0</xdr:rowOff>
        </xdr:from>
        <xdr:to>
          <xdr:col>5</xdr:col>
          <xdr:colOff>66675</xdr:colOff>
          <xdr:row>24</xdr:row>
          <xdr:rowOff>47625</xdr:rowOff>
        </xdr:to>
        <xdr:sp macro="" textlink="">
          <xdr:nvSpPr>
            <xdr:cNvPr id="3153" name="Object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35</xdr:row>
          <xdr:rowOff>0</xdr:rowOff>
        </xdr:from>
        <xdr:to>
          <xdr:col>4</xdr:col>
          <xdr:colOff>676275</xdr:colOff>
          <xdr:row>36</xdr:row>
          <xdr:rowOff>47625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comments" Target="../comments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2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1.bin"/><Relationship Id="rId5" Type="http://schemas.openxmlformats.org/officeDocument/2006/relationships/image" Target="../media/image21.emf"/><Relationship Id="rId10" Type="http://schemas.openxmlformats.org/officeDocument/2006/relationships/oleObject" Target="../embeddings/oleObject23.bin"/><Relationship Id="rId4" Type="http://schemas.openxmlformats.org/officeDocument/2006/relationships/oleObject" Target="../embeddings/oleObject20.bin"/><Relationship Id="rId9" Type="http://schemas.openxmlformats.org/officeDocument/2006/relationships/image" Target="../media/image2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showGridLines="0" tabSelected="1" zoomScale="85" zoomScaleNormal="85" workbookViewId="0">
      <selection activeCell="G24" sqref="G24"/>
    </sheetView>
  </sheetViews>
  <sheetFormatPr defaultRowHeight="12.75" x14ac:dyDescent="0.2"/>
  <cols>
    <col min="1" max="1" width="4" customWidth="1"/>
    <col min="2" max="2" width="13" style="71" customWidth="1"/>
    <col min="3" max="9" width="9" style="71" customWidth="1"/>
    <col min="10" max="12" width="9" customWidth="1"/>
    <col min="13" max="13" width="5.7109375" customWidth="1"/>
    <col min="14" max="14" width="12.5703125" customWidth="1"/>
  </cols>
  <sheetData>
    <row r="1" spans="1:22" ht="22.5" customHeight="1" x14ac:dyDescent="0.2">
      <c r="B1" s="146" t="s">
        <v>57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56"/>
      <c r="P1" s="56"/>
      <c r="Q1" s="56"/>
      <c r="R1" s="56"/>
      <c r="S1" s="56"/>
      <c r="T1" s="56"/>
      <c r="U1" s="56"/>
      <c r="V1" s="56"/>
    </row>
    <row r="2" spans="1:22" ht="15.75" customHeight="1" x14ac:dyDescent="0.2">
      <c r="B2" s="134" t="s">
        <v>53</v>
      </c>
      <c r="C2" s="134"/>
      <c r="D2" s="141">
        <v>43097</v>
      </c>
      <c r="E2" s="142"/>
      <c r="F2" s="142"/>
      <c r="G2" s="138"/>
      <c r="H2" s="138"/>
      <c r="I2" s="138"/>
      <c r="J2" s="138"/>
      <c r="K2" s="138"/>
      <c r="L2" s="138"/>
      <c r="M2" s="138"/>
      <c r="N2" s="138"/>
      <c r="O2" s="56"/>
      <c r="P2" s="56"/>
      <c r="Q2" s="56"/>
      <c r="R2" s="56"/>
      <c r="S2" s="56"/>
      <c r="T2" s="56"/>
      <c r="U2" s="56"/>
      <c r="V2" s="56"/>
    </row>
    <row r="3" spans="1:22" ht="15.75" customHeight="1" x14ac:dyDescent="0.2">
      <c r="B3" s="135" t="s">
        <v>89</v>
      </c>
      <c r="C3" s="135"/>
      <c r="D3" s="147" t="s">
        <v>93</v>
      </c>
      <c r="E3" s="142"/>
      <c r="F3" s="142"/>
      <c r="G3" s="138"/>
      <c r="H3" s="138"/>
      <c r="I3" s="138"/>
      <c r="J3" s="138"/>
      <c r="K3" s="138"/>
      <c r="L3" s="138"/>
      <c r="M3" s="138"/>
      <c r="N3" s="138"/>
      <c r="O3" s="56"/>
      <c r="P3" s="56"/>
      <c r="Q3" s="56"/>
      <c r="R3" s="56"/>
      <c r="S3" s="56"/>
      <c r="T3" s="56"/>
      <c r="U3" s="56"/>
      <c r="V3" s="56"/>
    </row>
    <row r="4" spans="1:22" ht="15.75" customHeight="1" x14ac:dyDescent="0.2">
      <c r="B4" s="134" t="s">
        <v>56</v>
      </c>
      <c r="C4" s="134"/>
      <c r="D4" s="142" t="s">
        <v>92</v>
      </c>
      <c r="E4" s="142"/>
      <c r="F4" s="142"/>
      <c r="G4" s="138"/>
      <c r="H4" s="138"/>
      <c r="I4" s="138"/>
      <c r="J4" s="138"/>
      <c r="K4" s="138"/>
      <c r="L4" s="138"/>
      <c r="M4" s="138"/>
      <c r="N4" s="138"/>
      <c r="O4" s="56"/>
      <c r="P4" s="56"/>
      <c r="Q4" s="56"/>
      <c r="R4" s="56"/>
      <c r="S4" s="56"/>
      <c r="T4" s="56"/>
      <c r="U4" s="56"/>
      <c r="V4" s="56"/>
    </row>
    <row r="5" spans="1:22" ht="15.75" customHeight="1" x14ac:dyDescent="0.2">
      <c r="B5" s="134" t="s">
        <v>54</v>
      </c>
      <c r="C5" s="134"/>
      <c r="D5" s="147" t="s">
        <v>94</v>
      </c>
      <c r="E5" s="142"/>
      <c r="F5" s="142"/>
      <c r="G5" s="138"/>
      <c r="H5" s="138"/>
      <c r="I5" s="138"/>
      <c r="J5" s="138"/>
      <c r="K5" s="138"/>
      <c r="L5" s="138"/>
      <c r="M5" s="138"/>
      <c r="N5" s="138"/>
      <c r="O5" s="56"/>
      <c r="P5" s="56"/>
      <c r="Q5" s="56"/>
      <c r="R5" s="56"/>
      <c r="S5" s="56"/>
      <c r="T5" s="56"/>
      <c r="U5" s="56"/>
      <c r="V5" s="56"/>
    </row>
    <row r="6" spans="1:22" ht="15.75" customHeight="1" x14ac:dyDescent="0.2">
      <c r="A6" s="79"/>
      <c r="B6" s="134" t="s">
        <v>55</v>
      </c>
      <c r="C6" s="134"/>
      <c r="D6" s="124" t="s">
        <v>90</v>
      </c>
      <c r="E6" s="136" t="s">
        <v>95</v>
      </c>
      <c r="F6" s="137"/>
      <c r="G6" s="124" t="s">
        <v>96</v>
      </c>
      <c r="H6" s="136" t="s">
        <v>97</v>
      </c>
      <c r="I6" s="137"/>
      <c r="J6" s="125" t="s">
        <v>98</v>
      </c>
      <c r="K6" s="139" t="s">
        <v>99</v>
      </c>
      <c r="L6" s="140"/>
      <c r="M6" s="79"/>
      <c r="N6" s="79"/>
      <c r="O6" s="80"/>
      <c r="P6" s="56"/>
      <c r="Q6" s="56"/>
      <c r="R6" s="56"/>
      <c r="S6" s="56"/>
      <c r="T6" s="56"/>
      <c r="U6" s="56"/>
      <c r="V6" s="56"/>
    </row>
    <row r="7" spans="1:22" ht="24.75" customHeight="1" x14ac:dyDescent="0.2">
      <c r="A7" s="79"/>
      <c r="B7" s="93" t="s">
        <v>67</v>
      </c>
      <c r="C7" s="143" t="s">
        <v>52</v>
      </c>
      <c r="D7" s="144"/>
      <c r="E7" s="144"/>
      <c r="F7" s="144"/>
      <c r="G7" s="144"/>
      <c r="H7" s="144"/>
      <c r="I7" s="144"/>
      <c r="J7" s="144"/>
      <c r="K7" s="144"/>
      <c r="L7" s="145"/>
      <c r="M7" s="81"/>
      <c r="N7" s="127" t="s">
        <v>4</v>
      </c>
      <c r="O7" s="80"/>
      <c r="P7" s="56"/>
      <c r="Q7" s="56"/>
      <c r="R7" s="56"/>
      <c r="S7" s="56"/>
      <c r="T7" s="56"/>
      <c r="U7" s="56"/>
      <c r="V7" s="56"/>
    </row>
    <row r="8" spans="1:22" ht="15.75" customHeight="1" x14ac:dyDescent="0.2">
      <c r="A8" s="98" t="s">
        <v>7</v>
      </c>
      <c r="B8" s="94" t="s">
        <v>41</v>
      </c>
      <c r="C8" s="95" t="s">
        <v>91</v>
      </c>
      <c r="D8" s="95" t="s">
        <v>42</v>
      </c>
      <c r="E8" s="95" t="s">
        <v>43</v>
      </c>
      <c r="F8" s="95" t="s">
        <v>44</v>
      </c>
      <c r="G8" s="95" t="s">
        <v>45</v>
      </c>
      <c r="H8" s="95" t="s">
        <v>46</v>
      </c>
      <c r="I8" s="95" t="s">
        <v>47</v>
      </c>
      <c r="J8" s="95" t="s">
        <v>48</v>
      </c>
      <c r="K8" s="95" t="s">
        <v>49</v>
      </c>
      <c r="L8" s="95" t="s">
        <v>50</v>
      </c>
      <c r="M8" s="82"/>
      <c r="N8" s="128" t="s">
        <v>0</v>
      </c>
      <c r="O8" s="80"/>
      <c r="P8" s="56"/>
      <c r="Q8" s="56"/>
      <c r="R8" s="56"/>
      <c r="S8" s="56"/>
      <c r="T8" s="56"/>
      <c r="U8" s="56"/>
      <c r="V8" s="56"/>
    </row>
    <row r="9" spans="1:22" ht="15.75" customHeight="1" x14ac:dyDescent="0.2">
      <c r="A9" s="98">
        <v>1</v>
      </c>
      <c r="B9" s="95" t="s">
        <v>74</v>
      </c>
      <c r="C9" s="129">
        <v>3.43</v>
      </c>
      <c r="D9" s="129">
        <v>2.67</v>
      </c>
      <c r="E9" s="129"/>
      <c r="F9" s="129"/>
      <c r="G9" s="129"/>
      <c r="H9" s="129"/>
      <c r="I9" s="129"/>
      <c r="J9" s="129"/>
      <c r="K9" s="129"/>
      <c r="L9" s="129"/>
      <c r="M9" s="4"/>
      <c r="N9" s="83">
        <f>IF(C9="","",AVERAGE(C9:L9))</f>
        <v>3.05</v>
      </c>
      <c r="O9" s="80"/>
      <c r="P9" s="56"/>
      <c r="Q9" s="56"/>
      <c r="R9" s="56"/>
      <c r="S9" s="56"/>
      <c r="T9" s="56"/>
      <c r="U9" s="56"/>
      <c r="V9" s="56"/>
    </row>
    <row r="10" spans="1:22" ht="15.75" customHeight="1" x14ac:dyDescent="0.2">
      <c r="A10" s="98">
        <v>2</v>
      </c>
      <c r="B10" s="95" t="s">
        <v>68</v>
      </c>
      <c r="C10" s="129">
        <v>3.45</v>
      </c>
      <c r="D10" s="129">
        <v>2.7</v>
      </c>
      <c r="E10" s="129"/>
      <c r="F10" s="129"/>
      <c r="G10" s="129"/>
      <c r="H10" s="129"/>
      <c r="I10" s="129"/>
      <c r="J10" s="129"/>
      <c r="K10" s="129"/>
      <c r="L10" s="129"/>
      <c r="M10" s="4"/>
      <c r="N10" s="83">
        <f>IF(C10="","",AVERAGE(C10:L10))</f>
        <v>3.0750000000000002</v>
      </c>
      <c r="O10" s="80"/>
      <c r="P10" s="56"/>
      <c r="Q10" s="56"/>
      <c r="R10" s="56"/>
      <c r="S10" s="56"/>
      <c r="T10" s="56"/>
      <c r="U10" s="56"/>
      <c r="V10" s="56"/>
    </row>
    <row r="11" spans="1:22" ht="15.75" customHeight="1" x14ac:dyDescent="0.2">
      <c r="A11" s="98">
        <v>3</v>
      </c>
      <c r="B11" s="95" t="s">
        <v>69</v>
      </c>
      <c r="C11" s="129">
        <v>3.46</v>
      </c>
      <c r="D11" s="129">
        <v>2.69</v>
      </c>
      <c r="E11" s="129"/>
      <c r="F11" s="129"/>
      <c r="G11" s="129"/>
      <c r="H11" s="129"/>
      <c r="I11" s="129"/>
      <c r="J11" s="129"/>
      <c r="K11" s="129"/>
      <c r="L11" s="129"/>
      <c r="M11" s="4"/>
      <c r="N11" s="83">
        <f>IF(C11="","",AVERAGE(C11:L11))</f>
        <v>3.0750000000000002</v>
      </c>
      <c r="O11" s="80"/>
      <c r="P11" s="56"/>
      <c r="Q11" s="56"/>
      <c r="R11" s="56"/>
      <c r="S11" s="56"/>
      <c r="T11" s="56"/>
      <c r="U11" s="56"/>
      <c r="V11" s="56"/>
    </row>
    <row r="12" spans="1:22" ht="25.5" customHeight="1" x14ac:dyDescent="0.2">
      <c r="A12" s="98">
        <v>4</v>
      </c>
      <c r="B12" s="96" t="s">
        <v>1</v>
      </c>
      <c r="C12" s="5">
        <f t="shared" ref="C12:L12" si="0">IF(C9="","",AVERAGE(C9:C11))</f>
        <v>3.4466666666666668</v>
      </c>
      <c r="D12" s="5">
        <f t="shared" si="0"/>
        <v>2.686666666666667</v>
      </c>
      <c r="E12" s="5" t="str">
        <f t="shared" si="0"/>
        <v/>
      </c>
      <c r="F12" s="5" t="str">
        <f t="shared" si="0"/>
        <v/>
      </c>
      <c r="G12" s="5" t="str">
        <f t="shared" si="0"/>
        <v/>
      </c>
      <c r="H12" s="5" t="str">
        <f t="shared" si="0"/>
        <v/>
      </c>
      <c r="I12" s="5" t="str">
        <f t="shared" si="0"/>
        <v/>
      </c>
      <c r="J12" s="5" t="str">
        <f t="shared" si="0"/>
        <v/>
      </c>
      <c r="K12" s="5" t="str">
        <f t="shared" si="0"/>
        <v/>
      </c>
      <c r="L12" s="5" t="str">
        <f t="shared" si="0"/>
        <v/>
      </c>
      <c r="M12" s="4"/>
      <c r="N12" s="8">
        <f>IF(C9="","",AVERAGE(C12:L12))</f>
        <v>3.0666666666666669</v>
      </c>
      <c r="O12" s="80"/>
      <c r="P12" s="56"/>
      <c r="Q12" s="56"/>
      <c r="R12" s="56"/>
      <c r="S12" s="56"/>
      <c r="T12" s="56"/>
      <c r="U12" s="56"/>
      <c r="V12" s="56"/>
    </row>
    <row r="13" spans="1:22" ht="25.5" customHeight="1" x14ac:dyDescent="0.2">
      <c r="A13" s="98">
        <v>5</v>
      </c>
      <c r="B13" s="96" t="s">
        <v>2</v>
      </c>
      <c r="C13" s="5">
        <f t="shared" ref="C13:L13" si="1">IF(C9="","",MAX(C9:C11)-MIN(C9:C11))</f>
        <v>2.9999999999999805E-2</v>
      </c>
      <c r="D13" s="5">
        <f t="shared" si="1"/>
        <v>3.0000000000000249E-2</v>
      </c>
      <c r="E13" s="5" t="str">
        <f t="shared" si="1"/>
        <v/>
      </c>
      <c r="F13" s="5" t="str">
        <f t="shared" si="1"/>
        <v/>
      </c>
      <c r="G13" s="5" t="str">
        <f t="shared" si="1"/>
        <v/>
      </c>
      <c r="H13" s="5" t="str">
        <f t="shared" si="1"/>
        <v/>
      </c>
      <c r="I13" s="5" t="str">
        <f t="shared" si="1"/>
        <v/>
      </c>
      <c r="J13" s="5" t="str">
        <f t="shared" si="1"/>
        <v/>
      </c>
      <c r="K13" s="5" t="str">
        <f t="shared" si="1"/>
        <v/>
      </c>
      <c r="L13" s="5" t="str">
        <f t="shared" si="1"/>
        <v/>
      </c>
      <c r="M13" s="2"/>
      <c r="N13" s="8">
        <f>IF(C9="","",AVERAGE(C13:L13))</f>
        <v>3.0000000000000027E-2</v>
      </c>
      <c r="O13" s="80"/>
      <c r="P13" s="56"/>
      <c r="Q13" s="56"/>
      <c r="R13" s="56"/>
      <c r="S13" s="56"/>
      <c r="T13" s="56"/>
      <c r="U13" s="56"/>
      <c r="V13" s="56"/>
    </row>
    <row r="14" spans="1:22" ht="15.75" customHeight="1" x14ac:dyDescent="0.2">
      <c r="A14" s="98">
        <v>6</v>
      </c>
      <c r="B14" s="95" t="s">
        <v>75</v>
      </c>
      <c r="C14" s="130">
        <v>3.41</v>
      </c>
      <c r="D14" s="130">
        <v>2.61</v>
      </c>
      <c r="E14" s="130"/>
      <c r="F14" s="130"/>
      <c r="G14" s="130"/>
      <c r="H14" s="130"/>
      <c r="I14" s="130"/>
      <c r="J14" s="130"/>
      <c r="K14" s="130"/>
      <c r="L14" s="130"/>
      <c r="M14" s="4"/>
      <c r="N14" s="83">
        <f>IF(C14="","",AVERAGE(C14:L14))</f>
        <v>3.01</v>
      </c>
      <c r="O14" s="80"/>
      <c r="P14" s="56"/>
      <c r="Q14" s="56"/>
      <c r="R14" s="56"/>
      <c r="S14" s="56"/>
      <c r="T14" s="56"/>
      <c r="U14" s="56"/>
      <c r="V14" s="56"/>
    </row>
    <row r="15" spans="1:22" ht="15.75" customHeight="1" x14ac:dyDescent="0.2">
      <c r="A15" s="98">
        <v>7</v>
      </c>
      <c r="B15" s="95" t="s">
        <v>70</v>
      </c>
      <c r="C15" s="130">
        <v>3.45</v>
      </c>
      <c r="D15" s="130">
        <v>2.63</v>
      </c>
      <c r="E15" s="130"/>
      <c r="F15" s="130"/>
      <c r="G15" s="130"/>
      <c r="H15" s="130"/>
      <c r="I15" s="130"/>
      <c r="J15" s="130"/>
      <c r="K15" s="130"/>
      <c r="L15" s="130"/>
      <c r="M15" s="4"/>
      <c r="N15" s="83">
        <f>IF(C15="","",AVERAGE(C15:L15))</f>
        <v>3.04</v>
      </c>
      <c r="O15" s="80"/>
      <c r="P15" s="56"/>
      <c r="Q15" s="56"/>
      <c r="R15" s="56"/>
      <c r="S15" s="56"/>
      <c r="T15" s="56"/>
      <c r="U15" s="56"/>
      <c r="V15" s="56"/>
    </row>
    <row r="16" spans="1:22" ht="15.75" customHeight="1" x14ac:dyDescent="0.2">
      <c r="A16" s="98">
        <v>8</v>
      </c>
      <c r="B16" s="95" t="s">
        <v>71</v>
      </c>
      <c r="C16" s="130">
        <v>3.44</v>
      </c>
      <c r="D16" s="130">
        <v>2.63</v>
      </c>
      <c r="E16" s="130"/>
      <c r="F16" s="130"/>
      <c r="G16" s="130"/>
      <c r="H16" s="130"/>
      <c r="I16" s="130"/>
      <c r="J16" s="130"/>
      <c r="K16" s="130"/>
      <c r="L16" s="130"/>
      <c r="M16" s="4"/>
      <c r="N16" s="83">
        <f>IF(C16="","",AVERAGE(C16:L16))</f>
        <v>3.0350000000000001</v>
      </c>
      <c r="O16" s="80"/>
      <c r="P16" s="56"/>
      <c r="Q16" s="56"/>
      <c r="R16" s="56"/>
      <c r="S16" s="56"/>
      <c r="T16" s="56"/>
      <c r="U16" s="56"/>
      <c r="V16" s="56"/>
    </row>
    <row r="17" spans="1:22" ht="25.5" customHeight="1" x14ac:dyDescent="0.2">
      <c r="A17" s="98">
        <v>9</v>
      </c>
      <c r="B17" s="96" t="s">
        <v>1</v>
      </c>
      <c r="C17" s="5">
        <f t="shared" ref="C17:L17" si="2">IF(C14="","",AVERAGE(C14:C16))</f>
        <v>3.4333333333333336</v>
      </c>
      <c r="D17" s="5">
        <f t="shared" si="2"/>
        <v>2.6233333333333335</v>
      </c>
      <c r="E17" s="5" t="str">
        <f t="shared" si="2"/>
        <v/>
      </c>
      <c r="F17" s="5" t="str">
        <f t="shared" si="2"/>
        <v/>
      </c>
      <c r="G17" s="5" t="str">
        <f t="shared" si="2"/>
        <v/>
      </c>
      <c r="H17" s="5" t="str">
        <f t="shared" si="2"/>
        <v/>
      </c>
      <c r="I17" s="5" t="str">
        <f t="shared" si="2"/>
        <v/>
      </c>
      <c r="J17" s="5" t="str">
        <f t="shared" si="2"/>
        <v/>
      </c>
      <c r="K17" s="5" t="str">
        <f t="shared" si="2"/>
        <v/>
      </c>
      <c r="L17" s="5" t="str">
        <f t="shared" si="2"/>
        <v/>
      </c>
      <c r="M17" s="4"/>
      <c r="N17" s="8">
        <f>IF(C14="","",AVERAGE(C17:L17))</f>
        <v>3.0283333333333333</v>
      </c>
      <c r="O17" s="80"/>
      <c r="P17" s="56"/>
      <c r="Q17" s="56"/>
      <c r="R17" s="56"/>
      <c r="S17" s="56"/>
      <c r="T17" s="56"/>
      <c r="U17" s="56"/>
      <c r="V17" s="56"/>
    </row>
    <row r="18" spans="1:22" ht="25.5" customHeight="1" x14ac:dyDescent="0.2">
      <c r="A18" s="98">
        <v>10</v>
      </c>
      <c r="B18" s="96" t="s">
        <v>2</v>
      </c>
      <c r="C18" s="5">
        <f t="shared" ref="C18:L18" si="3">IF(C14="","",MAX(C14:C16)-MIN(C14:C16))</f>
        <v>4.0000000000000036E-2</v>
      </c>
      <c r="D18" s="5">
        <f t="shared" si="3"/>
        <v>2.0000000000000018E-2</v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4"/>
      <c r="N18" s="8">
        <f>IF(C14="","",AVERAGE(C18:L18))</f>
        <v>3.0000000000000027E-2</v>
      </c>
      <c r="O18" s="80"/>
      <c r="P18" s="56"/>
      <c r="Q18" s="56"/>
      <c r="R18" s="56"/>
      <c r="S18" s="56"/>
      <c r="T18" s="56"/>
      <c r="U18" s="56"/>
      <c r="V18" s="56"/>
    </row>
    <row r="19" spans="1:22" ht="15.75" customHeight="1" x14ac:dyDescent="0.2">
      <c r="A19" s="98">
        <v>11</v>
      </c>
      <c r="B19" s="95" t="s">
        <v>76</v>
      </c>
      <c r="C19" s="131">
        <v>3.4</v>
      </c>
      <c r="D19" s="132">
        <v>2.6</v>
      </c>
      <c r="E19" s="132"/>
      <c r="F19" s="132"/>
      <c r="G19" s="132"/>
      <c r="H19" s="132"/>
      <c r="I19" s="132"/>
      <c r="J19" s="132"/>
      <c r="K19" s="132"/>
      <c r="L19" s="132"/>
      <c r="M19" s="4"/>
      <c r="N19" s="83">
        <f>IF(C19="","",AVERAGE(C19:L19))</f>
        <v>3</v>
      </c>
      <c r="O19" s="80"/>
      <c r="P19" s="56"/>
      <c r="Q19" s="56"/>
      <c r="R19" s="56"/>
      <c r="S19" s="56"/>
      <c r="T19" s="56"/>
      <c r="U19" s="56"/>
      <c r="V19" s="56"/>
    </row>
    <row r="20" spans="1:22" ht="15.75" customHeight="1" x14ac:dyDescent="0.2">
      <c r="A20" s="98">
        <v>12</v>
      </c>
      <c r="B20" s="95" t="s">
        <v>72</v>
      </c>
      <c r="C20" s="131">
        <v>3.41</v>
      </c>
      <c r="D20" s="132">
        <v>2.63</v>
      </c>
      <c r="E20" s="132"/>
      <c r="F20" s="132"/>
      <c r="G20" s="132"/>
      <c r="H20" s="132"/>
      <c r="I20" s="132"/>
      <c r="J20" s="132"/>
      <c r="K20" s="132"/>
      <c r="L20" s="132"/>
      <c r="M20" s="4"/>
      <c r="N20" s="83">
        <f>IF(C20="","",AVERAGE(C20:L20))</f>
        <v>3.02</v>
      </c>
      <c r="O20" s="80"/>
      <c r="P20" s="56"/>
      <c r="Q20" s="56"/>
      <c r="R20" s="56"/>
      <c r="S20" s="56"/>
      <c r="T20" s="56"/>
      <c r="U20" s="56"/>
      <c r="V20" s="56"/>
    </row>
    <row r="21" spans="1:22" ht="15.75" customHeight="1" x14ac:dyDescent="0.2">
      <c r="A21" s="98">
        <v>13</v>
      </c>
      <c r="B21" s="95" t="s">
        <v>73</v>
      </c>
      <c r="C21" s="131">
        <v>3.43</v>
      </c>
      <c r="D21" s="132">
        <v>2.61</v>
      </c>
      <c r="E21" s="132"/>
      <c r="F21" s="132"/>
      <c r="G21" s="132"/>
      <c r="H21" s="132"/>
      <c r="I21" s="132"/>
      <c r="J21" s="132"/>
      <c r="K21" s="132"/>
      <c r="L21" s="132"/>
      <c r="M21" s="4"/>
      <c r="N21" s="83">
        <f>IF(C21="","",AVERAGE(C21:L21))</f>
        <v>3.02</v>
      </c>
      <c r="O21" s="80"/>
      <c r="P21" s="56"/>
      <c r="Q21" s="56"/>
      <c r="R21" s="56"/>
      <c r="S21" s="56"/>
      <c r="T21" s="56"/>
      <c r="U21" s="56"/>
      <c r="V21" s="56"/>
    </row>
    <row r="22" spans="1:22" ht="25.5" customHeight="1" x14ac:dyDescent="0.2">
      <c r="A22" s="98">
        <v>14</v>
      </c>
      <c r="B22" s="96" t="s">
        <v>1</v>
      </c>
      <c r="C22" s="5">
        <f t="shared" ref="C22:L22" si="4">IF(C19="","",AVERAGE(C19:C21))</f>
        <v>3.4133333333333336</v>
      </c>
      <c r="D22" s="5">
        <f t="shared" si="4"/>
        <v>2.6133333333333333</v>
      </c>
      <c r="E22" s="5" t="str">
        <f t="shared" si="4"/>
        <v/>
      </c>
      <c r="F22" s="5" t="str">
        <f t="shared" si="4"/>
        <v/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4"/>
      <c r="N22" s="8">
        <f>IF(C19="","",AVERAGE(C22:L22))</f>
        <v>3.0133333333333336</v>
      </c>
      <c r="O22" s="80"/>
      <c r="P22" s="56"/>
      <c r="Q22" s="56"/>
      <c r="R22" s="56"/>
      <c r="S22" s="56"/>
      <c r="T22" s="56"/>
      <c r="U22" s="56"/>
      <c r="V22" s="56"/>
    </row>
    <row r="23" spans="1:22" ht="25.5" customHeight="1" x14ac:dyDescent="0.2">
      <c r="A23" s="98">
        <v>15</v>
      </c>
      <c r="B23" s="93" t="s">
        <v>2</v>
      </c>
      <c r="C23" s="5">
        <f t="shared" ref="C23:L23" si="5">IF(C19="","",MAX(C19:C21)-MIN(C19:C21))</f>
        <v>3.0000000000000249E-2</v>
      </c>
      <c r="D23" s="5">
        <f t="shared" si="5"/>
        <v>2.9999999999999805E-2</v>
      </c>
      <c r="E23" s="5" t="str">
        <f t="shared" si="5"/>
        <v/>
      </c>
      <c r="F23" s="5" t="str">
        <f t="shared" si="5"/>
        <v/>
      </c>
      <c r="G23" s="5" t="str">
        <f t="shared" si="5"/>
        <v/>
      </c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5" t="str">
        <f t="shared" si="5"/>
        <v/>
      </c>
      <c r="L23" s="5" t="str">
        <f t="shared" si="5"/>
        <v/>
      </c>
      <c r="M23" s="6"/>
      <c r="N23" s="8">
        <f>IF(C19="","",AVERAGE(C23:L23))</f>
        <v>3.0000000000000027E-2</v>
      </c>
      <c r="O23" s="80"/>
      <c r="P23" s="56"/>
      <c r="Q23" s="56"/>
      <c r="R23" s="56"/>
      <c r="S23" s="56"/>
      <c r="T23" s="56"/>
      <c r="U23" s="56"/>
      <c r="V23" s="56"/>
    </row>
    <row r="24" spans="1:22" ht="22.5" customHeight="1" x14ac:dyDescent="0.2">
      <c r="A24" s="98">
        <v>16</v>
      </c>
      <c r="B24" s="93" t="s">
        <v>6</v>
      </c>
      <c r="C24" s="9">
        <f t="shared" ref="C24:L24" si="6">IF(C9="","",AVERAGE(C9:C11,C14:C16,C19:C21))</f>
        <v>3.431111111111111</v>
      </c>
      <c r="D24" s="9">
        <f t="shared" si="6"/>
        <v>2.641111111111111</v>
      </c>
      <c r="E24" s="9" t="str">
        <f t="shared" si="6"/>
        <v/>
      </c>
      <c r="F24" s="9" t="str">
        <f t="shared" si="6"/>
        <v/>
      </c>
      <c r="G24" s="9" t="str">
        <f t="shared" si="6"/>
        <v/>
      </c>
      <c r="H24" s="9" t="str">
        <f t="shared" si="6"/>
        <v/>
      </c>
      <c r="I24" s="9" t="str">
        <f t="shared" si="6"/>
        <v/>
      </c>
      <c r="J24" s="9" t="str">
        <f t="shared" si="6"/>
        <v/>
      </c>
      <c r="K24" s="9" t="str">
        <f t="shared" si="6"/>
        <v/>
      </c>
      <c r="L24" s="9" t="str">
        <f t="shared" si="6"/>
        <v/>
      </c>
      <c r="M24" s="6"/>
      <c r="N24" s="10">
        <f>IF(C24="","",AVERAGE(C24:L24))</f>
        <v>3.036111111111111</v>
      </c>
      <c r="O24" s="80"/>
      <c r="P24" s="56"/>
      <c r="Q24" s="56"/>
      <c r="R24" s="56"/>
      <c r="S24" s="56"/>
      <c r="T24" s="56"/>
      <c r="U24" s="56"/>
      <c r="V24" s="56"/>
    </row>
    <row r="25" spans="1:22" ht="22.5" customHeight="1" x14ac:dyDescent="0.2">
      <c r="A25" s="98">
        <v>17</v>
      </c>
      <c r="B25" s="97" t="s">
        <v>3</v>
      </c>
      <c r="C25" s="73"/>
      <c r="D25" s="72"/>
      <c r="E25" s="72"/>
      <c r="F25" s="72"/>
      <c r="G25" s="72"/>
      <c r="H25" s="72"/>
      <c r="I25" s="72"/>
      <c r="J25" s="84"/>
      <c r="K25" s="84"/>
      <c r="L25" s="84"/>
      <c r="M25" s="85"/>
      <c r="N25" s="26">
        <f>IF(C24="","",MAX(C24:L24)-MIN(C24:L24))</f>
        <v>0.79</v>
      </c>
      <c r="O25" s="80"/>
      <c r="P25" s="56"/>
      <c r="Q25" s="56"/>
      <c r="R25" s="56"/>
      <c r="S25" s="56"/>
      <c r="T25" s="56"/>
      <c r="U25" s="56"/>
      <c r="V25" s="56"/>
    </row>
    <row r="26" spans="1:22" ht="28.5" customHeight="1" x14ac:dyDescent="0.2">
      <c r="A26" s="98">
        <v>18</v>
      </c>
      <c r="B26" s="74"/>
      <c r="C26" s="75"/>
      <c r="D26" s="12">
        <f>N13</f>
        <v>3.0000000000000027E-2</v>
      </c>
      <c r="E26" s="75"/>
      <c r="F26" s="75"/>
      <c r="G26" s="12">
        <f>N18</f>
        <v>3.0000000000000027E-2</v>
      </c>
      <c r="H26" s="75"/>
      <c r="I26" s="75"/>
      <c r="J26" s="12">
        <f>N23</f>
        <v>3.0000000000000027E-2</v>
      </c>
      <c r="K26" s="13" t="s">
        <v>5</v>
      </c>
      <c r="L26" s="14">
        <v>3</v>
      </c>
      <c r="M26" s="86"/>
      <c r="N26" s="8">
        <f>IF(D26="","",(D26+G26+J26)/3)</f>
        <v>3.0000000000000027E-2</v>
      </c>
      <c r="O26" s="87"/>
      <c r="P26" s="56"/>
      <c r="Q26" s="56"/>
      <c r="R26" s="56"/>
      <c r="S26" s="56"/>
      <c r="T26" s="56"/>
      <c r="U26" s="56"/>
      <c r="V26" s="56"/>
    </row>
    <row r="27" spans="1:22" ht="28.5" customHeight="1" x14ac:dyDescent="0.2">
      <c r="A27" s="98">
        <v>19</v>
      </c>
      <c r="B27" s="74"/>
      <c r="C27" s="75"/>
      <c r="D27" s="15">
        <f>IF(N12="","",MAX(N12,N17,N22))</f>
        <v>3.0666666666666669</v>
      </c>
      <c r="E27" s="75"/>
      <c r="F27" s="75"/>
      <c r="G27" s="15">
        <f>IF(N17="","",MIN(N12,N17,N22))</f>
        <v>3.0133333333333336</v>
      </c>
      <c r="H27" s="75"/>
      <c r="I27" s="75"/>
      <c r="J27" s="86"/>
      <c r="K27" s="86"/>
      <c r="L27" s="86"/>
      <c r="M27" s="86"/>
      <c r="N27" s="8">
        <f>IF(D26="","",D27-G27)</f>
        <v>5.3333333333333233E-2</v>
      </c>
      <c r="O27" s="80"/>
      <c r="P27" s="56"/>
      <c r="Q27" s="56"/>
      <c r="R27" s="56"/>
      <c r="S27" s="56"/>
      <c r="T27" s="56"/>
      <c r="U27" s="56"/>
      <c r="V27" s="56"/>
    </row>
    <row r="28" spans="1:22" ht="28.5" customHeight="1" x14ac:dyDescent="0.2">
      <c r="A28" s="98">
        <v>20</v>
      </c>
      <c r="B28" s="74"/>
      <c r="C28" s="75"/>
      <c r="D28" s="15">
        <f>N26</f>
        <v>3.0000000000000027E-2</v>
      </c>
      <c r="E28" s="75"/>
      <c r="F28" s="75"/>
      <c r="G28" s="16">
        <f>2.58</f>
        <v>2.58</v>
      </c>
      <c r="H28" s="75"/>
      <c r="I28" s="75"/>
      <c r="J28" s="86"/>
      <c r="K28" s="86"/>
      <c r="L28" s="86"/>
      <c r="M28" s="86"/>
      <c r="N28" s="8">
        <f>IF(D28="","",D28*G28)</f>
        <v>7.7400000000000066E-2</v>
      </c>
      <c r="O28" s="80"/>
      <c r="P28" s="56"/>
      <c r="Q28" s="56"/>
      <c r="R28" s="56"/>
      <c r="S28" s="56"/>
      <c r="T28" s="56"/>
      <c r="U28" s="56"/>
      <c r="V28" s="56"/>
    </row>
    <row r="29" spans="1:22" ht="14.25" customHeight="1" x14ac:dyDescent="0.2">
      <c r="A29" s="79"/>
      <c r="J29" s="79"/>
      <c r="K29" s="79"/>
      <c r="L29" s="79"/>
      <c r="M29" s="79"/>
      <c r="N29" s="79"/>
      <c r="O29" s="80"/>
      <c r="P29" s="56"/>
      <c r="Q29" s="56"/>
      <c r="R29" s="56"/>
      <c r="S29" s="56"/>
      <c r="T29" s="56"/>
      <c r="U29" s="56"/>
      <c r="V29" s="56"/>
    </row>
    <row r="30" spans="1:22" ht="14.25" customHeight="1" x14ac:dyDescent="0.2">
      <c r="A30" s="79"/>
      <c r="J30" s="79"/>
      <c r="K30" s="79"/>
      <c r="L30" s="79"/>
      <c r="M30" s="79"/>
      <c r="N30" s="79"/>
      <c r="O30" s="80"/>
      <c r="P30" s="56"/>
      <c r="Q30" s="56"/>
      <c r="R30" s="56"/>
      <c r="S30" s="56"/>
      <c r="T30" s="56"/>
      <c r="U30" s="56"/>
      <c r="V30" s="56"/>
    </row>
    <row r="31" spans="1:22" ht="14.25" customHeight="1" x14ac:dyDescent="0.2">
      <c r="A31" s="79"/>
      <c r="J31" s="79"/>
      <c r="K31" s="79"/>
      <c r="L31" s="79"/>
      <c r="M31" s="79"/>
      <c r="N31" s="79"/>
      <c r="O31" s="80"/>
      <c r="P31" s="56"/>
      <c r="Q31" s="56"/>
      <c r="R31" s="56"/>
      <c r="S31" s="56"/>
      <c r="T31" s="56"/>
      <c r="U31" s="56"/>
      <c r="V31" s="56"/>
    </row>
    <row r="32" spans="1:22" ht="14.25" customHeight="1" x14ac:dyDescent="0.2">
      <c r="A32" s="79"/>
      <c r="J32" s="79"/>
      <c r="K32" s="79"/>
      <c r="L32" s="79"/>
      <c r="M32" s="79"/>
      <c r="N32" s="79"/>
      <c r="O32" s="80"/>
      <c r="P32" s="56"/>
      <c r="Q32" s="56"/>
      <c r="R32" s="56"/>
      <c r="S32" s="56"/>
      <c r="T32" s="56"/>
      <c r="U32" s="56"/>
      <c r="V32" s="56"/>
    </row>
    <row r="33" spans="1:22" ht="14.25" customHeight="1" x14ac:dyDescent="0.2">
      <c r="A33" s="79"/>
      <c r="J33" s="79"/>
      <c r="K33" s="79"/>
      <c r="L33" s="79"/>
      <c r="M33" s="79"/>
      <c r="N33" s="79"/>
      <c r="O33" s="80"/>
      <c r="P33" s="56"/>
      <c r="Q33" s="56"/>
      <c r="R33" s="56"/>
      <c r="S33" s="56"/>
      <c r="T33" s="56"/>
      <c r="U33" s="56"/>
      <c r="V33" s="56"/>
    </row>
    <row r="34" spans="1:22" ht="14.25" customHeight="1" x14ac:dyDescent="0.2">
      <c r="A34" s="79"/>
      <c r="J34" s="79"/>
      <c r="K34" s="79"/>
      <c r="L34" s="79"/>
      <c r="M34" s="79"/>
      <c r="N34" s="79"/>
      <c r="O34" s="80"/>
      <c r="P34" s="56"/>
      <c r="Q34" s="56"/>
      <c r="R34" s="56"/>
      <c r="S34" s="56"/>
      <c r="T34" s="56"/>
      <c r="U34" s="56"/>
      <c r="V34" s="56"/>
    </row>
    <row r="35" spans="1:22" ht="14.25" customHeight="1" x14ac:dyDescent="0.2">
      <c r="A35" s="79"/>
      <c r="J35" s="79"/>
      <c r="K35" s="79"/>
      <c r="L35" s="79"/>
      <c r="M35" s="79"/>
      <c r="N35" s="79"/>
      <c r="O35" s="80"/>
      <c r="P35" s="56"/>
      <c r="Q35" s="56"/>
      <c r="R35" s="56"/>
      <c r="S35" s="56"/>
      <c r="T35" s="56"/>
      <c r="U35" s="56"/>
      <c r="V35" s="56"/>
    </row>
    <row r="36" spans="1:22" ht="14.25" customHeight="1" x14ac:dyDescent="0.2">
      <c r="A36" s="79"/>
      <c r="J36" s="79"/>
      <c r="K36" s="79"/>
      <c r="L36" s="79"/>
      <c r="M36" s="79"/>
      <c r="N36" s="79"/>
      <c r="O36" s="80"/>
      <c r="P36" s="56"/>
      <c r="Q36" s="56"/>
      <c r="R36" s="56"/>
      <c r="S36" s="56"/>
      <c r="T36" s="56"/>
      <c r="U36" s="56"/>
      <c r="V36" s="56"/>
    </row>
    <row r="37" spans="1:22" ht="14.25" customHeight="1" x14ac:dyDescent="0.2">
      <c r="A37" s="79"/>
      <c r="J37" s="79"/>
      <c r="K37" s="79"/>
      <c r="L37" s="79"/>
      <c r="M37" s="79"/>
      <c r="N37" s="79"/>
      <c r="O37" s="80"/>
      <c r="P37" s="56"/>
      <c r="Q37" s="56"/>
      <c r="R37" s="56"/>
      <c r="S37" s="56"/>
      <c r="T37" s="56"/>
      <c r="U37" s="56"/>
      <c r="V37" s="56"/>
    </row>
    <row r="38" spans="1:22" ht="14.25" customHeight="1" x14ac:dyDescent="0.2">
      <c r="A38" s="79"/>
      <c r="J38" s="79"/>
      <c r="K38" s="79"/>
      <c r="L38" s="79"/>
      <c r="M38" s="79"/>
      <c r="N38" s="79"/>
      <c r="O38" s="80"/>
      <c r="P38" s="56"/>
      <c r="Q38" s="56"/>
      <c r="R38" s="56"/>
      <c r="S38" s="56"/>
      <c r="T38" s="56"/>
      <c r="U38" s="56"/>
      <c r="V38" s="56"/>
    </row>
    <row r="39" spans="1:22" ht="14.25" customHeight="1" x14ac:dyDescent="0.2">
      <c r="A39" s="79"/>
      <c r="J39" s="79"/>
      <c r="K39" s="79"/>
      <c r="L39" s="79"/>
      <c r="M39" s="79"/>
      <c r="N39" s="79"/>
      <c r="O39" s="80"/>
      <c r="P39" s="56"/>
      <c r="Q39" s="56"/>
      <c r="R39" s="56"/>
      <c r="S39" s="56"/>
      <c r="T39" s="56"/>
      <c r="U39" s="56"/>
      <c r="V39" s="56"/>
    </row>
    <row r="40" spans="1:22" ht="14.25" customHeight="1" x14ac:dyDescent="0.2">
      <c r="A40" s="79"/>
      <c r="J40" s="79"/>
      <c r="K40" s="79"/>
      <c r="L40" s="79"/>
      <c r="M40" s="79"/>
      <c r="N40" s="79"/>
      <c r="O40" s="80"/>
      <c r="P40" s="56"/>
      <c r="Q40" s="56"/>
      <c r="R40" s="56"/>
      <c r="S40" s="56"/>
      <c r="T40" s="56"/>
      <c r="U40" s="56"/>
      <c r="V40" s="56"/>
    </row>
    <row r="41" spans="1:22" ht="14.25" customHeight="1" x14ac:dyDescent="0.2">
      <c r="A41" s="79"/>
      <c r="J41" s="79"/>
      <c r="K41" s="79"/>
      <c r="L41" s="79"/>
      <c r="M41" s="79"/>
      <c r="N41" s="79"/>
      <c r="O41" s="80"/>
      <c r="P41" s="56"/>
      <c r="Q41" s="56"/>
      <c r="R41" s="56"/>
      <c r="S41" s="56"/>
      <c r="T41" s="56"/>
      <c r="U41" s="56"/>
      <c r="V41" s="56"/>
    </row>
    <row r="42" spans="1:22" ht="14.25" customHeight="1" x14ac:dyDescent="0.2">
      <c r="A42" s="79"/>
      <c r="J42" s="79"/>
      <c r="K42" s="79"/>
      <c r="L42" s="79"/>
      <c r="M42" s="79"/>
      <c r="N42" s="79"/>
      <c r="O42" s="80"/>
      <c r="P42" s="56"/>
      <c r="Q42" s="56"/>
      <c r="R42" s="56"/>
      <c r="S42" s="56"/>
      <c r="T42" s="56"/>
      <c r="U42" s="56"/>
      <c r="V42" s="56"/>
    </row>
    <row r="43" spans="1:22" ht="14.25" customHeight="1" x14ac:dyDescent="0.2">
      <c r="A43" s="79"/>
      <c r="J43" s="79"/>
      <c r="K43" s="79"/>
      <c r="L43" s="79"/>
      <c r="M43" s="79"/>
      <c r="N43" s="79"/>
      <c r="O43" s="79"/>
    </row>
    <row r="44" spans="1:22" ht="14.25" customHeight="1" x14ac:dyDescent="0.2">
      <c r="A44" s="79"/>
      <c r="C44" s="76"/>
      <c r="J44" s="79"/>
      <c r="K44" s="79"/>
      <c r="L44" s="79"/>
      <c r="M44" s="79"/>
      <c r="N44" s="79"/>
      <c r="O44" s="79"/>
    </row>
    <row r="45" spans="1:22" ht="15.75" customHeight="1" x14ac:dyDescent="0.2">
      <c r="A45" s="79"/>
      <c r="J45" s="79"/>
      <c r="K45" s="79"/>
      <c r="L45" s="79"/>
      <c r="M45" s="79"/>
      <c r="N45" s="79"/>
      <c r="O45" s="79"/>
    </row>
    <row r="46" spans="1:22" ht="15.75" customHeight="1" x14ac:dyDescent="0.2">
      <c r="A46" s="79"/>
      <c r="B46" s="133" t="s">
        <v>66</v>
      </c>
      <c r="C46" s="133"/>
      <c r="D46" s="133"/>
      <c r="E46" s="77"/>
      <c r="F46" s="77"/>
      <c r="G46" s="77"/>
      <c r="H46" s="77"/>
      <c r="I46" s="77"/>
      <c r="J46" s="77"/>
      <c r="K46" s="77"/>
      <c r="L46" s="77"/>
      <c r="M46" s="79"/>
      <c r="N46" s="79"/>
      <c r="O46" s="79"/>
    </row>
    <row r="47" spans="1:22" ht="16.5" customHeight="1" x14ac:dyDescent="0.2">
      <c r="A47" s="79"/>
      <c r="B47" s="66"/>
      <c r="C47" s="126">
        <v>1</v>
      </c>
      <c r="D47" s="126">
        <v>2</v>
      </c>
      <c r="E47" s="126">
        <v>3</v>
      </c>
      <c r="F47" s="126">
        <v>4</v>
      </c>
      <c r="G47" s="126">
        <v>5</v>
      </c>
      <c r="H47" s="126">
        <v>6</v>
      </c>
      <c r="I47" s="126">
        <v>7</v>
      </c>
      <c r="J47" s="126">
        <v>8</v>
      </c>
      <c r="K47" s="126">
        <v>9</v>
      </c>
      <c r="L47" s="126">
        <v>10</v>
      </c>
      <c r="M47" s="79"/>
      <c r="N47" s="79"/>
      <c r="O47" s="79"/>
    </row>
    <row r="48" spans="1:22" ht="16.5" customHeight="1" x14ac:dyDescent="0.2">
      <c r="A48" s="79"/>
      <c r="B48" s="95" t="s">
        <v>29</v>
      </c>
      <c r="C48" s="78">
        <f>C12</f>
        <v>3.4466666666666668</v>
      </c>
      <c r="D48" s="78">
        <f t="shared" ref="D48:L48" si="7">D12</f>
        <v>2.686666666666667</v>
      </c>
      <c r="E48" s="78" t="str">
        <f t="shared" si="7"/>
        <v/>
      </c>
      <c r="F48" s="78" t="str">
        <f t="shared" si="7"/>
        <v/>
      </c>
      <c r="G48" s="78" t="str">
        <f t="shared" si="7"/>
        <v/>
      </c>
      <c r="H48" s="78" t="str">
        <f t="shared" si="7"/>
        <v/>
      </c>
      <c r="I48" s="78" t="str">
        <f t="shared" si="7"/>
        <v/>
      </c>
      <c r="J48" s="78" t="str">
        <f t="shared" si="7"/>
        <v/>
      </c>
      <c r="K48" s="78" t="str">
        <f t="shared" si="7"/>
        <v/>
      </c>
      <c r="L48" s="78" t="str">
        <f t="shared" si="7"/>
        <v/>
      </c>
      <c r="M48" s="79"/>
      <c r="N48" s="79"/>
      <c r="O48" s="79"/>
    </row>
    <row r="49" spans="1:15" ht="16.5" customHeight="1" x14ac:dyDescent="0.2">
      <c r="A49" s="79"/>
      <c r="B49" s="95" t="s">
        <v>30</v>
      </c>
      <c r="C49" s="78">
        <f>C17</f>
        <v>3.4333333333333336</v>
      </c>
      <c r="D49" s="78">
        <f t="shared" ref="D49:L49" si="8">D17</f>
        <v>2.6233333333333335</v>
      </c>
      <c r="E49" s="78" t="str">
        <f t="shared" si="8"/>
        <v/>
      </c>
      <c r="F49" s="78" t="str">
        <f t="shared" si="8"/>
        <v/>
      </c>
      <c r="G49" s="78" t="str">
        <f t="shared" si="8"/>
        <v/>
      </c>
      <c r="H49" s="78" t="str">
        <f t="shared" si="8"/>
        <v/>
      </c>
      <c r="I49" s="78" t="str">
        <f t="shared" si="8"/>
        <v/>
      </c>
      <c r="J49" s="78" t="str">
        <f t="shared" si="8"/>
        <v/>
      </c>
      <c r="K49" s="78" t="str">
        <f t="shared" si="8"/>
        <v/>
      </c>
      <c r="L49" s="78" t="str">
        <f t="shared" si="8"/>
        <v/>
      </c>
      <c r="M49" s="79"/>
      <c r="N49" s="88"/>
      <c r="O49" s="79"/>
    </row>
    <row r="50" spans="1:15" ht="16.5" customHeight="1" x14ac:dyDescent="0.2">
      <c r="A50" s="79"/>
      <c r="B50" s="95" t="s">
        <v>31</v>
      </c>
      <c r="C50" s="64">
        <f>C22</f>
        <v>3.4133333333333336</v>
      </c>
      <c r="D50" s="64">
        <f t="shared" ref="D50:L50" si="9">D22</f>
        <v>2.6133333333333333</v>
      </c>
      <c r="E50" s="64" t="str">
        <f t="shared" si="9"/>
        <v/>
      </c>
      <c r="F50" s="64" t="str">
        <f t="shared" si="9"/>
        <v/>
      </c>
      <c r="G50" s="64" t="str">
        <f t="shared" si="9"/>
        <v/>
      </c>
      <c r="H50" s="64" t="str">
        <f t="shared" si="9"/>
        <v/>
      </c>
      <c r="I50" s="64" t="str">
        <f t="shared" si="9"/>
        <v/>
      </c>
      <c r="J50" s="64" t="str">
        <f t="shared" si="9"/>
        <v/>
      </c>
      <c r="K50" s="64" t="str">
        <f t="shared" si="9"/>
        <v/>
      </c>
      <c r="L50" s="64" t="str">
        <f t="shared" si="9"/>
        <v/>
      </c>
      <c r="M50" s="79"/>
      <c r="N50" s="79"/>
      <c r="O50" s="79"/>
    </row>
    <row r="51" spans="1:15" ht="16.5" customHeight="1" x14ac:dyDescent="0.2">
      <c r="A51" s="79"/>
      <c r="B51" s="95" t="s">
        <v>29</v>
      </c>
      <c r="C51" s="64">
        <f t="shared" ref="C51:L51" si="10">C13</f>
        <v>2.9999999999999805E-2</v>
      </c>
      <c r="D51" s="64">
        <f t="shared" si="10"/>
        <v>3.0000000000000249E-2</v>
      </c>
      <c r="E51" s="64" t="str">
        <f t="shared" si="10"/>
        <v/>
      </c>
      <c r="F51" s="64" t="str">
        <f t="shared" si="10"/>
        <v/>
      </c>
      <c r="G51" s="64" t="str">
        <f t="shared" si="10"/>
        <v/>
      </c>
      <c r="H51" s="64" t="str">
        <f t="shared" si="10"/>
        <v/>
      </c>
      <c r="I51" s="64" t="str">
        <f t="shared" si="10"/>
        <v/>
      </c>
      <c r="J51" s="64" t="str">
        <f t="shared" si="10"/>
        <v/>
      </c>
      <c r="K51" s="64" t="str">
        <f t="shared" si="10"/>
        <v/>
      </c>
      <c r="L51" s="64" t="str">
        <f t="shared" si="10"/>
        <v/>
      </c>
      <c r="M51" s="79"/>
      <c r="N51" s="79"/>
      <c r="O51" s="79"/>
    </row>
    <row r="52" spans="1:15" ht="16.5" customHeight="1" x14ac:dyDescent="0.2">
      <c r="A52" s="79"/>
      <c r="B52" s="95" t="s">
        <v>30</v>
      </c>
      <c r="C52" s="78">
        <f t="shared" ref="C52:L52" si="11">C18</f>
        <v>4.0000000000000036E-2</v>
      </c>
      <c r="D52" s="78">
        <f t="shared" si="11"/>
        <v>2.0000000000000018E-2</v>
      </c>
      <c r="E52" s="78" t="str">
        <f t="shared" si="11"/>
        <v/>
      </c>
      <c r="F52" s="78" t="str">
        <f t="shared" si="11"/>
        <v/>
      </c>
      <c r="G52" s="78" t="str">
        <f t="shared" si="11"/>
        <v/>
      </c>
      <c r="H52" s="78" t="str">
        <f t="shared" si="11"/>
        <v/>
      </c>
      <c r="I52" s="78" t="str">
        <f t="shared" si="11"/>
        <v/>
      </c>
      <c r="J52" s="78" t="str">
        <f t="shared" si="11"/>
        <v/>
      </c>
      <c r="K52" s="78" t="str">
        <f t="shared" si="11"/>
        <v/>
      </c>
      <c r="L52" s="78" t="str">
        <f t="shared" si="11"/>
        <v/>
      </c>
      <c r="M52" s="79"/>
      <c r="N52" s="79"/>
      <c r="O52" s="79"/>
    </row>
    <row r="53" spans="1:15" ht="16.5" customHeight="1" x14ac:dyDescent="0.2">
      <c r="A53" s="79"/>
      <c r="B53" s="95" t="s">
        <v>31</v>
      </c>
      <c r="C53" s="78">
        <f t="shared" ref="C53:L53" si="12">C23</f>
        <v>3.0000000000000249E-2</v>
      </c>
      <c r="D53" s="78">
        <f t="shared" si="12"/>
        <v>2.9999999999999805E-2</v>
      </c>
      <c r="E53" s="78" t="str">
        <f t="shared" si="12"/>
        <v/>
      </c>
      <c r="F53" s="78" t="str">
        <f t="shared" si="12"/>
        <v/>
      </c>
      <c r="G53" s="78" t="str">
        <f t="shared" si="12"/>
        <v/>
      </c>
      <c r="H53" s="78" t="str">
        <f t="shared" si="12"/>
        <v/>
      </c>
      <c r="I53" s="78" t="str">
        <f t="shared" si="12"/>
        <v/>
      </c>
      <c r="J53" s="78" t="str">
        <f t="shared" si="12"/>
        <v/>
      </c>
      <c r="K53" s="78" t="str">
        <f t="shared" si="12"/>
        <v/>
      </c>
      <c r="L53" s="78" t="str">
        <f t="shared" si="12"/>
        <v/>
      </c>
      <c r="M53" s="79"/>
      <c r="N53" s="88"/>
      <c r="O53" s="79"/>
    </row>
    <row r="54" spans="1:15" ht="15.75" customHeight="1" x14ac:dyDescent="0.2">
      <c r="A54" s="79"/>
      <c r="J54" s="79"/>
      <c r="K54" s="79"/>
      <c r="L54" s="79"/>
      <c r="M54" s="79"/>
      <c r="N54" s="79"/>
      <c r="O54" s="79"/>
    </row>
    <row r="55" spans="1:15" ht="15.75" customHeight="1" x14ac:dyDescent="0.2">
      <c r="A55" s="79"/>
      <c r="J55" s="79"/>
      <c r="K55" s="79"/>
      <c r="L55" s="79"/>
      <c r="M55" s="79"/>
      <c r="N55" s="88"/>
      <c r="O55" s="79"/>
    </row>
    <row r="56" spans="1:15" ht="15.75" customHeight="1" x14ac:dyDescent="0.2">
      <c r="A56" s="79"/>
      <c r="C56" s="77"/>
      <c r="D56" s="77"/>
      <c r="E56" s="77"/>
      <c r="F56" s="77"/>
      <c r="G56" s="77"/>
      <c r="H56" s="77"/>
      <c r="I56" s="77"/>
      <c r="J56" s="88"/>
      <c r="K56" s="88"/>
      <c r="L56" s="88"/>
      <c r="M56" s="79"/>
      <c r="N56" s="88"/>
      <c r="O56" s="79"/>
    </row>
    <row r="62" spans="1:15" x14ac:dyDescent="0.2">
      <c r="G62" s="92"/>
    </row>
  </sheetData>
  <mergeCells count="19">
    <mergeCell ref="B6:C6"/>
    <mergeCell ref="D2:F2"/>
    <mergeCell ref="C7:L7"/>
    <mergeCell ref="B1:N1"/>
    <mergeCell ref="D3:F3"/>
    <mergeCell ref="D4:F4"/>
    <mergeCell ref="D5:F5"/>
    <mergeCell ref="G2:N2"/>
    <mergeCell ref="G3:N3"/>
    <mergeCell ref="B46:D46"/>
    <mergeCell ref="B2:C2"/>
    <mergeCell ref="B3:C3"/>
    <mergeCell ref="B4:C4"/>
    <mergeCell ref="E6:F6"/>
    <mergeCell ref="H6:I6"/>
    <mergeCell ref="G4:N4"/>
    <mergeCell ref="G5:N5"/>
    <mergeCell ref="B5:C5"/>
    <mergeCell ref="K6:L6"/>
  </mergeCells>
  <phoneticPr fontId="0" type="noConversion"/>
  <pageMargins left="0.59055118110236227" right="0.59055118110236227" top="0.78740157480314965" bottom="0.78740157480314965" header="0.51181102362204722" footer="0.51181102362204722"/>
  <pageSetup paperSize="9" scale="7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12</xdr:col>
                <xdr:colOff>9525</xdr:colOff>
                <xdr:row>11</xdr:row>
                <xdr:rowOff>38100</xdr:rowOff>
              </from>
              <to>
                <xdr:col>13</xdr:col>
                <xdr:colOff>85725</xdr:colOff>
                <xdr:row>11</xdr:row>
                <xdr:rowOff>304800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r:id="rId7">
            <anchor moveWithCells="1">
              <from>
                <xdr:col>12</xdr:col>
                <xdr:colOff>9525</xdr:colOff>
                <xdr:row>17</xdr:row>
                <xdr:rowOff>38100</xdr:rowOff>
              </from>
              <to>
                <xdr:col>13</xdr:col>
                <xdr:colOff>66675</xdr:colOff>
                <xdr:row>17</xdr:row>
                <xdr:rowOff>304800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r:id="rId9">
            <anchor moveWithCells="1">
              <from>
                <xdr:col>12</xdr:col>
                <xdr:colOff>9525</xdr:colOff>
                <xdr:row>22</xdr:row>
                <xdr:rowOff>9525</xdr:rowOff>
              </from>
              <to>
                <xdr:col>13</xdr:col>
                <xdr:colOff>66675</xdr:colOff>
                <xdr:row>22</xdr:row>
                <xdr:rowOff>285750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r:id="rId11">
            <anchor moveWithCells="1">
              <from>
                <xdr:col>12</xdr:col>
                <xdr:colOff>9525</xdr:colOff>
                <xdr:row>21</xdr:row>
                <xdr:rowOff>19050</xdr:rowOff>
              </from>
              <to>
                <xdr:col>13</xdr:col>
                <xdr:colOff>85725</xdr:colOff>
                <xdr:row>21</xdr:row>
                <xdr:rowOff>295275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r:id="rId13">
            <anchor moveWithCells="1">
              <from>
                <xdr:col>12</xdr:col>
                <xdr:colOff>9525</xdr:colOff>
                <xdr:row>16</xdr:row>
                <xdr:rowOff>19050</xdr:rowOff>
              </from>
              <to>
                <xdr:col>13</xdr:col>
                <xdr:colOff>66675</xdr:colOff>
                <xdr:row>16</xdr:row>
                <xdr:rowOff>285750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6" r:id="rId14">
          <objectPr defaultSize="0" r:id="rId15">
            <anchor moveWithCells="1">
              <from>
                <xdr:col>12</xdr:col>
                <xdr:colOff>38100</xdr:colOff>
                <xdr:row>23</xdr:row>
                <xdr:rowOff>9525</xdr:rowOff>
              </from>
              <to>
                <xdr:col>12</xdr:col>
                <xdr:colOff>361950</xdr:colOff>
                <xdr:row>23</xdr:row>
                <xdr:rowOff>257175</xdr:rowOff>
              </to>
            </anchor>
          </objectPr>
        </oleObject>
      </mc:Choice>
      <mc:Fallback>
        <oleObject progId="Equation.3" shapeId="1036" r:id="rId14"/>
      </mc:Fallback>
    </mc:AlternateContent>
    <mc:AlternateContent xmlns:mc="http://schemas.openxmlformats.org/markup-compatibility/2006">
      <mc:Choice Requires="x14">
        <oleObject progId="Equation.3" shapeId="1037" r:id="rId16">
          <objectPr defaultSize="0" r:id="rId17">
            <anchor moveWithCells="1">
              <from>
                <xdr:col>12</xdr:col>
                <xdr:colOff>38100</xdr:colOff>
                <xdr:row>25</xdr:row>
                <xdr:rowOff>38100</xdr:rowOff>
              </from>
              <to>
                <xdr:col>13</xdr:col>
                <xdr:colOff>9525</xdr:colOff>
                <xdr:row>25</xdr:row>
                <xdr:rowOff>285750</xdr:rowOff>
              </to>
            </anchor>
          </objectPr>
        </oleObject>
      </mc:Choice>
      <mc:Fallback>
        <oleObject progId="Equation.3" shapeId="1037" r:id="rId16"/>
      </mc:Fallback>
    </mc:AlternateContent>
    <mc:AlternateContent xmlns:mc="http://schemas.openxmlformats.org/markup-compatibility/2006">
      <mc:Choice Requires="x14">
        <oleObject progId="Equation.3" shapeId="1045" r:id="rId18">
          <objectPr defaultSize="0" r:id="rId19">
            <anchor moveWithCells="1">
              <from>
                <xdr:col>2</xdr:col>
                <xdr:colOff>66675</xdr:colOff>
                <xdr:row>25</xdr:row>
                <xdr:rowOff>38100</xdr:rowOff>
              </from>
              <to>
                <xdr:col>2</xdr:col>
                <xdr:colOff>523875</xdr:colOff>
                <xdr:row>25</xdr:row>
                <xdr:rowOff>304800</xdr:rowOff>
              </to>
            </anchor>
          </objectPr>
        </oleObject>
      </mc:Choice>
      <mc:Fallback>
        <oleObject progId="Equation.3" shapeId="1045" r:id="rId18"/>
      </mc:Fallback>
    </mc:AlternateContent>
    <mc:AlternateContent xmlns:mc="http://schemas.openxmlformats.org/markup-compatibility/2006">
      <mc:Choice Requires="x14">
        <oleObject progId="Equation.3" shapeId="1048" r:id="rId20">
          <objectPr defaultSize="0" r:id="rId21">
            <anchor moveWithCells="1">
              <from>
                <xdr:col>8</xdr:col>
                <xdr:colOff>85725</xdr:colOff>
                <xdr:row>25</xdr:row>
                <xdr:rowOff>47625</xdr:rowOff>
              </from>
              <to>
                <xdr:col>8</xdr:col>
                <xdr:colOff>523875</xdr:colOff>
                <xdr:row>25</xdr:row>
                <xdr:rowOff>323850</xdr:rowOff>
              </to>
            </anchor>
          </objectPr>
        </oleObject>
      </mc:Choice>
      <mc:Fallback>
        <oleObject progId="Equation.3" shapeId="1048" r:id="rId20"/>
      </mc:Fallback>
    </mc:AlternateContent>
    <mc:AlternateContent xmlns:mc="http://schemas.openxmlformats.org/markup-compatibility/2006">
      <mc:Choice Requires="x14">
        <oleObject progId="Equation.3" shapeId="1049" r:id="rId22">
          <objectPr defaultSize="0" r:id="rId23">
            <anchor moveWithCells="1">
              <from>
                <xdr:col>5</xdr:col>
                <xdr:colOff>104775</xdr:colOff>
                <xdr:row>25</xdr:row>
                <xdr:rowOff>38100</xdr:rowOff>
              </from>
              <to>
                <xdr:col>5</xdr:col>
                <xdr:colOff>542925</xdr:colOff>
                <xdr:row>25</xdr:row>
                <xdr:rowOff>304800</xdr:rowOff>
              </to>
            </anchor>
          </objectPr>
        </oleObject>
      </mc:Choice>
      <mc:Fallback>
        <oleObject progId="Equation.3" shapeId="1049" r:id="rId22"/>
      </mc:Fallback>
    </mc:AlternateContent>
    <mc:AlternateContent xmlns:mc="http://schemas.openxmlformats.org/markup-compatibility/2006">
      <mc:Choice Requires="x14">
        <oleObject progId="Equation.3" shapeId="1050" r:id="rId24">
          <objectPr defaultSize="0" autoPict="0" r:id="rId25">
            <anchor moveWithCells="1">
              <from>
                <xdr:col>12</xdr:col>
                <xdr:colOff>19050</xdr:colOff>
                <xdr:row>23</xdr:row>
                <xdr:rowOff>276225</xdr:rowOff>
              </from>
              <to>
                <xdr:col>13</xdr:col>
                <xdr:colOff>66675</xdr:colOff>
                <xdr:row>24</xdr:row>
                <xdr:rowOff>257175</xdr:rowOff>
              </to>
            </anchor>
          </objectPr>
        </oleObject>
      </mc:Choice>
      <mc:Fallback>
        <oleObject progId="Equation.3" shapeId="1050" r:id="rId24"/>
      </mc:Fallback>
    </mc:AlternateContent>
    <mc:AlternateContent xmlns:mc="http://schemas.openxmlformats.org/markup-compatibility/2006">
      <mc:Choice Requires="x14">
        <oleObject progId="Equation.3" shapeId="1051" r:id="rId26">
          <objectPr defaultSize="0" r:id="rId27">
            <anchor moveWithCells="1">
              <from>
                <xdr:col>1</xdr:col>
                <xdr:colOff>838200</xdr:colOff>
                <xdr:row>26</xdr:row>
                <xdr:rowOff>38100</xdr:rowOff>
              </from>
              <to>
                <xdr:col>3</xdr:col>
                <xdr:colOff>47625</xdr:colOff>
                <xdr:row>26</xdr:row>
                <xdr:rowOff>304800</xdr:rowOff>
              </to>
            </anchor>
          </objectPr>
        </oleObject>
      </mc:Choice>
      <mc:Fallback>
        <oleObject progId="Equation.3" shapeId="1051" r:id="rId26"/>
      </mc:Fallback>
    </mc:AlternateContent>
    <mc:AlternateContent xmlns:mc="http://schemas.openxmlformats.org/markup-compatibility/2006">
      <mc:Choice Requires="x14">
        <oleObject progId="Equation.3" shapeId="1052" r:id="rId28">
          <objectPr defaultSize="0" r:id="rId29">
            <anchor moveWithCells="1">
              <from>
                <xdr:col>4</xdr:col>
                <xdr:colOff>581025</xdr:colOff>
                <xdr:row>26</xdr:row>
                <xdr:rowOff>38100</xdr:rowOff>
              </from>
              <to>
                <xdr:col>6</xdr:col>
                <xdr:colOff>0</xdr:colOff>
                <xdr:row>26</xdr:row>
                <xdr:rowOff>304800</xdr:rowOff>
              </to>
            </anchor>
          </objectPr>
        </oleObject>
      </mc:Choice>
      <mc:Fallback>
        <oleObject progId="Equation.3" shapeId="1052" r:id="rId28"/>
      </mc:Fallback>
    </mc:AlternateContent>
    <mc:AlternateContent xmlns:mc="http://schemas.openxmlformats.org/markup-compatibility/2006">
      <mc:Choice Requires="x14">
        <oleObject progId="Equation.3" shapeId="1054" r:id="rId30">
          <objectPr defaultSize="0" r:id="rId31">
            <anchor moveWithCells="1">
              <from>
                <xdr:col>8</xdr:col>
                <xdr:colOff>85725</xdr:colOff>
                <xdr:row>26</xdr:row>
                <xdr:rowOff>57150</xdr:rowOff>
              </from>
              <to>
                <xdr:col>11</xdr:col>
                <xdr:colOff>66675</xdr:colOff>
                <xdr:row>26</xdr:row>
                <xdr:rowOff>323850</xdr:rowOff>
              </to>
            </anchor>
          </objectPr>
        </oleObject>
      </mc:Choice>
      <mc:Fallback>
        <oleObject progId="Equation.3" shapeId="1054" r:id="rId30"/>
      </mc:Fallback>
    </mc:AlternateContent>
    <mc:AlternateContent xmlns:mc="http://schemas.openxmlformats.org/markup-compatibility/2006">
      <mc:Choice Requires="x14">
        <oleObject progId="Equation.3" shapeId="1055" r:id="rId32">
          <objectPr defaultSize="0" r:id="rId33">
            <anchor moveWithCells="1">
              <from>
                <xdr:col>2</xdr:col>
                <xdr:colOff>142875</xdr:colOff>
                <xdr:row>27</xdr:row>
                <xdr:rowOff>47625</xdr:rowOff>
              </from>
              <to>
                <xdr:col>2</xdr:col>
                <xdr:colOff>495300</xdr:colOff>
                <xdr:row>27</xdr:row>
                <xdr:rowOff>295275</xdr:rowOff>
              </to>
            </anchor>
          </objectPr>
        </oleObject>
      </mc:Choice>
      <mc:Fallback>
        <oleObject progId="Equation.3" shapeId="1055" r:id="rId32"/>
      </mc:Fallback>
    </mc:AlternateContent>
    <mc:AlternateContent xmlns:mc="http://schemas.openxmlformats.org/markup-compatibility/2006">
      <mc:Choice Requires="x14">
        <oleObject progId="Equation.3" shapeId="1056" r:id="rId34">
          <objectPr defaultSize="0" r:id="rId35">
            <anchor moveWithCells="1">
              <from>
                <xdr:col>5</xdr:col>
                <xdr:colOff>114300</xdr:colOff>
                <xdr:row>27</xdr:row>
                <xdr:rowOff>57150</xdr:rowOff>
              </from>
              <to>
                <xdr:col>5</xdr:col>
                <xdr:colOff>542925</xdr:colOff>
                <xdr:row>27</xdr:row>
                <xdr:rowOff>304800</xdr:rowOff>
              </to>
            </anchor>
          </objectPr>
        </oleObject>
      </mc:Choice>
      <mc:Fallback>
        <oleObject progId="Equation.3" shapeId="1056" r:id="rId34"/>
      </mc:Fallback>
    </mc:AlternateContent>
    <mc:AlternateContent xmlns:mc="http://schemas.openxmlformats.org/markup-compatibility/2006">
      <mc:Choice Requires="x14">
        <oleObject progId="Equation.3" shapeId="1057" r:id="rId36">
          <objectPr defaultSize="0" r:id="rId37">
            <anchor moveWithCells="1">
              <from>
                <xdr:col>8</xdr:col>
                <xdr:colOff>114300</xdr:colOff>
                <xdr:row>27</xdr:row>
                <xdr:rowOff>38100</xdr:rowOff>
              </from>
              <to>
                <xdr:col>10</xdr:col>
                <xdr:colOff>152400</xdr:colOff>
                <xdr:row>27</xdr:row>
                <xdr:rowOff>333375</xdr:rowOff>
              </to>
            </anchor>
          </objectPr>
        </oleObject>
      </mc:Choice>
      <mc:Fallback>
        <oleObject progId="Equation.3" shapeId="1057" r:id="rId36"/>
      </mc:Fallback>
    </mc:AlternateContent>
    <mc:AlternateContent xmlns:mc="http://schemas.openxmlformats.org/markup-compatibility/2006">
      <mc:Choice Requires="x14">
        <oleObject progId="Equation.3" shapeId="1058" r:id="rId38">
          <objectPr defaultSize="0" r:id="rId39">
            <anchor moveWithCells="1">
              <from>
                <xdr:col>12</xdr:col>
                <xdr:colOff>9525</xdr:colOff>
                <xdr:row>26</xdr:row>
                <xdr:rowOff>38100</xdr:rowOff>
              </from>
              <to>
                <xdr:col>13</xdr:col>
                <xdr:colOff>285750</xdr:colOff>
                <xdr:row>26</xdr:row>
                <xdr:rowOff>304800</xdr:rowOff>
              </to>
            </anchor>
          </objectPr>
        </oleObject>
      </mc:Choice>
      <mc:Fallback>
        <oleObject progId="Equation.3" shapeId="1058" r:id="rId38"/>
      </mc:Fallback>
    </mc:AlternateContent>
    <mc:AlternateContent xmlns:mc="http://schemas.openxmlformats.org/markup-compatibility/2006">
      <mc:Choice Requires="x14">
        <oleObject progId="Equation.3" shapeId="1059" r:id="rId40">
          <objectPr defaultSize="0" r:id="rId41">
            <anchor moveWithCells="1">
              <from>
                <xdr:col>12</xdr:col>
                <xdr:colOff>19050</xdr:colOff>
                <xdr:row>27</xdr:row>
                <xdr:rowOff>57150</xdr:rowOff>
              </from>
              <to>
                <xdr:col>13</xdr:col>
                <xdr:colOff>314325</xdr:colOff>
                <xdr:row>27</xdr:row>
                <xdr:rowOff>304800</xdr:rowOff>
              </to>
            </anchor>
          </objectPr>
        </oleObject>
      </mc:Choice>
      <mc:Fallback>
        <oleObject progId="Equation.3" shapeId="1059" r:id="rId4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R47"/>
  <sheetViews>
    <sheetView showGridLines="0" topLeftCell="A40" zoomScale="85" zoomScaleNormal="85" workbookViewId="0">
      <selection activeCell="V18" sqref="V18"/>
    </sheetView>
  </sheetViews>
  <sheetFormatPr defaultRowHeight="12.75" x14ac:dyDescent="0.2"/>
  <cols>
    <col min="1" max="1" width="5.85546875" customWidth="1"/>
    <col min="2" max="2" width="9.28515625" bestFit="1" customWidth="1"/>
    <col min="3" max="3" width="9.85546875" bestFit="1" customWidth="1"/>
    <col min="4" max="4" width="4.42578125" customWidth="1"/>
    <col min="5" max="5" width="10.5703125" customWidth="1"/>
    <col min="6" max="6" width="10.28515625" customWidth="1"/>
    <col min="7" max="7" width="9.28515625" bestFit="1" customWidth="1"/>
    <col min="8" max="8" width="9.85546875" customWidth="1"/>
    <col min="9" max="9" width="8" customWidth="1"/>
    <col min="10" max="10" width="7" customWidth="1"/>
    <col min="11" max="11" width="12.28515625" customWidth="1"/>
    <col min="12" max="12" width="9.85546875" bestFit="1" customWidth="1"/>
    <col min="13" max="13" width="6.42578125" customWidth="1"/>
    <col min="14" max="14" width="9.5703125" customWidth="1"/>
    <col min="15" max="15" width="7.85546875" customWidth="1"/>
    <col min="16" max="16" width="12.85546875" bestFit="1" customWidth="1"/>
    <col min="17" max="17" width="9.28515625" bestFit="1" customWidth="1"/>
    <col min="18" max="18" width="2.85546875" customWidth="1"/>
  </cols>
  <sheetData>
    <row r="3" spans="1:18" x14ac:dyDescent="0.2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  <c r="N3" s="17"/>
      <c r="O3" s="18"/>
      <c r="P3" s="18"/>
      <c r="Q3" s="18"/>
      <c r="R3" s="19"/>
    </row>
    <row r="4" spans="1:18" x14ac:dyDescent="0.2">
      <c r="A4" s="2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1"/>
      <c r="N4" s="20"/>
      <c r="Q4" s="1"/>
      <c r="R4" s="21"/>
    </row>
    <row r="5" spans="1:18" ht="15" x14ac:dyDescent="0.25">
      <c r="A5" s="117" t="s">
        <v>8</v>
      </c>
      <c r="B5" s="1"/>
      <c r="D5" s="1"/>
      <c r="E5" s="28">
        <f>Datainsamling!$N$26</f>
        <v>3.0000000000000027E-2</v>
      </c>
      <c r="H5" s="59">
        <f>Datainsamling!$N$27</f>
        <v>5.3333333333333233E-2</v>
      </c>
      <c r="I5" s="1"/>
      <c r="K5" s="23">
        <f>Datainsamling!$N$25</f>
        <v>0.79</v>
      </c>
      <c r="L5" s="1"/>
      <c r="M5" s="21"/>
      <c r="N5" s="20"/>
      <c r="O5" s="1"/>
      <c r="P5" s="1"/>
      <c r="Q5" s="1"/>
      <c r="R5" s="21"/>
    </row>
    <row r="6" spans="1:18" x14ac:dyDescent="0.2">
      <c r="A6" s="7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  <c r="N6" s="20"/>
      <c r="O6" s="1"/>
      <c r="P6" s="1"/>
      <c r="Q6" s="1"/>
      <c r="R6" s="21"/>
    </row>
    <row r="7" spans="1:18" ht="20.100000000000001" customHeight="1" x14ac:dyDescent="0.2">
      <c r="A7" s="20"/>
      <c r="B7" s="1"/>
      <c r="C7" s="35" t="s">
        <v>63</v>
      </c>
      <c r="D7" s="1"/>
      <c r="E7" s="1"/>
      <c r="F7" s="1"/>
      <c r="G7" s="1"/>
      <c r="H7" s="11"/>
      <c r="I7" s="3"/>
      <c r="J7" s="47" t="s">
        <v>62</v>
      </c>
      <c r="K7" s="11"/>
      <c r="L7" s="11"/>
      <c r="M7" s="27"/>
      <c r="N7" s="3"/>
      <c r="O7" s="47" t="s">
        <v>58</v>
      </c>
      <c r="P7" s="11"/>
      <c r="Q7" s="18"/>
      <c r="R7" s="27"/>
    </row>
    <row r="8" spans="1:18" ht="15.75" x14ac:dyDescent="0.25">
      <c r="A8" s="89" t="s">
        <v>59</v>
      </c>
      <c r="B8" s="18"/>
      <c r="C8" s="18"/>
      <c r="D8" s="18"/>
      <c r="E8" s="18"/>
      <c r="F8" s="18"/>
      <c r="G8" s="18"/>
      <c r="H8" s="18"/>
      <c r="I8" s="20"/>
      <c r="J8" s="1"/>
      <c r="K8" s="1"/>
      <c r="L8" s="1"/>
      <c r="M8" s="21"/>
      <c r="N8" s="148" t="s">
        <v>35</v>
      </c>
      <c r="O8" s="148"/>
      <c r="P8" s="116" t="s">
        <v>36</v>
      </c>
      <c r="Q8" s="123">
        <v>0.4</v>
      </c>
      <c r="R8" s="21"/>
    </row>
    <row r="9" spans="1:18" ht="16.5" customHeight="1" x14ac:dyDescent="0.2">
      <c r="A9" s="20"/>
      <c r="B9" s="1"/>
      <c r="C9" s="1"/>
      <c r="D9" s="1"/>
      <c r="E9" s="1"/>
      <c r="F9" s="1"/>
      <c r="G9" s="1"/>
      <c r="H9" s="1"/>
      <c r="I9" s="20"/>
      <c r="J9" s="1"/>
      <c r="K9" s="1"/>
      <c r="L9" s="1"/>
      <c r="M9" s="21"/>
      <c r="N9" s="148" t="s">
        <v>34</v>
      </c>
      <c r="O9" s="148"/>
      <c r="Q9" s="65">
        <f>IF(Q8="","",Tol*2)</f>
        <v>0.8</v>
      </c>
      <c r="R9" s="21"/>
    </row>
    <row r="10" spans="1:18" ht="18" customHeight="1" x14ac:dyDescent="0.25">
      <c r="A10" s="20"/>
      <c r="B10" s="2"/>
      <c r="C10" s="1"/>
      <c r="D10" s="1"/>
      <c r="E10" s="1"/>
      <c r="F10" s="1"/>
      <c r="G10" s="1"/>
      <c r="H10" s="1"/>
      <c r="I10" s="68" t="s">
        <v>12</v>
      </c>
      <c r="J10" s="22" t="s">
        <v>9</v>
      </c>
      <c r="K10" s="114" t="s">
        <v>13</v>
      </c>
      <c r="L10" s="1"/>
      <c r="M10" s="21"/>
      <c r="N10" s="62" t="s">
        <v>12</v>
      </c>
      <c r="O10" s="22" t="s">
        <v>9</v>
      </c>
      <c r="P10" s="115" t="s">
        <v>37</v>
      </c>
      <c r="R10" s="21"/>
    </row>
    <row r="11" spans="1:18" ht="18" customHeight="1" x14ac:dyDescent="0.25">
      <c r="A11" s="20"/>
      <c r="B11" s="36" t="s">
        <v>9</v>
      </c>
      <c r="C11" s="23">
        <f>R__</f>
        <v>3.0000000000000027E-2</v>
      </c>
      <c r="D11" s="1"/>
      <c r="E11" s="54">
        <f>H13</f>
        <v>0.59079999999999999</v>
      </c>
      <c r="F11" s="1"/>
      <c r="G11" s="65" t="s">
        <v>10</v>
      </c>
      <c r="H11" s="65" t="s">
        <v>11</v>
      </c>
      <c r="I11" s="20"/>
      <c r="J11" s="22" t="s">
        <v>9</v>
      </c>
      <c r="K11" s="45">
        <f>EV_</f>
        <v>1.7724000000000014E-2</v>
      </c>
      <c r="L11" s="45">
        <f>TV_</f>
        <v>0.25070132347990859</v>
      </c>
      <c r="M11" s="21"/>
      <c r="R11" s="21"/>
    </row>
    <row r="12" spans="1:18" ht="18" customHeight="1" x14ac:dyDescent="0.25">
      <c r="A12" s="20"/>
      <c r="B12" s="36" t="s">
        <v>9</v>
      </c>
      <c r="C12" s="24">
        <f>IF(R__="","",R__*K1_)</f>
        <v>1.7724000000000014E-2</v>
      </c>
      <c r="D12" s="1"/>
      <c r="E12" s="1"/>
      <c r="F12" s="1"/>
      <c r="G12" s="65">
        <v>2</v>
      </c>
      <c r="H12" s="65">
        <v>0.88619999999999999</v>
      </c>
      <c r="I12" s="20"/>
      <c r="J12" s="22" t="s">
        <v>9</v>
      </c>
      <c r="K12" s="46">
        <f>IF(EV_="","",EV_/TV_*100)</f>
        <v>7.0697672249905104</v>
      </c>
      <c r="L12" s="29" t="s">
        <v>20</v>
      </c>
      <c r="M12" s="21"/>
      <c r="O12" s="61" t="s">
        <v>9</v>
      </c>
      <c r="P12" s="63">
        <f>IF(Tol="","",EV_/(Tolvidd/6)*100)</f>
        <v>13.29300000000001</v>
      </c>
      <c r="Q12" s="49" t="s">
        <v>20</v>
      </c>
      <c r="R12" s="21"/>
    </row>
    <row r="13" spans="1:18" x14ac:dyDescent="0.2">
      <c r="A13" s="20"/>
      <c r="B13" s="36"/>
      <c r="C13" s="1"/>
      <c r="D13" s="1"/>
      <c r="E13" s="1"/>
      <c r="F13" s="1"/>
      <c r="G13" s="65">
        <v>3</v>
      </c>
      <c r="H13" s="65">
        <v>0.59079999999999999</v>
      </c>
      <c r="I13" s="7"/>
      <c r="J13" s="25"/>
      <c r="K13" s="25"/>
      <c r="L13" s="25"/>
      <c r="M13" s="30"/>
      <c r="N13" s="7"/>
      <c r="O13" s="25"/>
      <c r="P13" s="25"/>
      <c r="Q13" s="25"/>
      <c r="R13" s="30"/>
    </row>
    <row r="14" spans="1:18" ht="19.5" customHeight="1" x14ac:dyDescent="0.2">
      <c r="A14" s="90" t="s">
        <v>60</v>
      </c>
      <c r="B14" s="18"/>
      <c r="C14" s="18"/>
      <c r="D14" s="18"/>
      <c r="E14" s="18"/>
      <c r="F14" s="18"/>
      <c r="G14" s="1"/>
      <c r="H14" s="1"/>
      <c r="I14" s="17"/>
      <c r="J14" s="18"/>
      <c r="K14" s="18"/>
      <c r="L14" s="18"/>
      <c r="M14" s="19"/>
      <c r="N14" s="20"/>
      <c r="Q14" s="1"/>
      <c r="R14" s="21"/>
    </row>
    <row r="15" spans="1:18" ht="20.100000000000001" customHeight="1" x14ac:dyDescent="0.2">
      <c r="A15" s="20"/>
      <c r="B15" s="1"/>
      <c r="C15" s="1"/>
      <c r="D15" s="1"/>
      <c r="E15" s="1"/>
      <c r="F15" s="1"/>
      <c r="G15" s="1"/>
      <c r="H15" s="21"/>
      <c r="I15" s="1"/>
      <c r="J15" s="1"/>
      <c r="K15" s="1"/>
      <c r="L15" s="1"/>
      <c r="M15" s="21"/>
      <c r="N15" s="20"/>
      <c r="O15" s="1"/>
      <c r="Q15" s="1"/>
      <c r="R15" s="21"/>
    </row>
    <row r="16" spans="1:18" ht="20.100000000000001" customHeight="1" x14ac:dyDescent="0.25">
      <c r="A16" s="20"/>
      <c r="B16" s="1"/>
      <c r="C16" s="1"/>
      <c r="D16" s="1"/>
      <c r="E16" s="1"/>
      <c r="F16" s="1"/>
      <c r="G16" s="1"/>
      <c r="H16" s="1"/>
      <c r="I16" s="68" t="s">
        <v>21</v>
      </c>
      <c r="J16" s="22" t="s">
        <v>9</v>
      </c>
      <c r="K16" s="114" t="s">
        <v>22</v>
      </c>
      <c r="L16" s="1"/>
      <c r="M16" s="21"/>
      <c r="N16" s="62" t="s">
        <v>21</v>
      </c>
      <c r="O16" s="22" t="s">
        <v>9</v>
      </c>
      <c r="P16" s="115" t="s">
        <v>38</v>
      </c>
      <c r="R16" s="21"/>
    </row>
    <row r="17" spans="1:18" ht="20.100000000000001" customHeight="1" x14ac:dyDescent="0.2">
      <c r="A17" s="20"/>
      <c r="B17" s="34"/>
      <c r="C17" s="31">
        <f>Xdiff_</f>
        <v>5.3333333333333233E-2</v>
      </c>
      <c r="D17" s="32"/>
      <c r="E17" s="53">
        <f>H20</f>
        <v>0.52310000000000001</v>
      </c>
      <c r="F17" s="32"/>
      <c r="G17" s="33">
        <f>EV_</f>
        <v>1.7724000000000014E-2</v>
      </c>
      <c r="H17" s="1"/>
      <c r="I17" s="20"/>
      <c r="J17" s="22" t="s">
        <v>9</v>
      </c>
      <c r="K17" s="45">
        <f>AV_</f>
        <v>2.7710363811718076E-2</v>
      </c>
      <c r="L17" s="45">
        <f>TV_</f>
        <v>0.25070132347990859</v>
      </c>
      <c r="M17" s="21"/>
      <c r="N17" s="20"/>
      <c r="R17" s="21"/>
    </row>
    <row r="18" spans="1:18" ht="20.100000000000001" customHeight="1" x14ac:dyDescent="0.25">
      <c r="A18" s="20"/>
      <c r="B18" s="34" t="s">
        <v>23</v>
      </c>
      <c r="C18" s="35">
        <f>IF(Xdiff_="","",IF((Xdiff_*K2_)^2&lt;(EV_^2/(n_*r_)),0,SQRT((Xdiff_*K2_)^2-(EV_^2/(n_*r_)))))</f>
        <v>2.7710363811718076E-2</v>
      </c>
      <c r="D18" s="1"/>
      <c r="E18" s="1"/>
      <c r="F18" s="1"/>
      <c r="G18" s="1"/>
      <c r="H18" s="1"/>
      <c r="I18" s="20"/>
      <c r="J18" s="22" t="s">
        <v>9</v>
      </c>
      <c r="K18" s="46">
        <f>IF(AV_="","",AV_/TV_*100)</f>
        <v>11.053138223236706</v>
      </c>
      <c r="L18" s="29" t="s">
        <v>20</v>
      </c>
      <c r="M18" s="21"/>
      <c r="N18" s="20"/>
      <c r="O18" s="22" t="s">
        <v>9</v>
      </c>
      <c r="P18" s="63">
        <f>IF(Tol="","",AV_/(Tolvidd/6)*100)</f>
        <v>20.782772858788555</v>
      </c>
      <c r="Q18" s="49" t="s">
        <v>20</v>
      </c>
      <c r="R18" s="21"/>
    </row>
    <row r="19" spans="1:18" ht="20.100000000000001" customHeight="1" x14ac:dyDescent="0.2">
      <c r="A19" s="20"/>
      <c r="B19" s="1"/>
      <c r="C19" s="1"/>
      <c r="D19" s="1"/>
      <c r="E19" s="1"/>
      <c r="F19" s="66" t="s">
        <v>14</v>
      </c>
      <c r="G19" s="66">
        <v>2</v>
      </c>
      <c r="H19" s="66">
        <v>3</v>
      </c>
      <c r="I19" s="20"/>
      <c r="J19" s="1"/>
      <c r="K19" s="1"/>
      <c r="L19" s="1"/>
      <c r="M19" s="21"/>
      <c r="N19" s="20"/>
      <c r="O19" s="1"/>
      <c r="P19" s="1"/>
      <c r="Q19" s="1"/>
      <c r="R19" s="21"/>
    </row>
    <row r="20" spans="1:18" ht="16.5" x14ac:dyDescent="0.2">
      <c r="A20" s="44" t="s">
        <v>32</v>
      </c>
      <c r="B20" s="51">
        <v>10</v>
      </c>
      <c r="C20" s="36" t="s">
        <v>33</v>
      </c>
      <c r="D20" s="51">
        <v>3</v>
      </c>
      <c r="E20" s="1"/>
      <c r="F20" s="67" t="s">
        <v>15</v>
      </c>
      <c r="G20" s="66">
        <v>0.70709999999999995</v>
      </c>
      <c r="H20" s="66">
        <v>0.52310000000000001</v>
      </c>
      <c r="I20" s="7"/>
      <c r="J20" s="25"/>
      <c r="K20" s="25"/>
      <c r="L20" s="25"/>
      <c r="M20" s="30"/>
      <c r="N20" s="20"/>
      <c r="O20" s="1"/>
      <c r="P20" s="1"/>
      <c r="Q20" s="1"/>
      <c r="R20" s="21"/>
    </row>
    <row r="21" spans="1:18" ht="20.100000000000001" customHeight="1" x14ac:dyDescent="0.2">
      <c r="A21" s="90" t="s">
        <v>61</v>
      </c>
      <c r="B21" s="18"/>
      <c r="C21" s="18"/>
      <c r="D21" s="18"/>
      <c r="E21" s="18"/>
      <c r="F21" s="1"/>
      <c r="G21" s="1"/>
      <c r="H21" s="21"/>
      <c r="I21" s="17"/>
      <c r="J21" s="18"/>
      <c r="K21" s="18"/>
      <c r="L21" s="18"/>
      <c r="M21" s="18"/>
      <c r="N21" s="17"/>
      <c r="O21" s="18"/>
      <c r="P21" s="18"/>
      <c r="Q21" s="18"/>
      <c r="R21" s="19"/>
    </row>
    <row r="22" spans="1:18" ht="20.25" customHeight="1" x14ac:dyDescent="0.25">
      <c r="A22" s="20"/>
      <c r="B22" s="1"/>
      <c r="C22" s="1"/>
      <c r="D22" s="1"/>
      <c r="E22" s="1"/>
      <c r="F22" s="1"/>
      <c r="G22" s="1"/>
      <c r="H22" s="21"/>
      <c r="I22" s="62" t="s">
        <v>24</v>
      </c>
      <c r="J22" s="22" t="s">
        <v>9</v>
      </c>
      <c r="K22" s="114" t="s">
        <v>25</v>
      </c>
      <c r="L22" s="1"/>
      <c r="M22" s="1"/>
      <c r="N22" s="68" t="s">
        <v>24</v>
      </c>
      <c r="O22" s="22" t="s">
        <v>9</v>
      </c>
      <c r="P22" s="114" t="s">
        <v>39</v>
      </c>
      <c r="Q22" s="1"/>
      <c r="R22" s="21"/>
    </row>
    <row r="23" spans="1:18" ht="20.100000000000001" customHeight="1" x14ac:dyDescent="0.2">
      <c r="A23" s="20"/>
      <c r="B23" s="1"/>
      <c r="C23" s="1"/>
      <c r="D23" s="1"/>
      <c r="E23" s="1"/>
      <c r="F23" s="1"/>
      <c r="G23" s="1"/>
      <c r="H23" s="21"/>
      <c r="I23" s="20"/>
      <c r="J23" s="22" t="s">
        <v>9</v>
      </c>
      <c r="K23" s="52">
        <f>GRR_</f>
        <v>3.2893835875096346E-2</v>
      </c>
      <c r="L23" s="45">
        <f>TV_</f>
        <v>0.25070132347990859</v>
      </c>
      <c r="M23" s="1"/>
      <c r="N23" s="20"/>
      <c r="O23" s="22"/>
      <c r="P23" s="1"/>
      <c r="Q23" s="45"/>
      <c r="R23" s="21"/>
    </row>
    <row r="24" spans="1:18" ht="20.100000000000001" customHeight="1" x14ac:dyDescent="0.2">
      <c r="A24" s="20"/>
      <c r="B24" s="1"/>
      <c r="C24" s="37">
        <f>C12</f>
        <v>1.7724000000000014E-2</v>
      </c>
      <c r="D24" s="1"/>
      <c r="E24" s="70">
        <f>C18</f>
        <v>2.7710363811718076E-2</v>
      </c>
      <c r="F24" s="1"/>
      <c r="G24" s="1"/>
      <c r="H24" s="21"/>
      <c r="I24" s="20"/>
      <c r="J24" s="50" t="s">
        <v>9</v>
      </c>
      <c r="K24" s="91">
        <f>IF(GRR_="","",GRR_/TV_*100)</f>
        <v>13.120726854771664</v>
      </c>
      <c r="L24" s="49" t="s">
        <v>20</v>
      </c>
      <c r="M24" s="1"/>
      <c r="N24" s="20"/>
      <c r="O24" s="50" t="s">
        <v>9</v>
      </c>
      <c r="P24" s="60">
        <f>IF(Tol="","",GRR_/(Tolvidd/6)*100)</f>
        <v>24.670376906322257</v>
      </c>
      <c r="Q24" s="49" t="s">
        <v>20</v>
      </c>
      <c r="R24" s="21"/>
    </row>
    <row r="25" spans="1:18" ht="20.100000000000001" customHeight="1" x14ac:dyDescent="0.25">
      <c r="A25" s="20"/>
      <c r="B25" s="36" t="s">
        <v>23</v>
      </c>
      <c r="C25" s="28">
        <f>IF(EV_="","",SQRT(C12^2+C18^2))</f>
        <v>3.2893835875096346E-2</v>
      </c>
      <c r="D25" s="1"/>
      <c r="E25" s="1"/>
      <c r="F25" s="1"/>
      <c r="G25" s="1"/>
      <c r="H25" s="21"/>
      <c r="I25" s="20"/>
      <c r="J25" s="1"/>
      <c r="K25" s="1"/>
      <c r="L25" s="1"/>
      <c r="M25" s="1"/>
      <c r="N25" s="20"/>
      <c r="O25" s="1"/>
      <c r="P25" s="1"/>
      <c r="Q25" s="1"/>
      <c r="R25" s="21"/>
    </row>
    <row r="26" spans="1:18" ht="20.100000000000001" customHeight="1" x14ac:dyDescent="0.2">
      <c r="A26" s="20"/>
      <c r="B26" s="1"/>
      <c r="C26" s="1"/>
      <c r="D26" s="1"/>
      <c r="E26" s="1"/>
      <c r="F26" s="1"/>
      <c r="G26" s="1"/>
      <c r="H26" s="21"/>
      <c r="I26" s="7"/>
      <c r="J26" s="25"/>
      <c r="K26" s="25"/>
      <c r="L26" s="25"/>
      <c r="M26" s="25"/>
      <c r="N26" s="7"/>
      <c r="O26" s="25"/>
      <c r="P26" s="25"/>
      <c r="Q26" s="25"/>
      <c r="R26" s="30"/>
    </row>
    <row r="27" spans="1:18" ht="20.100000000000001" customHeight="1" x14ac:dyDescent="0.25">
      <c r="A27" s="90" t="s">
        <v>64</v>
      </c>
      <c r="B27" s="18"/>
      <c r="C27" s="18"/>
      <c r="D27" s="18"/>
      <c r="E27" s="18"/>
      <c r="F27" s="18"/>
      <c r="G27" s="65" t="s">
        <v>17</v>
      </c>
      <c r="H27" s="65" t="s">
        <v>18</v>
      </c>
      <c r="I27" s="17"/>
      <c r="J27" s="18"/>
      <c r="K27" s="18"/>
      <c r="L27" s="18"/>
      <c r="M27" s="19"/>
      <c r="N27" s="20"/>
      <c r="O27" s="1"/>
      <c r="P27" s="1"/>
      <c r="Q27" s="1"/>
      <c r="R27" s="21"/>
    </row>
    <row r="28" spans="1:18" ht="20.100000000000001" customHeight="1" x14ac:dyDescent="0.25">
      <c r="A28" s="20"/>
      <c r="B28" s="1"/>
      <c r="C28" s="1"/>
      <c r="D28" s="1"/>
      <c r="E28" s="1"/>
      <c r="F28" s="1"/>
      <c r="G28" s="65">
        <v>2</v>
      </c>
      <c r="H28" s="65">
        <v>0.70709999999999995</v>
      </c>
      <c r="I28" s="68" t="s">
        <v>27</v>
      </c>
      <c r="J28" s="50" t="s">
        <v>9</v>
      </c>
      <c r="K28" s="114" t="s">
        <v>26</v>
      </c>
      <c r="L28" s="1"/>
      <c r="M28" s="21"/>
      <c r="N28" s="62" t="s">
        <v>27</v>
      </c>
      <c r="O28" s="22" t="s">
        <v>9</v>
      </c>
      <c r="P28" s="115" t="s">
        <v>40</v>
      </c>
      <c r="R28" s="21"/>
    </row>
    <row r="29" spans="1:18" ht="20.100000000000001" customHeight="1" x14ac:dyDescent="0.2">
      <c r="A29" s="20"/>
      <c r="B29" s="1"/>
      <c r="C29" s="1"/>
      <c r="D29" s="1"/>
      <c r="E29" s="1"/>
      <c r="F29" s="1"/>
      <c r="G29" s="65">
        <v>3</v>
      </c>
      <c r="H29" s="65">
        <v>0.52310000000000001</v>
      </c>
      <c r="I29" s="20"/>
      <c r="J29" s="50" t="s">
        <v>9</v>
      </c>
      <c r="K29" s="45">
        <f>PV_</f>
        <v>0.248534</v>
      </c>
      <c r="L29" s="45">
        <f>TV_</f>
        <v>0.25070132347990859</v>
      </c>
      <c r="M29" s="21"/>
      <c r="N29" s="20"/>
      <c r="O29" s="1"/>
      <c r="P29" s="1"/>
      <c r="Q29" s="1"/>
      <c r="R29" s="21"/>
    </row>
    <row r="30" spans="1:18" ht="20.100000000000001" customHeight="1" x14ac:dyDescent="0.2">
      <c r="A30" s="20"/>
      <c r="B30" s="34" t="s">
        <v>16</v>
      </c>
      <c r="C30" s="57">
        <f>Datainsamling!N25</f>
        <v>0.79</v>
      </c>
      <c r="D30" s="2" t="s">
        <v>51</v>
      </c>
      <c r="E30" s="55">
        <f>H36</f>
        <v>0.31459999999999999</v>
      </c>
      <c r="F30" s="1"/>
      <c r="G30" s="65">
        <v>4</v>
      </c>
      <c r="H30" s="65">
        <v>0.44669999999999999</v>
      </c>
      <c r="I30" s="20"/>
      <c r="J30" s="50" t="s">
        <v>9</v>
      </c>
      <c r="K30" s="48">
        <f>IF(PV_="","",PV_/TV_*100)</f>
        <v>99.135495796422362</v>
      </c>
      <c r="L30" s="49" t="s">
        <v>20</v>
      </c>
      <c r="M30" s="21"/>
      <c r="N30" s="20"/>
      <c r="O30" s="50" t="s">
        <v>9</v>
      </c>
      <c r="P30" s="60">
        <f>IF(Tol="","",PV_/(Tolvidd/6)*100)</f>
        <v>186.40050000000002</v>
      </c>
      <c r="Q30" s="49" t="s">
        <v>20</v>
      </c>
      <c r="R30" s="21"/>
    </row>
    <row r="31" spans="1:18" ht="20.100000000000001" customHeight="1" x14ac:dyDescent="0.2">
      <c r="A31" s="20"/>
      <c r="B31" s="34" t="s">
        <v>16</v>
      </c>
      <c r="C31" s="58">
        <f>IF(K5="","",C30*E30)</f>
        <v>0.248534</v>
      </c>
      <c r="D31" s="1"/>
      <c r="E31" s="1"/>
      <c r="F31" s="1"/>
      <c r="G31" s="65">
        <v>5</v>
      </c>
      <c r="H31" s="122">
        <v>0.40300000000000002</v>
      </c>
      <c r="I31" s="20"/>
      <c r="J31" s="1"/>
      <c r="K31" s="1"/>
      <c r="L31" s="1"/>
      <c r="M31" s="21"/>
      <c r="N31" s="20"/>
      <c r="O31" s="1"/>
      <c r="P31" s="1"/>
      <c r="Q31" s="1"/>
      <c r="R31" s="21"/>
    </row>
    <row r="32" spans="1:18" ht="20.100000000000001" customHeight="1" x14ac:dyDescent="0.2">
      <c r="A32" s="20"/>
      <c r="B32" s="1"/>
      <c r="C32" s="1"/>
      <c r="D32" s="1"/>
      <c r="E32" s="1"/>
      <c r="F32" s="1"/>
      <c r="G32" s="65">
        <v>6</v>
      </c>
      <c r="H32" s="65">
        <v>0.37419999999999998</v>
      </c>
      <c r="I32" s="7"/>
      <c r="J32" s="25"/>
      <c r="K32" s="25"/>
      <c r="L32" s="25"/>
      <c r="M32" s="30"/>
      <c r="N32" s="7"/>
      <c r="O32" s="25"/>
      <c r="P32" s="25"/>
      <c r="Q32" s="25"/>
      <c r="R32" s="30"/>
    </row>
    <row r="33" spans="1:16" ht="20.100000000000001" customHeight="1" x14ac:dyDescent="0.2">
      <c r="A33" s="90" t="s">
        <v>65</v>
      </c>
      <c r="B33" s="18"/>
      <c r="C33" s="18"/>
      <c r="D33" s="18"/>
      <c r="E33" s="18"/>
      <c r="F33" s="18"/>
      <c r="G33" s="65">
        <v>7</v>
      </c>
      <c r="H33" s="65">
        <v>0.35339999999999999</v>
      </c>
      <c r="I33" s="17"/>
      <c r="J33" s="18"/>
      <c r="K33" s="18"/>
      <c r="L33" s="18"/>
      <c r="M33" s="19"/>
    </row>
    <row r="34" spans="1:16" ht="20.100000000000001" customHeight="1" x14ac:dyDescent="0.2">
      <c r="A34" s="20"/>
      <c r="B34" s="1"/>
      <c r="C34" s="1"/>
      <c r="D34" s="1"/>
      <c r="E34" s="1"/>
      <c r="F34" s="1"/>
      <c r="G34" s="65">
        <v>8</v>
      </c>
      <c r="H34" s="65">
        <v>0.33750000000000002</v>
      </c>
      <c r="I34" s="113" t="s">
        <v>28</v>
      </c>
      <c r="J34" s="50" t="s">
        <v>9</v>
      </c>
      <c r="K34" s="114" t="s">
        <v>87</v>
      </c>
      <c r="L34" s="1"/>
      <c r="M34" s="21"/>
    </row>
    <row r="35" spans="1:16" ht="20.100000000000001" customHeight="1" x14ac:dyDescent="0.2">
      <c r="A35" s="20"/>
      <c r="B35" s="1"/>
      <c r="C35" s="1"/>
      <c r="D35" s="1"/>
      <c r="E35" s="1"/>
      <c r="F35" s="1"/>
      <c r="G35" s="65">
        <v>9</v>
      </c>
      <c r="H35" s="65">
        <v>0.32490000000000002</v>
      </c>
      <c r="I35" s="20"/>
      <c r="J35" s="50" t="s">
        <v>9</v>
      </c>
      <c r="K35" s="45">
        <f>PV_</f>
        <v>0.248534</v>
      </c>
      <c r="L35" s="52">
        <f>GRR_</f>
        <v>3.2893835875096346E-2</v>
      </c>
      <c r="M35" s="21"/>
    </row>
    <row r="36" spans="1:16" ht="20.100000000000001" customHeight="1" x14ac:dyDescent="0.25">
      <c r="A36" s="20"/>
      <c r="B36" s="38"/>
      <c r="C36" s="43">
        <f>GRR_</f>
        <v>3.2893835875096346E-2</v>
      </c>
      <c r="D36" s="42"/>
      <c r="E36" s="69">
        <f>PV_</f>
        <v>0.248534</v>
      </c>
      <c r="F36" s="38"/>
      <c r="G36" s="65">
        <v>10</v>
      </c>
      <c r="H36" s="65">
        <v>0.31459999999999999</v>
      </c>
      <c r="I36" s="20"/>
      <c r="J36" s="50" t="s">
        <v>9</v>
      </c>
      <c r="K36" s="46">
        <f>IF(PV_="","",PV_/GRR_*1.41)</f>
        <v>10.653453167658986</v>
      </c>
      <c r="L36" s="1"/>
      <c r="M36" s="21"/>
    </row>
    <row r="37" spans="1:16" ht="20.100000000000001" customHeight="1" x14ac:dyDescent="0.25">
      <c r="A37" s="7"/>
      <c r="B37" s="39" t="s">
        <v>19</v>
      </c>
      <c r="C37" s="41">
        <f>IF(GRR_="","",SQRT(C25^2+C31^2))</f>
        <v>0.25070132347990859</v>
      </c>
      <c r="D37" s="40"/>
      <c r="E37" s="40"/>
      <c r="F37" s="40"/>
      <c r="G37" s="25"/>
      <c r="H37" s="25"/>
      <c r="I37" s="7"/>
      <c r="J37" s="25"/>
      <c r="K37" s="25"/>
      <c r="L37" s="25"/>
      <c r="M37" s="30"/>
    </row>
    <row r="38" spans="1:16" ht="20.100000000000001" customHeight="1" x14ac:dyDescent="0.2"/>
    <row r="39" spans="1:16" ht="20.100000000000001" customHeight="1" x14ac:dyDescent="0.2">
      <c r="A39" s="149" t="s">
        <v>80</v>
      </c>
      <c r="B39" s="149"/>
      <c r="C39" s="149"/>
      <c r="D39" s="149"/>
      <c r="E39" s="149"/>
      <c r="F39" s="149"/>
      <c r="G39" s="149"/>
      <c r="H39" s="149"/>
      <c r="I39" s="149"/>
      <c r="J39" s="110"/>
      <c r="K39" s="110"/>
      <c r="L39" s="106"/>
      <c r="M39" s="106"/>
      <c r="N39" s="99"/>
      <c r="O39" s="99"/>
      <c r="P39" s="99"/>
    </row>
    <row r="40" spans="1:16" ht="20.100000000000001" customHeight="1" x14ac:dyDescent="0.2">
      <c r="A40" s="107" t="s">
        <v>77</v>
      </c>
      <c r="B40" s="100"/>
      <c r="C40" s="101"/>
      <c r="D40" s="100" t="s">
        <v>88</v>
      </c>
      <c r="E40" s="101"/>
      <c r="F40" s="101"/>
      <c r="G40" s="99"/>
      <c r="H40" s="99"/>
      <c r="I40" s="99"/>
      <c r="J40" s="111"/>
      <c r="K40" s="111"/>
      <c r="L40" s="99" t="s">
        <v>78</v>
      </c>
      <c r="M40" s="99"/>
      <c r="N40" s="99"/>
      <c r="O40" s="99"/>
      <c r="P40" s="99"/>
    </row>
    <row r="41" spans="1:16" ht="20.100000000000001" customHeight="1" x14ac:dyDescent="0.2">
      <c r="A41" s="107" t="s">
        <v>81</v>
      </c>
      <c r="B41" s="102"/>
      <c r="C41" s="103"/>
      <c r="D41" s="104" t="s">
        <v>82</v>
      </c>
      <c r="E41" s="101"/>
      <c r="F41" s="101"/>
      <c r="G41" s="99"/>
      <c r="H41" s="99"/>
      <c r="I41" s="99"/>
      <c r="J41" s="111"/>
      <c r="K41" s="111"/>
      <c r="L41" s="99"/>
      <c r="M41" s="99"/>
      <c r="N41" s="99"/>
      <c r="O41" s="99"/>
      <c r="P41" s="99"/>
    </row>
    <row r="42" spans="1:16" ht="20.100000000000001" customHeight="1" x14ac:dyDescent="0.2">
      <c r="A42" s="100" t="s">
        <v>83</v>
      </c>
      <c r="B42" s="102"/>
      <c r="C42" s="101"/>
      <c r="D42" s="104" t="s">
        <v>84</v>
      </c>
      <c r="E42" s="101"/>
      <c r="F42" s="101"/>
      <c r="G42" s="99"/>
      <c r="H42" s="99"/>
      <c r="I42" s="105"/>
      <c r="J42" s="111"/>
      <c r="K42" s="111"/>
      <c r="L42" s="99"/>
      <c r="M42" s="99"/>
      <c r="N42" s="99"/>
      <c r="O42" s="99"/>
      <c r="P42" s="99"/>
    </row>
    <row r="43" spans="1:16" ht="20.100000000000001" customHeight="1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2"/>
      <c r="K43" s="112"/>
    </row>
    <row r="44" spans="1:16" ht="20.100000000000001" customHeight="1" x14ac:dyDescent="0.2">
      <c r="A44" s="149" t="s">
        <v>79</v>
      </c>
      <c r="B44" s="149"/>
      <c r="C44" s="99"/>
      <c r="D44" s="99"/>
      <c r="E44" s="99"/>
      <c r="F44" s="99"/>
      <c r="G44" s="99"/>
      <c r="H44" s="99"/>
      <c r="I44" s="118"/>
      <c r="J44" s="112"/>
      <c r="K44" s="112"/>
    </row>
    <row r="45" spans="1:16" ht="20.100000000000001" customHeight="1" x14ac:dyDescent="0.2">
      <c r="A45" s="108"/>
      <c r="B45" s="108"/>
      <c r="C45" s="99"/>
      <c r="D45" s="99"/>
      <c r="E45" s="99"/>
      <c r="F45" s="99"/>
      <c r="G45" s="99"/>
      <c r="H45" s="99"/>
      <c r="I45" s="118"/>
      <c r="J45" s="112"/>
      <c r="K45" s="112"/>
    </row>
    <row r="46" spans="1:16" ht="13.5" x14ac:dyDescent="0.2">
      <c r="A46" s="100" t="s">
        <v>85</v>
      </c>
      <c r="B46" s="100"/>
      <c r="C46" s="100"/>
      <c r="D46" s="100"/>
      <c r="E46" s="119"/>
      <c r="F46" s="120">
        <f>(C25/C37)</f>
        <v>0.13120726854771664</v>
      </c>
      <c r="G46" s="121" t="s">
        <v>86</v>
      </c>
      <c r="H46" s="109" t="str">
        <f>IF(K24=0,"",IF(K24&lt;10,TEXT(D40,""),IF(K24&gt;=30,TEXT(D42,""),TEXT(D41,""))))</f>
        <v>계측기의 수리비용, 측정오차의심각성등을  고려하여 조치여부를 결정함.(계측기교환 / 측정자 교육)</v>
      </c>
      <c r="I46" s="118"/>
      <c r="J46" s="112"/>
      <c r="K46" s="112"/>
    </row>
    <row r="47" spans="1:16" x14ac:dyDescent="0.2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</row>
  </sheetData>
  <mergeCells count="4">
    <mergeCell ref="N8:O8"/>
    <mergeCell ref="N9:O9"/>
    <mergeCell ref="A39:I39"/>
    <mergeCell ref="A44:B44"/>
  </mergeCells>
  <phoneticPr fontId="0" type="noConversion"/>
  <pageMargins left="0.39370078740157483" right="0.19685039370078741" top="0.78740157480314965" bottom="0.39370078740157483" header="0.11811023622047245" footer="0.11811023622047245"/>
  <pageSetup paperSize="9"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7" r:id="rId4">
          <objectPr defaultSize="0" autoPict="0" r:id="rId5">
            <anchor moveWithCells="1">
              <from>
                <xdr:col>3</xdr:col>
                <xdr:colOff>114300</xdr:colOff>
                <xdr:row>10</xdr:row>
                <xdr:rowOff>76200</xdr:rowOff>
              </from>
              <to>
                <xdr:col>3</xdr:col>
                <xdr:colOff>276225</xdr:colOff>
                <xdr:row>10</xdr:row>
                <xdr:rowOff>219075</xdr:rowOff>
              </to>
            </anchor>
          </objectPr>
        </oleObject>
      </mc:Choice>
      <mc:Fallback>
        <oleObject progId="Equation.3" shapeId="3077" r:id="rId4"/>
      </mc:Fallback>
    </mc:AlternateContent>
    <mc:AlternateContent xmlns:mc="http://schemas.openxmlformats.org/markup-compatibility/2006">
      <mc:Choice Requires="x14">
        <oleObject progId="Equation.3" shapeId="3080" r:id="rId6">
          <objectPr defaultSize="0" autoPict="0" r:id="rId7">
            <anchor moveWithCells="1">
              <from>
                <xdr:col>3</xdr:col>
                <xdr:colOff>66675</xdr:colOff>
                <xdr:row>16</xdr:row>
                <xdr:rowOff>85725</xdr:rowOff>
              </from>
              <to>
                <xdr:col>3</xdr:col>
                <xdr:colOff>228600</xdr:colOff>
                <xdr:row>16</xdr:row>
                <xdr:rowOff>228600</xdr:rowOff>
              </to>
            </anchor>
          </objectPr>
        </oleObject>
      </mc:Choice>
      <mc:Fallback>
        <oleObject progId="Equation.3" shapeId="3080" r:id="rId6"/>
      </mc:Fallback>
    </mc:AlternateContent>
    <mc:AlternateContent xmlns:mc="http://schemas.openxmlformats.org/markup-compatibility/2006">
      <mc:Choice Requires="x14">
        <oleObject progId="Equation.3" shapeId="3153" r:id="rId8">
          <objectPr defaultSize="0" autoPict="0" r:id="rId9">
            <anchor moveWithCells="1">
              <from>
                <xdr:col>1</xdr:col>
                <xdr:colOff>466725</xdr:colOff>
                <xdr:row>23</xdr:row>
                <xdr:rowOff>0</xdr:rowOff>
              </from>
              <to>
                <xdr:col>5</xdr:col>
                <xdr:colOff>66675</xdr:colOff>
                <xdr:row>24</xdr:row>
                <xdr:rowOff>47625</xdr:rowOff>
              </to>
            </anchor>
          </objectPr>
        </oleObject>
      </mc:Choice>
      <mc:Fallback>
        <oleObject progId="Equation.3" shapeId="3153" r:id="rId8"/>
      </mc:Fallback>
    </mc:AlternateContent>
    <mc:AlternateContent xmlns:mc="http://schemas.openxmlformats.org/markup-compatibility/2006">
      <mc:Choice Requires="x14">
        <oleObject progId="Equation.3" shapeId="3272" r:id="rId10">
          <objectPr defaultSize="0" autoPict="0" r:id="rId9">
            <anchor moveWithCells="1">
              <from>
                <xdr:col>1</xdr:col>
                <xdr:colOff>371475</xdr:colOff>
                <xdr:row>35</xdr:row>
                <xdr:rowOff>0</xdr:rowOff>
              </from>
              <to>
                <xdr:col>4</xdr:col>
                <xdr:colOff>676275</xdr:colOff>
                <xdr:row>36</xdr:row>
                <xdr:rowOff>47625</xdr:rowOff>
              </to>
            </anchor>
          </objectPr>
        </oleObject>
      </mc:Choice>
      <mc:Fallback>
        <oleObject progId="Equation.3" shapeId="3272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15</vt:i4>
      </vt:variant>
    </vt:vector>
  </HeadingPairs>
  <TitlesOfParts>
    <vt:vector size="17" baseType="lpstr">
      <vt:lpstr>Datainsamling</vt:lpstr>
      <vt:lpstr>Rapport</vt:lpstr>
      <vt:lpstr>AV_</vt:lpstr>
      <vt:lpstr>EV_</vt:lpstr>
      <vt:lpstr>GRR_</vt:lpstr>
      <vt:lpstr>K1_</vt:lpstr>
      <vt:lpstr>K2_</vt:lpstr>
      <vt:lpstr>K3_</vt:lpstr>
      <vt:lpstr>n_</vt:lpstr>
      <vt:lpstr>Datainsamling!Print_Area</vt:lpstr>
      <vt:lpstr>PV_</vt:lpstr>
      <vt:lpstr>r_</vt:lpstr>
      <vt:lpstr>R__</vt:lpstr>
      <vt:lpstr>Tol</vt:lpstr>
      <vt:lpstr>Tolvidd</vt:lpstr>
      <vt:lpstr>TV_</vt:lpstr>
      <vt:lpstr>Xdiff_</vt:lpstr>
    </vt:vector>
  </TitlesOfParts>
  <Company>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Lau</dc:creator>
  <cp:lastModifiedBy>MIC10</cp:lastModifiedBy>
  <cp:lastPrinted>2015-11-30T08:16:15Z</cp:lastPrinted>
  <dcterms:created xsi:type="dcterms:W3CDTF">2003-06-02T11:18:39Z</dcterms:created>
  <dcterms:modified xsi:type="dcterms:W3CDTF">2019-11-11T09:37:29Z</dcterms:modified>
</cp:coreProperties>
</file>