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Dangless vs Oscar_ pe" sheetId="2" r:id="rId5"/>
  </sheets>
</workbook>
</file>

<file path=xl/sharedStrings.xml><?xml version="1.0" encoding="utf-8"?>
<sst xmlns="http://schemas.openxmlformats.org/spreadsheetml/2006/main" uniqueCount="55">
  <si>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</si>
  <si>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</si>
  <si>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</si>
  <si>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</si>
  <si>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</si>
  <si>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Dangless vs Oscar: performance overhead difference analysis</t>
  </si>
  <si>
    <t>Sheet 1 - Dangless vs Oscar_ pe</t>
  </si>
  <si>
    <t>Benchmark</t>
  </si>
  <si>
    <t>Baseline run time (seconds)</t>
  </si>
  <si>
    <t>VMCalls</t>
  </si>
  <si>
    <t>VMCalls / second</t>
  </si>
  <si>
    <t>VMCall arg fixups</t>
  </si>
  <si>
    <t>VMCall arg fixups / second</t>
  </si>
  <si>
    <t>Allocations</t>
  </si>
  <si>
    <t>Allocations / second</t>
  </si>
  <si>
    <t>Allocated pages</t>
  </si>
  <si>
    <t>Allocated pages / second</t>
  </si>
  <si>
    <t>Average pages per allocation</t>
  </si>
  <si>
    <t>TLB read accesses</t>
  </si>
  <si>
    <t>TLB read misses</t>
  </si>
  <si>
    <t>TLB read miss / second</t>
  </si>
  <si>
    <t>TLB read miss rate</t>
  </si>
  <si>
    <t>TLB write accesses</t>
  </si>
  <si>
    <t>TLB write misses</t>
  </si>
  <si>
    <t>TLB  write miss / second</t>
  </si>
  <si>
    <t>TLB write miss rate</t>
  </si>
  <si>
    <t>Baseline  TLB accesses</t>
  </si>
  <si>
    <t>Baseline TLB misses</t>
  </si>
  <si>
    <t>Baseline TLB misses / second</t>
  </si>
  <si>
    <t>Baseline TLB miss rate</t>
  </si>
  <si>
    <t>Dangless   TLB  accesses</t>
  </si>
  <si>
    <t>Dangless  TLB  misses</t>
  </si>
  <si>
    <t>Dangless TLB misses / second</t>
  </si>
  <si>
    <t>Dangless TLB miss rate</t>
  </si>
  <si>
    <t>Dangless TLB miss rate increase</t>
  </si>
  <si>
    <t>Dangless extra TLB misses / second</t>
  </si>
  <si>
    <t>Dangless  overhead</t>
  </si>
  <si>
    <t>Oscar overhead</t>
  </si>
  <si>
    <t>401.bzip2</t>
  </si>
  <si>
    <t>403.gcc</t>
  </si>
  <si>
    <t>429.mcf</t>
  </si>
  <si>
    <t>433.milc</t>
  </si>
  <si>
    <t>444.namd</t>
  </si>
  <si>
    <t>445.gobmk</t>
  </si>
  <si>
    <t>447.dealII</t>
  </si>
  <si>
    <t>450.soplex</t>
  </si>
  <si>
    <t>453.povray</t>
  </si>
  <si>
    <t>456.hmmer</t>
  </si>
  <si>
    <t>458.sjeng</t>
  </si>
  <si>
    <t>462.libquantum</t>
  </si>
  <si>
    <t>464.h264ref</t>
  </si>
  <si>
    <t>470.lbm</t>
  </si>
  <si>
    <t>473.astar</t>
  </si>
  <si>
    <t>482.sphinx3</t>
  </si>
  <si>
    <t>483.xalancbmk</t>
  </si>
</sst>
</file>

<file path=xl/styles.xml><?xml version="1.0" encoding="utf-8"?>
<styleSheet xmlns="http://schemas.openxmlformats.org/spreadsheetml/2006/main">
  <numFmts count="4">
    <numFmt numFmtId="0" formatCode="General"/>
    <numFmt numFmtId="59" formatCode="0.000"/>
    <numFmt numFmtId="60" formatCode="#,##0.0000%"/>
    <numFmt numFmtId="61" formatCode="0.0000%"/>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3"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60" fontId="0" borderId="4" applyNumberFormat="1" applyFont="1" applyFill="0" applyBorder="1" applyAlignment="1" applyProtection="0">
      <alignment vertical="top" wrapText="1"/>
    </xf>
    <xf numFmtId="61" fontId="0" borderId="4" applyNumberFormat="1" applyFont="1" applyFill="0" applyBorder="1" applyAlignment="1" applyProtection="0">
      <alignment vertical="top" wrapText="1"/>
    </xf>
    <xf numFmtId="10" fontId="4" borderId="4" applyNumberFormat="1" applyFont="1" applyFill="0" applyBorder="1" applyAlignment="1" applyProtection="0">
      <alignment vertical="top" wrapText="1"/>
    </xf>
    <xf numFmtId="3" fontId="4" borderId="4" applyNumberFormat="1" applyFont="1" applyFill="0" applyBorder="1" applyAlignment="1" applyProtection="0">
      <alignment vertical="top" wrapText="1"/>
    </xf>
    <xf numFmtId="10"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3"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10" fontId="4" borderId="7" applyNumberFormat="1" applyFont="1" applyFill="0" applyBorder="1" applyAlignment="1" applyProtection="0">
      <alignment vertical="top" wrapText="1"/>
    </xf>
    <xf numFmtId="3" fontId="4" borderId="7" applyNumberFormat="1" applyFont="1" applyFill="0" applyBorder="1" applyAlignment="1" applyProtection="0">
      <alignment vertical="top" wrapText="1"/>
    </xf>
    <xf numFmtId="10" fontId="0"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sheetData>
  <mergeCells count="1">
    <mergeCell ref="B3:D3"/>
  </mergeCells>
  <hyperlinks>
    <hyperlink ref="D10" location="'Sheet 1 - Dangless vs Oscar_ pe'!R2C1" tooltip="" display="Sheet 1 - Dangless vs Oscar_ pe"/>
  </hyperlinks>
</worksheet>
</file>

<file path=xl/worksheets/sheet2.xml><?xml version="1.0" encoding="utf-8"?>
<worksheet xmlns:r="http://schemas.openxmlformats.org/officeDocument/2006/relationships" xmlns="http://schemas.openxmlformats.org/spreadsheetml/2006/main">
  <sheetPr>
    <pageSetUpPr fitToPage="1"/>
  </sheetPr>
  <dimension ref="A2:AE1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3.7656" style="6" customWidth="1"/>
    <col min="2" max="2" width="10.5625" style="6" customWidth="1"/>
    <col min="3" max="3" hidden="1" width="16.3333" style="6" customWidth="1"/>
    <col min="4" max="4" width="8.78906" style="6" customWidth="1"/>
    <col min="5" max="5" hidden="1" width="16.3333" style="6" customWidth="1"/>
    <col min="6" max="6" width="10.2812" style="6" customWidth="1"/>
    <col min="7" max="7" hidden="1" width="16.3333" style="6" customWidth="1"/>
    <col min="8" max="8" width="10.5391" style="6" customWidth="1"/>
    <col min="9" max="9" hidden="1" width="16.3333" style="6" customWidth="1"/>
    <col min="10" max="11" width="9.84375" style="6" customWidth="1"/>
    <col min="12" max="21" hidden="1" width="16.3333" style="6" customWidth="1"/>
    <col min="22" max="22" width="11.9609" style="6" customWidth="1"/>
    <col min="23" max="23" width="9.50781" style="6" customWidth="1"/>
    <col min="24" max="25" hidden="1" width="16.3333" style="6" customWidth="1"/>
    <col min="26" max="26" width="12.2266" style="6" customWidth="1"/>
    <col min="27" max="27" width="9.50781" style="6" customWidth="1"/>
    <col min="28" max="30" width="9.90625" style="6" customWidth="1"/>
    <col min="31" max="31" width="10.0391" style="6" customWidth="1"/>
    <col min="32" max="256" width="16.3516" style="6" customWidth="1"/>
  </cols>
  <sheetData>
    <row r="1" ht="27.65" customHeight="1">
      <c r="A1" t="s" s="7">
        <v>5</v>
      </c>
      <c r="B1" s="7"/>
      <c r="C1" s="7"/>
      <c r="D1" s="7"/>
      <c r="E1" s="7"/>
      <c r="F1" s="7"/>
      <c r="G1" s="7"/>
      <c r="H1" s="7"/>
      <c r="I1" s="7"/>
      <c r="J1" s="7"/>
      <c r="K1" s="7"/>
      <c r="L1" s="7"/>
      <c r="M1" s="7"/>
      <c r="N1" s="7"/>
      <c r="O1" s="7"/>
      <c r="P1" s="7"/>
      <c r="Q1" s="7"/>
      <c r="R1" s="7"/>
      <c r="S1" s="7"/>
      <c r="T1" s="7"/>
      <c r="U1" s="7"/>
      <c r="V1" s="7"/>
      <c r="W1" s="7"/>
      <c r="X1" s="7"/>
      <c r="Y1" s="7"/>
      <c r="Z1" s="7"/>
      <c r="AA1" s="7"/>
      <c r="AB1" s="7"/>
      <c r="AC1" s="7"/>
      <c r="AD1" s="7"/>
      <c r="AE1" s="7"/>
    </row>
    <row r="2" ht="56.25" customHeight="1">
      <c r="A2" t="s" s="8">
        <v>7</v>
      </c>
      <c r="B2" t="s" s="8">
        <v>8</v>
      </c>
      <c r="C2" t="s" s="8">
        <v>9</v>
      </c>
      <c r="D2" t="s" s="8">
        <v>10</v>
      </c>
      <c r="E2" t="s" s="8">
        <v>11</v>
      </c>
      <c r="F2" t="s" s="8">
        <v>12</v>
      </c>
      <c r="G2" t="s" s="8">
        <v>13</v>
      </c>
      <c r="H2" t="s" s="8">
        <v>14</v>
      </c>
      <c r="I2" t="s" s="8">
        <v>15</v>
      </c>
      <c r="J2" t="s" s="8">
        <v>16</v>
      </c>
      <c r="K2" t="s" s="8">
        <v>17</v>
      </c>
      <c r="L2" t="s" s="8">
        <v>18</v>
      </c>
      <c r="M2" t="s" s="8">
        <v>19</v>
      </c>
      <c r="N2" t="s" s="8">
        <v>20</v>
      </c>
      <c r="O2" t="s" s="8">
        <v>21</v>
      </c>
      <c r="P2" t="s" s="8">
        <v>22</v>
      </c>
      <c r="Q2" t="s" s="8">
        <v>23</v>
      </c>
      <c r="R2" t="s" s="8">
        <v>24</v>
      </c>
      <c r="S2" t="s" s="8">
        <v>25</v>
      </c>
      <c r="T2" t="s" s="8">
        <v>26</v>
      </c>
      <c r="U2" t="s" s="8">
        <v>27</v>
      </c>
      <c r="V2" t="s" s="8">
        <v>28</v>
      </c>
      <c r="W2" t="s" s="8">
        <v>29</v>
      </c>
      <c r="X2" t="s" s="8">
        <v>30</v>
      </c>
      <c r="Y2" t="s" s="8">
        <v>31</v>
      </c>
      <c r="Z2" t="s" s="8">
        <v>32</v>
      </c>
      <c r="AA2" t="s" s="8">
        <v>33</v>
      </c>
      <c r="AB2" t="s" s="8">
        <v>34</v>
      </c>
      <c r="AC2" t="s" s="8">
        <v>35</v>
      </c>
      <c r="AD2" t="s" s="8">
        <v>36</v>
      </c>
      <c r="AE2" t="s" s="8">
        <v>37</v>
      </c>
    </row>
    <row r="3" ht="20.25" customHeight="1">
      <c r="A3" t="s" s="9">
        <v>38</v>
      </c>
      <c r="B3" s="10">
        <v>1023.816</v>
      </c>
      <c r="C3" s="11">
        <v>59</v>
      </c>
      <c r="D3" s="12">
        <f>C3/B3</f>
        <v>0.05762754244903381</v>
      </c>
      <c r="E3" s="11">
        <f>3+40</f>
        <v>43</v>
      </c>
      <c r="F3" s="13">
        <f>E3/B3</f>
        <v>0.04199973432726193</v>
      </c>
      <c r="G3" s="11">
        <v>29</v>
      </c>
      <c r="H3" s="12">
        <f>G3/B3</f>
        <v>0.02832540222071153</v>
      </c>
      <c r="I3" s="11">
        <v>222340</v>
      </c>
      <c r="J3" s="12">
        <f>I3/B3</f>
        <v>217.1679286121725</v>
      </c>
      <c r="K3" s="12">
        <f>J3/H3</f>
        <v>7666.896551724138</v>
      </c>
      <c r="L3" s="11">
        <v>881017539869</v>
      </c>
      <c r="M3" s="11">
        <v>5914309</v>
      </c>
      <c r="N3" s="11">
        <f>M3/B3</f>
        <v>5776.730389054283</v>
      </c>
      <c r="O3" s="14">
        <f>M3/L3</f>
        <v>6.713043421223383e-06</v>
      </c>
      <c r="P3" s="11">
        <v>283434181163</v>
      </c>
      <c r="Q3" s="11">
        <v>10871492</v>
      </c>
      <c r="R3" s="11">
        <f>Q3/B3</f>
        <v>10618.599435836126</v>
      </c>
      <c r="S3" s="14">
        <f>Q3/P3</f>
        <v>3.835631946503982e-05</v>
      </c>
      <c r="T3" s="11">
        <f>283163257224+881511026036</f>
        <v>1164674283260</v>
      </c>
      <c r="U3" s="11">
        <f>4529168+1910576</f>
        <v>6439744</v>
      </c>
      <c r="V3" s="12">
        <f>U3/B3</f>
        <v>6289.942724083234</v>
      </c>
      <c r="W3" s="15">
        <f>U3/T3</f>
        <v>5.52922314209148e-06</v>
      </c>
      <c r="X3" s="11">
        <f>L3+P3</f>
        <v>1164451721032</v>
      </c>
      <c r="Y3" s="11">
        <f>Q3+M3</f>
        <v>16785801</v>
      </c>
      <c r="Z3" s="12">
        <f>R3+N3</f>
        <v>16395.329824890410</v>
      </c>
      <c r="AA3" s="15">
        <f>Y3/X3</f>
        <v>1.441519703807344e-05</v>
      </c>
      <c r="AB3" s="16">
        <f>AA3/W3-1</f>
        <v>1.607092654361703</v>
      </c>
      <c r="AC3" s="17">
        <f>Z3-V3</f>
        <v>10105.387100807176</v>
      </c>
      <c r="AD3" s="16">
        <v>0.013</v>
      </c>
      <c r="AE3" s="18">
        <v>0</v>
      </c>
    </row>
    <row r="4" ht="20.05" customHeight="1">
      <c r="A4" t="s" s="19">
        <v>39</v>
      </c>
      <c r="B4" s="20">
        <v>479.326</v>
      </c>
      <c r="C4" s="21">
        <v>3413</v>
      </c>
      <c r="D4" s="22">
        <f>C4/B4</f>
        <v>7.120414915944472</v>
      </c>
      <c r="E4" s="21">
        <f>460+40</f>
        <v>500</v>
      </c>
      <c r="F4" s="23">
        <f>E4/B4</f>
        <v>1.043131397003292</v>
      </c>
      <c r="G4" s="21">
        <v>3266597</v>
      </c>
      <c r="H4" s="22">
        <f>G4/B4</f>
        <v>6814.979784113526</v>
      </c>
      <c r="I4" s="21">
        <v>29859144</v>
      </c>
      <c r="J4" s="22">
        <f>I4/B4</f>
        <v>62294.021188084931</v>
      </c>
      <c r="K4" s="22">
        <f>J4/H4</f>
        <v>9.140749226182477</v>
      </c>
      <c r="L4" s="21">
        <v>157075651976</v>
      </c>
      <c r="M4" s="21">
        <v>308433886</v>
      </c>
      <c r="N4" s="21">
        <f>M4/B4</f>
        <v>643474.1407726683</v>
      </c>
      <c r="O4" s="24">
        <f>M4/L4</f>
        <v>0.001963600864423765</v>
      </c>
      <c r="P4" s="21">
        <v>63076459965</v>
      </c>
      <c r="Q4" s="21">
        <v>225156618</v>
      </c>
      <c r="R4" s="21">
        <f>Q4/B4</f>
        <v>469735.8749577532</v>
      </c>
      <c r="S4" s="24">
        <f>Q4/P4</f>
        <v>0.003569582346963279</v>
      </c>
      <c r="T4" s="21">
        <f>61609665047+155182722005</f>
        <v>216792387052</v>
      </c>
      <c r="U4" s="21">
        <f>11275606+92698649</f>
        <v>103974255</v>
      </c>
      <c r="V4" s="22">
        <f>U4/B4</f>
        <v>216917.6197410531</v>
      </c>
      <c r="W4" s="25">
        <f>U4/T4</f>
        <v>0.0004796028883387896</v>
      </c>
      <c r="X4" s="21">
        <f>L4+P4</f>
        <v>220152111941</v>
      </c>
      <c r="Y4" s="21">
        <f>Q4+M4</f>
        <v>533590504</v>
      </c>
      <c r="Z4" s="22">
        <f>R4+N4</f>
        <v>1113210.015730422</v>
      </c>
      <c r="AA4" s="25">
        <f>Y4/X4</f>
        <v>0.002423735567628806</v>
      </c>
      <c r="AB4" s="26">
        <f>AA4/W4-1</f>
        <v>4.053630048025667</v>
      </c>
      <c r="AC4" s="27">
        <f>Z4-V4</f>
        <v>896292.3959893684</v>
      </c>
      <c r="AD4" s="26">
        <v>0.152</v>
      </c>
      <c r="AE4" s="28">
        <v>0.25</v>
      </c>
    </row>
    <row r="5" ht="20.05" customHeight="1">
      <c r="A5" t="s" s="19">
        <v>40</v>
      </c>
      <c r="B5" s="20">
        <v>471.984</v>
      </c>
      <c r="C5" s="21">
        <v>904</v>
      </c>
      <c r="D5" s="22">
        <f>C5/B5</f>
        <v>1.91531916336147</v>
      </c>
      <c r="E5" s="21">
        <f>855+42</f>
        <v>897</v>
      </c>
      <c r="F5" s="23">
        <f>E5/B5</f>
        <v>1.900488152140751</v>
      </c>
      <c r="G5" s="21">
        <f>8</f>
        <v>8</v>
      </c>
      <c r="H5" s="22">
        <f>G5/B5</f>
        <v>0.01694972710939354</v>
      </c>
      <c r="I5" s="21">
        <v>429080</v>
      </c>
      <c r="J5" s="22">
        <f>I5/B5</f>
        <v>909.0986135123225</v>
      </c>
      <c r="K5" s="22">
        <f>J5/H5</f>
        <v>53634.999999999993</v>
      </c>
      <c r="L5" s="21">
        <v>390420470617</v>
      </c>
      <c r="M5" s="21">
        <v>12923432766</v>
      </c>
      <c r="N5" s="21">
        <f>M5/B5</f>
        <v>27381082.33753687</v>
      </c>
      <c r="O5" s="24">
        <f>M5/L5</f>
        <v>0.03310131957368036</v>
      </c>
      <c r="P5" s="21">
        <v>96527067511</v>
      </c>
      <c r="Q5" s="21">
        <v>61736498</v>
      </c>
      <c r="R5" s="21">
        <f>Q5/B5</f>
        <v>130802.0992237025</v>
      </c>
      <c r="S5" s="24">
        <f>Q5/P5</f>
        <v>0.0006395770594912629</v>
      </c>
      <c r="T5" s="21">
        <f>96449005176+389652009151</f>
        <v>486101014327</v>
      </c>
      <c r="U5" s="21">
        <f>27459920+6035766301</f>
        <v>6063226221</v>
      </c>
      <c r="V5" s="22">
        <f>U5/B5</f>
        <v>12846253.73105868</v>
      </c>
      <c r="W5" s="25">
        <f>U5/T5</f>
        <v>0.01247318158633026</v>
      </c>
      <c r="X5" s="21">
        <f>L5+P5</f>
        <v>486947538128</v>
      </c>
      <c r="Y5" s="21">
        <f>Q5+M5</f>
        <v>12985169264</v>
      </c>
      <c r="Z5" s="22">
        <f>R5+N5</f>
        <v>27511884.43676057</v>
      </c>
      <c r="AA5" s="25">
        <f>Y5/X5</f>
        <v>0.02666646455164271</v>
      </c>
      <c r="AB5" s="26">
        <f>AA5/W5-1</f>
        <v>1.137903979596296</v>
      </c>
      <c r="AC5" s="27">
        <f>Z5-V5</f>
        <v>14665630.70570189</v>
      </c>
      <c r="AD5" s="26">
        <v>0.115</v>
      </c>
      <c r="AE5" s="28">
        <v>0</v>
      </c>
    </row>
    <row r="6" ht="20.05" customHeight="1">
      <c r="A6" t="s" s="19">
        <v>41</v>
      </c>
      <c r="B6" s="20">
        <v>681.409</v>
      </c>
      <c r="C6" s="21">
        <v>1901</v>
      </c>
      <c r="D6" s="22">
        <f>C6/B6</f>
        <v>2.789807589861596</v>
      </c>
      <c r="E6" s="21">
        <f>20+40</f>
        <v>60</v>
      </c>
      <c r="F6" s="23">
        <f>E6/B6</f>
        <v>0.088052843446447</v>
      </c>
      <c r="G6" s="21">
        <v>6515</v>
      </c>
      <c r="H6" s="22">
        <f>G6/B6</f>
        <v>9.56107125089337</v>
      </c>
      <c r="I6" s="21">
        <v>21568380</v>
      </c>
      <c r="J6" s="22">
        <f>I6/B6</f>
        <v>31652.619792224639</v>
      </c>
      <c r="K6" s="22">
        <f>J6/H6</f>
        <v>3310.572524942440</v>
      </c>
      <c r="L6" s="21">
        <v>1017783158955</v>
      </c>
      <c r="M6" s="21">
        <v>3821090496</v>
      </c>
      <c r="N6" s="21">
        <f>M6/B6</f>
        <v>5607631.387316575</v>
      </c>
      <c r="O6" s="24">
        <f>M6/L6</f>
        <v>0.003754326707393421</v>
      </c>
      <c r="P6" s="21">
        <v>182072722113</v>
      </c>
      <c r="Q6" s="21">
        <v>507550192</v>
      </c>
      <c r="R6" s="21">
        <f>Q6/B6</f>
        <v>744853.959956502</v>
      </c>
      <c r="S6" s="24">
        <f>Q6/P6</f>
        <v>0.002787623462261407</v>
      </c>
      <c r="T6" s="21">
        <f>178537771908+1012671472145</f>
        <v>1191209244053</v>
      </c>
      <c r="U6" s="21">
        <f>196997346+1830555336</f>
        <v>2027552682</v>
      </c>
      <c r="V6" s="22">
        <f>U6/B6</f>
        <v>2975529.648126162</v>
      </c>
      <c r="W6" s="25">
        <f>U6/T6</f>
        <v>0.001702096161629341</v>
      </c>
      <c r="X6" s="21">
        <f>L6+P6</f>
        <v>1199855881068</v>
      </c>
      <c r="Y6" s="21">
        <f>Q6+M6</f>
        <v>4328640688</v>
      </c>
      <c r="Z6" s="22">
        <f>R6+N6</f>
        <v>6352485.347273077</v>
      </c>
      <c r="AA6" s="25">
        <f>Y6/X6</f>
        <v>0.003607633846947558</v>
      </c>
      <c r="AB6" s="26">
        <f>AA6/W6-1</f>
        <v>1.119524106965925</v>
      </c>
      <c r="AC6" s="27">
        <f>Z6-V6</f>
        <v>3376955.699146915</v>
      </c>
      <c r="AD6" s="26">
        <v>0.107</v>
      </c>
      <c r="AE6" s="28">
        <v>0.055</v>
      </c>
    </row>
    <row r="7" ht="20.05" customHeight="1">
      <c r="A7" t="s" s="19">
        <v>42</v>
      </c>
      <c r="B7" s="20">
        <v>821.979</v>
      </c>
      <c r="C7" s="21">
        <v>2034</v>
      </c>
      <c r="D7" s="22">
        <f>C7/B7</f>
        <v>2.474515772300752</v>
      </c>
      <c r="E7" s="21">
        <f>1875+40</f>
        <v>1915</v>
      </c>
      <c r="F7" s="23">
        <f>E7/B7</f>
        <v>2.32974321728414</v>
      </c>
      <c r="G7" s="21">
        <v>1328</v>
      </c>
      <c r="H7" s="22">
        <f>G7/B7</f>
        <v>1.615613050941691</v>
      </c>
      <c r="I7" s="21">
        <v>12830</v>
      </c>
      <c r="J7" s="22">
        <f>I7/B7</f>
        <v>15.60867126775745</v>
      </c>
      <c r="K7" s="22">
        <f>J7/H7</f>
        <v>9.661144578313253</v>
      </c>
      <c r="L7" s="21">
        <v>2426657522269</v>
      </c>
      <c r="M7" s="21">
        <v>7359155</v>
      </c>
      <c r="N7" s="21">
        <f>M7/B7</f>
        <v>8952.972034565359</v>
      </c>
      <c r="O7" s="24">
        <f>M7/L7</f>
        <v>3.032630246528963e-06</v>
      </c>
      <c r="P7" s="21">
        <v>882137330043</v>
      </c>
      <c r="Q7" s="21">
        <v>2238628</v>
      </c>
      <c r="R7" s="21">
        <f>Q7/B7</f>
        <v>2723.461304972511</v>
      </c>
      <c r="S7" s="24">
        <f>Q7/P7</f>
        <v>2.537731851673115e-06</v>
      </c>
      <c r="T7" s="21">
        <f>882087639955+2426622078913</f>
        <v>3308709718868</v>
      </c>
      <c r="U7" s="21">
        <f>1116957+2302052</f>
        <v>3419009</v>
      </c>
      <c r="V7" s="22">
        <f>U7/B7</f>
        <v>4159.484609704141</v>
      </c>
      <c r="W7" s="25">
        <f>U7/T7</f>
        <v>1.03333604048219e-06</v>
      </c>
      <c r="X7" s="21">
        <f>L7+P7</f>
        <v>3308794852312</v>
      </c>
      <c r="Y7" s="21">
        <f>Q7+M7</f>
        <v>9597783</v>
      </c>
      <c r="Z7" s="22">
        <f>R7+N7</f>
        <v>11676.433339537871</v>
      </c>
      <c r="AA7" s="25">
        <f>Y7/X7</f>
        <v>2.900688446518106e-06</v>
      </c>
      <c r="AB7" s="26">
        <f>AA7/W7-1</f>
        <v>1.807110497340773</v>
      </c>
      <c r="AC7" s="27">
        <f>Z7-V7</f>
        <v>7516.948729833730</v>
      </c>
      <c r="AD7" s="26">
        <v>0.004</v>
      </c>
      <c r="AE7" s="28">
        <v>0</v>
      </c>
    </row>
    <row r="8" ht="20.05" customHeight="1">
      <c r="A8" t="s" s="19">
        <v>43</v>
      </c>
      <c r="B8" s="20">
        <v>748.74</v>
      </c>
      <c r="C8" s="21">
        <v>2138</v>
      </c>
      <c r="D8" s="22">
        <f>C8/B8</f>
        <v>2.855463845927825</v>
      </c>
      <c r="E8" s="21">
        <f>166+200</f>
        <v>366</v>
      </c>
      <c r="F8" s="23">
        <f>E8/B8</f>
        <v>0.4888212196490103</v>
      </c>
      <c r="G8" s="21">
        <v>221456</v>
      </c>
      <c r="H8" s="22">
        <f>G8/B8</f>
        <v>295.7715628923258</v>
      </c>
      <c r="I8" s="21">
        <v>303303</v>
      </c>
      <c r="J8" s="22">
        <f>I8/B8</f>
        <v>405.0845420306114</v>
      </c>
      <c r="K8" s="22">
        <f>J8/H8</f>
        <v>1.369585831948559</v>
      </c>
      <c r="L8" s="21">
        <v>459981685570</v>
      </c>
      <c r="M8" s="21">
        <v>174336157</v>
      </c>
      <c r="N8" s="21">
        <f>M8/B8</f>
        <v>232839.379490878</v>
      </c>
      <c r="O8" s="24">
        <f>M8/L8</f>
        <v>0.0003790067354180986</v>
      </c>
      <c r="P8" s="21">
        <v>145626852176</v>
      </c>
      <c r="Q8" s="21">
        <v>23716781</v>
      </c>
      <c r="R8" s="21">
        <f>Q8/B8</f>
        <v>31675.589657290915</v>
      </c>
      <c r="S8" s="24">
        <f>Q8/P8</f>
        <v>0.0001628599440667484</v>
      </c>
      <c r="T8" s="21">
        <f>145584985716+459959464999</f>
        <v>605544450715</v>
      </c>
      <c r="U8" s="21">
        <f>20473844+104733529</f>
        <v>125207373</v>
      </c>
      <c r="V8" s="22">
        <f>U8/B8</f>
        <v>167224.1004888212</v>
      </c>
      <c r="W8" s="25">
        <f>U8/T8</f>
        <v>0.000206768260946262</v>
      </c>
      <c r="X8" s="21">
        <f>L8+P8</f>
        <v>605608537746</v>
      </c>
      <c r="Y8" s="21">
        <f>Q8+M8</f>
        <v>198052938</v>
      </c>
      <c r="Z8" s="22">
        <f>R8+N8</f>
        <v>264514.9691481689</v>
      </c>
      <c r="AA8" s="25">
        <f>Y8/X8</f>
        <v>0.0003270312844946481</v>
      </c>
      <c r="AB8" s="26">
        <f>AA8/W8-1</f>
        <v>0.5816319342147096</v>
      </c>
      <c r="AC8" s="27">
        <f>Z8-V8</f>
        <v>97290.8686593477</v>
      </c>
      <c r="AD8" s="26">
        <v>0.025</v>
      </c>
      <c r="AE8" s="28">
        <v>0.005</v>
      </c>
    </row>
    <row r="9" ht="20.05" customHeight="1">
      <c r="A9" t="s" s="19">
        <v>44</v>
      </c>
      <c r="B9" s="20">
        <v>1961.82</v>
      </c>
      <c r="C9" s="21">
        <v>48185</v>
      </c>
      <c r="D9" s="22">
        <f>C9/B9</f>
        <v>24.56137668083718</v>
      </c>
      <c r="E9" s="21">
        <f>7949+902</f>
        <v>8851</v>
      </c>
      <c r="F9" s="23">
        <f>E9/B9</f>
        <v>4.511626958640446</v>
      </c>
      <c r="G9" s="21">
        <v>151258916</v>
      </c>
      <c r="H9" s="22">
        <f>G9/B9</f>
        <v>77101.322241591988</v>
      </c>
      <c r="I9" s="21">
        <v>154169948</v>
      </c>
      <c r="J9" s="22">
        <f>I9/B9</f>
        <v>78585.164795954784</v>
      </c>
      <c r="K9" s="22">
        <f>J9/H9</f>
        <v>1.019245358071983</v>
      </c>
      <c r="L9" s="21">
        <v>5023320697428</v>
      </c>
      <c r="M9" s="21">
        <v>6120687410</v>
      </c>
      <c r="N9" s="21">
        <f>M9/B9</f>
        <v>3119902.646522107</v>
      </c>
      <c r="O9" s="24">
        <f>M9/L9</f>
        <v>0.001218454440532508</v>
      </c>
      <c r="P9" s="21">
        <v>3132026431431</v>
      </c>
      <c r="Q9" s="21">
        <v>1303572939</v>
      </c>
      <c r="R9" s="21">
        <f>Q9/B9</f>
        <v>664471.2251888553</v>
      </c>
      <c r="S9" s="24">
        <f>Q9/P9</f>
        <v>0.0004162075153383706</v>
      </c>
      <c r="T9" s="21">
        <f>3112409322247+4991915584101</f>
        <v>8104324906348</v>
      </c>
      <c r="U9" s="21">
        <f>18108090+287967486</f>
        <v>306075576</v>
      </c>
      <c r="V9" s="22">
        <f>U9/B9</f>
        <v>156016.1360369453</v>
      </c>
      <c r="W9" s="25">
        <f>U9/T9</f>
        <v>3.776694290233298e-05</v>
      </c>
      <c r="X9" s="21">
        <f>L9+P9</f>
        <v>8155347128859</v>
      </c>
      <c r="Y9" s="21">
        <f>Q9+M9</f>
        <v>7424260349</v>
      </c>
      <c r="Z9" s="22">
        <f>R9+N9</f>
        <v>3784373.871710963</v>
      </c>
      <c r="AA9" s="25">
        <f>Y9/X9</f>
        <v>0.0009103549158230271</v>
      </c>
      <c r="AB9" s="26">
        <f>AA9/W9-1</f>
        <v>23.10454344099934</v>
      </c>
      <c r="AC9" s="27">
        <f>Z9-V9</f>
        <v>3628357.735674017</v>
      </c>
      <c r="AD9" s="26">
        <v>0.074</v>
      </c>
      <c r="AE9" s="28">
        <v>1.9</v>
      </c>
    </row>
    <row r="10" ht="20.05" customHeight="1">
      <c r="A10" t="s" s="19">
        <v>45</v>
      </c>
      <c r="B10" s="20">
        <v>558.581</v>
      </c>
      <c r="C10" s="21">
        <v>3714</v>
      </c>
      <c r="D10" s="22">
        <f>C10/B10</f>
        <v>6.64899092521944</v>
      </c>
      <c r="E10" s="21">
        <f>3620+42</f>
        <v>3662</v>
      </c>
      <c r="F10" s="23">
        <f>E10/B10</f>
        <v>6.555897891263756</v>
      </c>
      <c r="G10" s="21">
        <v>235192</v>
      </c>
      <c r="H10" s="22">
        <f>G10/B10</f>
        <v>421.0526315789473</v>
      </c>
      <c r="I10" s="21">
        <v>9086470</v>
      </c>
      <c r="J10" s="22">
        <f>I10/B10</f>
        <v>16267.058850909716</v>
      </c>
      <c r="K10" s="22">
        <f>J10/H10</f>
        <v>38.63426477091058</v>
      </c>
      <c r="L10" s="21">
        <v>473433390160</v>
      </c>
      <c r="M10" s="21">
        <v>929173195</v>
      </c>
      <c r="N10" s="21">
        <f>M10/B10</f>
        <v>1663452.919093202</v>
      </c>
      <c r="O10" s="24">
        <f>M10/L10</f>
        <v>0.001962627086116549</v>
      </c>
      <c r="P10" s="21">
        <v>156550052232</v>
      </c>
      <c r="Q10" s="21">
        <v>182700773</v>
      </c>
      <c r="R10" s="21">
        <f>Q10/B10</f>
        <v>327080.178165745</v>
      </c>
      <c r="S10" s="24">
        <f>Q10/P10</f>
        <v>0.001167043832915787</v>
      </c>
      <c r="T10" s="21">
        <f>156387935027+473314539554</f>
        <v>629702474581</v>
      </c>
      <c r="U10" s="21">
        <f>73207411+490709004</f>
        <v>563916415</v>
      </c>
      <c r="V10" s="22">
        <f>U10/B10</f>
        <v>1009551.730187744</v>
      </c>
      <c r="W10" s="25">
        <f>U10/T10</f>
        <v>0.0008955283451525681</v>
      </c>
      <c r="X10" s="21">
        <f>L10+P10</f>
        <v>629983442392</v>
      </c>
      <c r="Y10" s="21">
        <f>Q10+M10</f>
        <v>1111873968</v>
      </c>
      <c r="Z10" s="22">
        <f>R10+N10</f>
        <v>1990533.097258947</v>
      </c>
      <c r="AA10" s="25">
        <f>Y10/X10</f>
        <v>0.001764925699917283</v>
      </c>
      <c r="AB10" s="26">
        <f>AA10/W10-1</f>
        <v>0.9708205881708845</v>
      </c>
      <c r="AC10" s="27">
        <f>Z10-V10</f>
        <v>980981.3670712035</v>
      </c>
      <c r="AD10" s="26">
        <v>0.03</v>
      </c>
      <c r="AE10" s="28">
        <v>0.04</v>
      </c>
    </row>
    <row r="11" ht="20.05" customHeight="1">
      <c r="A11" t="s" s="19">
        <v>46</v>
      </c>
      <c r="B11" s="20">
        <v>420.569</v>
      </c>
      <c r="C11" s="21">
        <v>26434</v>
      </c>
      <c r="D11" s="22">
        <f>C11/B11</f>
        <v>62.8529444633342</v>
      </c>
      <c r="E11" s="21">
        <f>26262+44</f>
        <v>26306</v>
      </c>
      <c r="F11" s="23">
        <f>E11/B11</f>
        <v>62.5485948797938</v>
      </c>
      <c r="G11" s="21">
        <v>2428028</v>
      </c>
      <c r="H11" s="22">
        <f>G11/B11</f>
        <v>5773.197739253250</v>
      </c>
      <c r="I11" s="21">
        <v>2443829</v>
      </c>
      <c r="J11" s="22">
        <f>I11/B11</f>
        <v>5810.768268702638</v>
      </c>
      <c r="K11" s="22">
        <f>J11/H11</f>
        <v>1.006507750322484</v>
      </c>
      <c r="L11" s="21">
        <v>1019535240207</v>
      </c>
      <c r="M11" s="21">
        <v>310107753</v>
      </c>
      <c r="N11" s="21">
        <f>M11/B11</f>
        <v>737352.8552984172</v>
      </c>
      <c r="O11" s="24">
        <f>M11/L11</f>
        <v>0.0003041658010144286</v>
      </c>
      <c r="P11" s="21">
        <v>436182561591</v>
      </c>
      <c r="Q11" s="21">
        <v>33637582</v>
      </c>
      <c r="R11" s="21">
        <f>Q11/B11</f>
        <v>79981.125570358243</v>
      </c>
      <c r="S11" s="24">
        <f>Q11/P11</f>
        <v>7.711812658742032e-05</v>
      </c>
      <c r="T11" s="21">
        <f>435872092348+1018995856748</f>
        <v>1454867949096</v>
      </c>
      <c r="U11" s="21">
        <f>2234211+268752551</f>
        <v>270986762</v>
      </c>
      <c r="V11" s="22">
        <f>U11/B11</f>
        <v>644333.6574973429</v>
      </c>
      <c r="W11" s="25">
        <f>U11/T11</f>
        <v>0.0001862621017724536</v>
      </c>
      <c r="X11" s="21">
        <f>L11+P11</f>
        <v>1455717801798</v>
      </c>
      <c r="Y11" s="21">
        <f>Q11+M11</f>
        <v>343745335</v>
      </c>
      <c r="Z11" s="22">
        <f>R11+N11</f>
        <v>817333.9808687754</v>
      </c>
      <c r="AA11" s="25">
        <f>Y11/X11</f>
        <v>0.0002361345959879243</v>
      </c>
      <c r="AB11" s="26">
        <f>AA11/W11-1</f>
        <v>0.2677543834246927</v>
      </c>
      <c r="AC11" s="27">
        <f>Z11-V11</f>
        <v>173000.3233714325</v>
      </c>
      <c r="AD11" s="26">
        <v>0</v>
      </c>
      <c r="AE11" s="28">
        <v>0.05</v>
      </c>
    </row>
    <row r="12" ht="20.05" customHeight="1">
      <c r="A12" t="s" s="19">
        <v>47</v>
      </c>
      <c r="B12" s="20">
        <v>1576.148</v>
      </c>
      <c r="C12" s="21">
        <v>85</v>
      </c>
      <c r="D12" s="22">
        <f>C12/B12</f>
        <v>0.05392894575890082</v>
      </c>
      <c r="E12" s="21">
        <f>36+40</f>
        <v>76</v>
      </c>
      <c r="F12" s="23">
        <f>E12/B12</f>
        <v>0.04821882209031132</v>
      </c>
      <c r="G12" s="21">
        <v>1000144</v>
      </c>
      <c r="H12" s="22">
        <f>G12/B12</f>
        <v>634.5495473775305</v>
      </c>
      <c r="I12" s="21">
        <v>1016220</v>
      </c>
      <c r="J12" s="22">
        <f>I12/B12</f>
        <v>644.7490971660022</v>
      </c>
      <c r="K12" s="22">
        <f>J12/H12</f>
        <v>1.016073685389304</v>
      </c>
      <c r="L12" s="21">
        <v>3341708084759</v>
      </c>
      <c r="M12" s="21">
        <v>11582735</v>
      </c>
      <c r="N12" s="21">
        <f>M12/B12</f>
        <v>7348.761030055553</v>
      </c>
      <c r="O12" s="24">
        <f>M12/L12</f>
        <v>3.466112151694822e-06</v>
      </c>
      <c r="P12" s="21">
        <v>423413200937</v>
      </c>
      <c r="Q12" s="21">
        <v>14156935</v>
      </c>
      <c r="R12" s="21">
        <f>Q12/B12</f>
        <v>8981.983290909229</v>
      </c>
      <c r="S12" s="24">
        <f>Q12/P12</f>
        <v>3.343527072058961e-05</v>
      </c>
      <c r="T12" s="21">
        <f>423249262677+3341424469752</f>
        <v>3764673732429</v>
      </c>
      <c r="U12" s="21">
        <f>56857+711000</f>
        <v>767857</v>
      </c>
      <c r="V12" s="22">
        <f>U12/B12</f>
        <v>487.1731588657918</v>
      </c>
      <c r="W12" s="25">
        <f>U12/T12</f>
        <v>2.039637574394985e-07</v>
      </c>
      <c r="X12" s="21">
        <f>L12+P12</f>
        <v>3765121285696</v>
      </c>
      <c r="Y12" s="21">
        <f>Q12+M12</f>
        <v>25739670</v>
      </c>
      <c r="Z12" s="22">
        <f>R12+N12</f>
        <v>16330.744320964783</v>
      </c>
      <c r="AA12" s="25">
        <f>Y12/X12</f>
        <v>6.836345511042921e-06</v>
      </c>
      <c r="AB12" s="26">
        <f>AA12/W12-1</f>
        <v>32.51745230066561</v>
      </c>
      <c r="AC12" s="27">
        <f>Z12-V12</f>
        <v>15843.571162098991</v>
      </c>
      <c r="AD12" s="26">
        <v>0.023</v>
      </c>
      <c r="AE12" s="28">
        <v>0.007</v>
      </c>
    </row>
    <row r="13" ht="20.05" customHeight="1">
      <c r="A13" t="s" s="19">
        <v>48</v>
      </c>
      <c r="B13" s="20">
        <v>826.6660000000001</v>
      </c>
      <c r="C13" s="21">
        <v>3435</v>
      </c>
      <c r="D13" s="22">
        <f>C13/B13</f>
        <v>4.155245286488134</v>
      </c>
      <c r="E13" s="21">
        <f>2+380</f>
        <v>382</v>
      </c>
      <c r="F13" s="23">
        <f>E13/B13</f>
        <v>0.4620971468525378</v>
      </c>
      <c r="G13" s="21">
        <v>6</v>
      </c>
      <c r="H13" s="22">
        <f>G13/B13</f>
        <v>0.007258070369411587</v>
      </c>
      <c r="I13" s="21">
        <v>43950</v>
      </c>
      <c r="J13" s="22">
        <f>I13/B13</f>
        <v>53.16536545593988</v>
      </c>
      <c r="K13" s="22">
        <f>J13/H13</f>
        <v>7325</v>
      </c>
      <c r="L13" s="21">
        <v>1504281968627</v>
      </c>
      <c r="M13" s="21">
        <v>2099577293</v>
      </c>
      <c r="N13" s="21">
        <f>M13/B13</f>
        <v>2539813.289768782</v>
      </c>
      <c r="O13" s="24">
        <f>M13/L13</f>
        <v>0.001395733869572566</v>
      </c>
      <c r="P13" s="21">
        <v>467934478422</v>
      </c>
      <c r="Q13" s="21">
        <v>36888250</v>
      </c>
      <c r="R13" s="21">
        <f>Q13/B13</f>
        <v>44622.919050741169</v>
      </c>
      <c r="S13" s="24">
        <f>Q13/P13</f>
        <v>7.883208376607988e-05</v>
      </c>
      <c r="T13" s="21">
        <f>467944486297+1504112581207</f>
        <v>1972057067504</v>
      </c>
      <c r="U13" s="21">
        <f>18924047+870133502</f>
        <v>889057549</v>
      </c>
      <c r="V13" s="22">
        <f>U13/B13</f>
        <v>1075473.708849765</v>
      </c>
      <c r="W13" s="25">
        <f>U13/T13</f>
        <v>0.0004508274956389905</v>
      </c>
      <c r="X13" s="21">
        <f>L13+P13</f>
        <v>1972216447049</v>
      </c>
      <c r="Y13" s="21">
        <f>Q13+M13</f>
        <v>2136465543</v>
      </c>
      <c r="Z13" s="22">
        <f>R13+N13</f>
        <v>2584436.208819523</v>
      </c>
      <c r="AA13" s="25">
        <f>Y13/X13</f>
        <v>0.001083281475619354</v>
      </c>
      <c r="AB13" s="26">
        <f>AA13/W13-1</f>
        <v>1.402873573813284</v>
      </c>
      <c r="AC13" s="27">
        <f>Z13-V13</f>
        <v>1508962.499969758</v>
      </c>
      <c r="AD13" s="26">
        <v>0.011</v>
      </c>
      <c r="AE13" s="28">
        <v>0.01</v>
      </c>
    </row>
    <row r="14" ht="20.05" customHeight="1">
      <c r="A14" t="s" s="19">
        <v>49</v>
      </c>
      <c r="B14" s="20">
        <v>691.407</v>
      </c>
      <c r="C14" s="21">
        <v>75</v>
      </c>
      <c r="D14" s="22">
        <f>C14/B14</f>
        <v>0.1084744586039771</v>
      </c>
      <c r="E14" s="21">
        <f>0+40</f>
        <v>40</v>
      </c>
      <c r="F14" s="23">
        <f>E14/B14</f>
        <v>0.05785304458878779</v>
      </c>
      <c r="G14" s="21">
        <v>158</v>
      </c>
      <c r="H14" s="22">
        <f>G14/B14</f>
        <v>0.2285195261257117</v>
      </c>
      <c r="I14" s="21">
        <v>312265</v>
      </c>
      <c r="J14" s="22">
        <f>I14/B14</f>
        <v>451.6370242129454</v>
      </c>
      <c r="K14" s="22">
        <f>J14/H14</f>
        <v>1976.360759493671</v>
      </c>
      <c r="L14" s="21">
        <v>2529827948984</v>
      </c>
      <c r="M14" s="21">
        <v>128375772</v>
      </c>
      <c r="N14" s="21">
        <f>M14/B14</f>
        <v>185673.2315409014</v>
      </c>
      <c r="O14" s="24">
        <f>M14/L14</f>
        <v>5.074486272932386e-05</v>
      </c>
      <c r="P14" s="21">
        <v>331451275738</v>
      </c>
      <c r="Q14" s="21">
        <v>11471946</v>
      </c>
      <c r="R14" s="21">
        <f>Q14/B14</f>
        <v>16592.175086454143</v>
      </c>
      <c r="S14" s="24">
        <f>Q14/P14</f>
        <v>3.461125914949909e-05</v>
      </c>
      <c r="T14" s="21">
        <f>331401314378+2530200558449</f>
        <v>2861601872827</v>
      </c>
      <c r="U14" s="21">
        <f>4606643+72645461</f>
        <v>77252104</v>
      </c>
      <c r="V14" s="22">
        <f>U14/B14</f>
        <v>111731.7354322418</v>
      </c>
      <c r="W14" s="25">
        <f>U14/T14</f>
        <v>2.699610478087995e-05</v>
      </c>
      <c r="X14" s="21">
        <f>L14+P14</f>
        <v>2861279224722</v>
      </c>
      <c r="Y14" s="21">
        <f>Q14+M14</f>
        <v>139847718</v>
      </c>
      <c r="Z14" s="22">
        <f>R14+N14</f>
        <v>202265.4066273555</v>
      </c>
      <c r="AA14" s="25">
        <f>Y14/X14</f>
        <v>4.887594219805217e-05</v>
      </c>
      <c r="AB14" s="26">
        <f>AA14/W14-1</f>
        <v>0.8104812747900081</v>
      </c>
      <c r="AC14" s="27">
        <f>Z14-V14</f>
        <v>90533.671195113740</v>
      </c>
      <c r="AD14" s="26">
        <v>0</v>
      </c>
      <c r="AE14" s="28">
        <v>0.025</v>
      </c>
    </row>
    <row r="15" ht="20.05" customHeight="1">
      <c r="A15" t="s" s="19">
        <v>50</v>
      </c>
      <c r="B15" s="20">
        <v>1310.727</v>
      </c>
      <c r="C15" s="21">
        <v>1336</v>
      </c>
      <c r="D15" s="22">
        <f>C15/B15</f>
        <v>1.019281665823623</v>
      </c>
      <c r="E15" s="21">
        <f>522+44</f>
        <v>566</v>
      </c>
      <c r="F15" s="23">
        <f>E15/B15</f>
        <v>0.4318214242935409</v>
      </c>
      <c r="G15" s="21">
        <v>104845</v>
      </c>
      <c r="H15" s="22">
        <f>G15/B15</f>
        <v>79.98995977041749</v>
      </c>
      <c r="I15" s="21">
        <v>367467</v>
      </c>
      <c r="J15" s="22">
        <f>I15/B15</f>
        <v>280.3535747718632</v>
      </c>
      <c r="K15" s="22">
        <f>J15/H15</f>
        <v>3.504859554580571</v>
      </c>
      <c r="L15" s="21">
        <v>2848791688527</v>
      </c>
      <c r="M15" s="21">
        <v>744348505</v>
      </c>
      <c r="N15" s="21">
        <f>M15/B15</f>
        <v>567889.8084803319</v>
      </c>
      <c r="O15" s="24">
        <f>M15/L15</f>
        <v>0.0002612856910520101</v>
      </c>
      <c r="P15" s="21">
        <v>1142423897194</v>
      </c>
      <c r="Q15" s="21">
        <v>620591471</v>
      </c>
      <c r="R15" s="21">
        <f>Q15/B15</f>
        <v>473471.1888898298</v>
      </c>
      <c r="S15" s="24">
        <f>Q15/P15</f>
        <v>0.0005432234676850555</v>
      </c>
      <c r="T15" s="21">
        <f>1142525258686+2848502619409</f>
        <v>3991027878095</v>
      </c>
      <c r="U15" s="21">
        <f>188658316+194812725</f>
        <v>383471041</v>
      </c>
      <c r="V15" s="22">
        <f>U15/B15</f>
        <v>292563.6238514961</v>
      </c>
      <c r="W15" s="25">
        <f>U15/T15</f>
        <v>9.608327797074639e-05</v>
      </c>
      <c r="X15" s="21">
        <f>L15+P15</f>
        <v>3991215585721</v>
      </c>
      <c r="Y15" s="21">
        <f>Q15+M15</f>
        <v>1364939976</v>
      </c>
      <c r="Z15" s="22">
        <f>R15+N15</f>
        <v>1041360.997370162</v>
      </c>
      <c r="AA15" s="25">
        <f>Y15/X15</f>
        <v>0.0003419860307429192</v>
      </c>
      <c r="AB15" s="26">
        <f>AA15/W15-1</f>
        <v>2.559266898107292</v>
      </c>
      <c r="AC15" s="27">
        <f>Z15-V15</f>
        <v>748797.3735186656</v>
      </c>
      <c r="AD15" s="26">
        <v>0</v>
      </c>
      <c r="AE15" s="28">
        <v>0.045</v>
      </c>
    </row>
    <row r="16" ht="20.05" customHeight="1">
      <c r="A16" t="s" s="19">
        <v>51</v>
      </c>
      <c r="B16" s="20">
        <v>494.989</v>
      </c>
      <c r="C16" s="21">
        <v>693</v>
      </c>
      <c r="D16" s="22">
        <f>C16/B16</f>
        <v>1.400031111802485</v>
      </c>
      <c r="E16" s="21">
        <f>644+40</f>
        <v>684</v>
      </c>
      <c r="F16" s="23">
        <f>E16/B16</f>
        <v>1.381848889571283</v>
      </c>
      <c r="G16" s="21">
        <v>7</v>
      </c>
      <c r="H16" s="22">
        <f>G16/B16</f>
        <v>0.0141417284020453</v>
      </c>
      <c r="I16" s="21">
        <v>104696</v>
      </c>
      <c r="J16" s="22">
        <f>I16/B16</f>
        <v>211.5117709686478</v>
      </c>
      <c r="K16" s="22">
        <f>J16/H16</f>
        <v>14956.571428571428</v>
      </c>
      <c r="L16" s="21">
        <v>1683350983506</v>
      </c>
      <c r="M16" s="21">
        <v>16109718</v>
      </c>
      <c r="N16" s="21">
        <f>M16/B16</f>
        <v>32545.608084220054</v>
      </c>
      <c r="O16" s="24">
        <f>M16/L16</f>
        <v>9.570029160791815e-06</v>
      </c>
      <c r="P16" s="21">
        <v>107463856679</v>
      </c>
      <c r="Q16" s="21">
        <v>918964157</v>
      </c>
      <c r="R16" s="21">
        <f>Q16/B16</f>
        <v>1856534.502786931</v>
      </c>
      <c r="S16" s="24">
        <f>Q16/P16</f>
        <v>0.008551378904490583</v>
      </c>
      <c r="T16" s="21">
        <f>107413600972+1683320437730</f>
        <v>1790734038702</v>
      </c>
      <c r="U16" s="21">
        <f>459767413+8239757</f>
        <v>468007170</v>
      </c>
      <c r="V16" s="22">
        <f>U16/B16</f>
        <v>945490.0411928346</v>
      </c>
      <c r="W16" s="25">
        <f>U16/T16</f>
        <v>0.0002613493460699677</v>
      </c>
      <c r="X16" s="21">
        <f>L16+P16</f>
        <v>1790814840185</v>
      </c>
      <c r="Y16" s="21">
        <f>Q16+M16</f>
        <v>935073875</v>
      </c>
      <c r="Z16" s="22">
        <f>R16+N16</f>
        <v>1889080.110871151</v>
      </c>
      <c r="AA16" s="25">
        <f>Y16/X16</f>
        <v>0.0005221499476201583</v>
      </c>
      <c r="AB16" s="26">
        <f>AA16/W16-1</f>
        <v>0.9979003409496565</v>
      </c>
      <c r="AC16" s="27">
        <f>Z16-V16</f>
        <v>943590.069678316</v>
      </c>
      <c r="AD16" s="26">
        <v>0.003</v>
      </c>
      <c r="AE16" s="28">
        <v>0</v>
      </c>
    </row>
    <row r="17" ht="20.05" customHeight="1">
      <c r="A17" t="s" s="19">
        <v>52</v>
      </c>
      <c r="B17" s="20">
        <v>786.287</v>
      </c>
      <c r="C17" s="21">
        <v>1073</v>
      </c>
      <c r="D17" s="22">
        <f>C17/B17</f>
        <v>1.364641663921698</v>
      </c>
      <c r="E17" s="21">
        <f>4+56</f>
        <v>60</v>
      </c>
      <c r="F17" s="23">
        <f>E17/B17</f>
        <v>0.07630801475797006</v>
      </c>
      <c r="G17" s="21">
        <v>1116625</v>
      </c>
      <c r="H17" s="22">
        <f>G17/B17</f>
        <v>1420.123949651972</v>
      </c>
      <c r="I17" s="21">
        <v>1358574</v>
      </c>
      <c r="J17" s="22">
        <f>I17/B17</f>
        <v>1727.834747363240</v>
      </c>
      <c r="K17" s="22">
        <f>J17/H17</f>
        <v>1.216678831299675</v>
      </c>
      <c r="L17" s="21">
        <v>967072893553</v>
      </c>
      <c r="M17" s="21">
        <v>3883538904</v>
      </c>
      <c r="N17" s="21">
        <f>M17/B17</f>
        <v>4939085.733326381</v>
      </c>
      <c r="O17" s="24">
        <f>M17/L17</f>
        <v>0.004015766474160993</v>
      </c>
      <c r="P17" s="21">
        <v>306516077923</v>
      </c>
      <c r="Q17" s="21">
        <v>3062955275</v>
      </c>
      <c r="R17" s="21">
        <f>Q17/B17</f>
        <v>3895467.27212837</v>
      </c>
      <c r="S17" s="24">
        <f>Q17/P17</f>
        <v>0.009992804605079952</v>
      </c>
      <c r="T17" s="21">
        <f>306211827836+966867650807</f>
        <v>1273079478643</v>
      </c>
      <c r="U17" s="21">
        <f>818183039+770017923</f>
        <v>1588200962</v>
      </c>
      <c r="V17" s="22">
        <f>U17/B17</f>
        <v>2019874.374115304</v>
      </c>
      <c r="W17" s="25">
        <f>U17/T17</f>
        <v>0.001247526952278654</v>
      </c>
      <c r="X17" s="21">
        <f>L17+P17</f>
        <v>1273588971476</v>
      </c>
      <c r="Y17" s="21">
        <f>Q17+M17</f>
        <v>6946494179</v>
      </c>
      <c r="Z17" s="22">
        <f>R17+N17</f>
        <v>8834553.005454751</v>
      </c>
      <c r="AA17" s="25">
        <f>Y17/X17</f>
        <v>0.005454266906025028</v>
      </c>
      <c r="AB17" s="26">
        <f>AA17/W17-1</f>
        <v>3.372063381927426</v>
      </c>
      <c r="AC17" s="27">
        <f>Z17-V17</f>
        <v>6814678.631339447</v>
      </c>
      <c r="AD17" s="26">
        <v>0.246</v>
      </c>
      <c r="AE17" s="28">
        <v>0.4</v>
      </c>
    </row>
    <row r="18" ht="20.05" customHeight="1">
      <c r="A18" t="s" s="19">
        <v>53</v>
      </c>
      <c r="B18" s="20">
        <v>1408.159</v>
      </c>
      <c r="C18" s="21">
        <v>6648</v>
      </c>
      <c r="D18" s="22">
        <f>C18/B18</f>
        <v>4.721057778276458</v>
      </c>
      <c r="E18" s="21">
        <f>6070+43</f>
        <v>6113</v>
      </c>
      <c r="F18" s="23">
        <f>E18/B18</f>
        <v>4.341129091246088</v>
      </c>
      <c r="G18" s="21">
        <v>14224690</v>
      </c>
      <c r="H18" s="22">
        <f>G18/B18</f>
        <v>10101.622046942142</v>
      </c>
      <c r="I18" s="21">
        <v>18139657</v>
      </c>
      <c r="J18" s="22">
        <f>I18/B18</f>
        <v>12881.824424656590</v>
      </c>
      <c r="K18" s="22">
        <f>J18/H18</f>
        <v>1.275223361633891</v>
      </c>
      <c r="L18" s="21">
        <v>4107665364628</v>
      </c>
      <c r="M18" s="21">
        <v>3537046781</v>
      </c>
      <c r="N18" s="21">
        <f>M18/B18</f>
        <v>2511823.438262298</v>
      </c>
      <c r="O18" s="24">
        <f>M18/L18</f>
        <v>0.0008610844523651511</v>
      </c>
      <c r="P18" s="21">
        <v>851096326369</v>
      </c>
      <c r="Q18" s="21">
        <v>310978556</v>
      </c>
      <c r="R18" s="21">
        <f>Q18/B18</f>
        <v>220840.5130386554</v>
      </c>
      <c r="S18" s="24">
        <f>Q18/P18</f>
        <v>0.0003653858515953371</v>
      </c>
      <c r="T18" s="21">
        <f>849095756626+4104784811657</f>
        <v>4953880568283</v>
      </c>
      <c r="U18" s="21">
        <f>42370531+1284731700</f>
        <v>1327102231</v>
      </c>
      <c r="V18" s="22">
        <f>U18/B18</f>
        <v>942437.7722970204</v>
      </c>
      <c r="W18" s="25">
        <f>U18/T18</f>
        <v>0.000267891446454465</v>
      </c>
      <c r="X18" s="21">
        <f>L18+P18</f>
        <v>4958761690997</v>
      </c>
      <c r="Y18" s="21">
        <f>Q18+M18</f>
        <v>3848025337</v>
      </c>
      <c r="Z18" s="22">
        <f>R18+N18</f>
        <v>2732663.951300954</v>
      </c>
      <c r="AA18" s="25">
        <f>Y18/X18</f>
        <v>0.000776005296642179</v>
      </c>
      <c r="AB18" s="26">
        <f>AA18/W18-1</f>
        <v>1.896715467823199</v>
      </c>
      <c r="AC18" s="27">
        <f>Z18-V18</f>
        <v>1790226.179003933</v>
      </c>
      <c r="AD18" s="26">
        <v>0.03</v>
      </c>
      <c r="AE18" s="28">
        <v>0.08</v>
      </c>
    </row>
    <row r="19" ht="20.05" customHeight="1">
      <c r="A19" t="s" s="19">
        <v>54</v>
      </c>
      <c r="B19" s="20">
        <v>1287.433</v>
      </c>
      <c r="C19" s="21">
        <v>19600</v>
      </c>
      <c r="D19" s="22">
        <f>C19/B19</f>
        <v>15.22409321494789</v>
      </c>
      <c r="E19" s="21">
        <f>16520+42</f>
        <v>16562</v>
      </c>
      <c r="F19" s="23">
        <f>E19/B19</f>
        <v>12.86435876663096</v>
      </c>
      <c r="G19" s="21">
        <v>135155562</v>
      </c>
      <c r="H19" s="22">
        <f>G19/B19</f>
        <v>104980.6568574831</v>
      </c>
      <c r="I19" s="21">
        <v>150452346</v>
      </c>
      <c r="J19" s="22">
        <f>I19/B19</f>
        <v>116862.272444469</v>
      </c>
      <c r="K19" s="22">
        <f>J19/H19</f>
        <v>1.113179093584029</v>
      </c>
      <c r="L19" s="21">
        <v>2736899807457</v>
      </c>
      <c r="M19" s="21">
        <v>28566659788</v>
      </c>
      <c r="N19" s="21">
        <f>M19/B19</f>
        <v>22188851.60470487</v>
      </c>
      <c r="O19" s="24">
        <f>M19/L19</f>
        <v>0.01043759793842903</v>
      </c>
      <c r="P19" s="21">
        <v>1750443362680</v>
      </c>
      <c r="Q19" s="21">
        <v>2102953978</v>
      </c>
      <c r="R19" s="21">
        <f>Q19/B19</f>
        <v>1633447.315704973</v>
      </c>
      <c r="S19" s="24">
        <f>Q19/P19</f>
        <v>0.001201383616765693</v>
      </c>
      <c r="T19" s="21">
        <f>1741041566361+2720999730437</f>
        <v>4462041296798</v>
      </c>
      <c r="U19" s="21">
        <f>172035344+1545789262</f>
        <v>1717824606</v>
      </c>
      <c r="V19" s="22">
        <f>U19/B19</f>
        <v>1334302.139218119</v>
      </c>
      <c r="W19" s="25">
        <f>U19/T19</f>
        <v>0.0003849862634020725</v>
      </c>
      <c r="X19" s="21">
        <f>L19+P19</f>
        <v>4487343170137</v>
      </c>
      <c r="Y19" s="21">
        <f>Q19+M19</f>
        <v>30669613766</v>
      </c>
      <c r="Z19" s="22">
        <f>R19+N19</f>
        <v>23822298.92040984</v>
      </c>
      <c r="AA19" s="25">
        <f>Y19/X19</f>
        <v>0.006834693181057433</v>
      </c>
      <c r="AB19" s="26">
        <f>AA19/W19-1</f>
        <v>16.75308324162051</v>
      </c>
      <c r="AC19" s="27">
        <f>Z19-V19</f>
        <v>22487996.78119172</v>
      </c>
      <c r="AD19" s="26">
        <v>0.198</v>
      </c>
      <c r="AE19" s="28">
        <v>3.05</v>
      </c>
    </row>
  </sheetData>
  <mergeCells count="1">
    <mergeCell ref="A1:AE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