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K:\0_THIS_WEEK\Ed\"/>
    </mc:Choice>
  </mc:AlternateContent>
  <xr:revisionPtr revIDLastSave="0" documentId="13_ncr:1_{99D469A8-D635-4CBF-848F-6365568A9BFA}" xr6:coauthVersionLast="36" xr6:coauthVersionMax="36" xr10:uidLastSave="{00000000-0000-0000-0000-000000000000}"/>
  <bookViews>
    <workbookView xWindow="0" yWindow="1950" windowWidth="28800" windowHeight="12360" xr2:uid="{D4D09B08-1B5A-415F-AC9D-0797AC3B3943}"/>
  </bookViews>
  <sheets>
    <sheet name="CALUCLATIONS" sheetId="2" r:id="rId1"/>
    <sheet name="extras" sheetId="3" r:id="rId2"/>
    <sheet name="initial" sheetId="8" r:id="rId3"/>
    <sheet name="K data" sheetId="9" r:id="rId4"/>
  </sheets>
  <externalReferences>
    <externalReference r:id="rId5"/>
  </externalReferences>
  <definedNames>
    <definedName name="A">CALUCLATIONS!$H$2</definedName>
    <definedName name="Al">CALUCLATIONS!$F$17</definedName>
    <definedName name="B">CALUCLATIONS!$I$2</definedName>
    <definedName name="Bdot">CALUCLATIONS!$M$1</definedName>
    <definedName name="Ca">CALUCLATIONS!$F$14</definedName>
    <definedName name="Cl">CALUCLATIONS!$F$9</definedName>
    <definedName name="Cl_">CALUCLATIONS!$F$9</definedName>
    <definedName name="Cl_C">CALUCLATIONS!$F$9</definedName>
    <definedName name="Fe">CALUCLATIONS!$F$15</definedName>
    <definedName name="H">CALUCLATIONS!$F$8</definedName>
    <definedName name="I">CALUCLATIONS!$K$2</definedName>
    <definedName name="K">CALUCLATIONS!$F$12</definedName>
    <definedName name="Mg">CALUCLATIONS!$F$16</definedName>
    <definedName name="Na">CALUCLATIONS!$F$11</definedName>
    <definedName name="NaCl">CALUCLATIONS!$P$10</definedName>
    <definedName name="OH">[1]Calculate!$C$3</definedName>
    <definedName name="Pressure">CALUCLATIONS!$E$2</definedName>
    <definedName name="SiO2_">CALUCLATIONS!$F$13</definedName>
    <definedName name="SO4_">CALUCLATIONS!$F$10</definedName>
    <definedName name="SO4_C">CALUCLATIONS!$F$10</definedName>
    <definedName name="Temperature">CALUCLATIONS!$F$2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2" i="8" l="1"/>
  <c r="V38" i="3" l="1"/>
  <c r="B38" i="3"/>
  <c r="B32" i="3"/>
  <c r="L7" i="3"/>
  <c r="L6" i="3"/>
  <c r="L5" i="3"/>
  <c r="L4" i="3"/>
  <c r="D4" i="3" l="1"/>
  <c r="D5" i="3"/>
  <c r="D7" i="3"/>
  <c r="H2" i="2"/>
  <c r="L28" i="9" l="1"/>
  <c r="P10" i="9"/>
  <c r="D14" i="9"/>
  <c r="E8" i="8"/>
  <c r="F8" i="8" s="1"/>
  <c r="E14" i="8"/>
  <c r="E15" i="8"/>
  <c r="E16" i="8"/>
  <c r="E17" i="8"/>
  <c r="E18" i="8"/>
  <c r="E19" i="8"/>
  <c r="E20" i="8"/>
  <c r="E21" i="8"/>
  <c r="E23" i="8"/>
  <c r="E25" i="8"/>
  <c r="E26" i="8"/>
  <c r="J15" i="9"/>
  <c r="T29" i="9" l="1"/>
  <c r="B71" i="3"/>
  <c r="B70" i="3"/>
  <c r="B68" i="3"/>
  <c r="T32" i="9"/>
  <c r="T33" i="9"/>
  <c r="T34" i="9"/>
  <c r="B39" i="3"/>
  <c r="B37" i="3"/>
  <c r="B36" i="3"/>
  <c r="B35" i="3"/>
  <c r="G13" i="9" l="1"/>
  <c r="G10" i="9"/>
  <c r="G9" i="9"/>
  <c r="L14" i="9"/>
  <c r="J11" i="9"/>
  <c r="K10" i="9"/>
  <c r="J10" i="9"/>
  <c r="J9" i="9"/>
  <c r="J12" i="9" s="1"/>
  <c r="K8" i="9"/>
  <c r="J8" i="9"/>
  <c r="K7" i="9"/>
  <c r="J7" i="9"/>
  <c r="K6" i="9"/>
  <c r="J6" i="9"/>
  <c r="K5" i="9"/>
  <c r="K14" i="9" s="1"/>
  <c r="F5" i="9"/>
  <c r="G6" i="9" s="1"/>
  <c r="G5" i="9" s="1"/>
  <c r="B99" i="3"/>
  <c r="B98" i="3"/>
  <c r="B96" i="3"/>
  <c r="V31" i="3"/>
  <c r="V39" i="3"/>
  <c r="V29" i="3"/>
  <c r="V37" i="3"/>
  <c r="V28" i="3"/>
  <c r="V36" i="3"/>
  <c r="V27" i="3"/>
  <c r="V35" i="3"/>
  <c r="B85" i="3"/>
  <c r="B84" i="3"/>
  <c r="B82" i="3"/>
  <c r="T41" i="9"/>
  <c r="T40" i="9"/>
  <c r="T39" i="9"/>
  <c r="M39" i="9"/>
  <c r="S38" i="9"/>
  <c r="T36" i="9"/>
  <c r="T35" i="9"/>
  <c r="T31" i="9"/>
  <c r="M31" i="9"/>
  <c r="T30" i="9"/>
  <c r="M30" i="9"/>
  <c r="M29" i="9"/>
  <c r="T27" i="9"/>
  <c r="S27" i="9"/>
  <c r="R27" i="9"/>
  <c r="Q27" i="9"/>
  <c r="P27" i="9"/>
  <c r="O27" i="9"/>
  <c r="N27" i="9"/>
  <c r="M27" i="9"/>
  <c r="L27" i="9"/>
  <c r="K27" i="9"/>
  <c r="T20" i="9"/>
  <c r="D13" i="9"/>
  <c r="D12" i="9"/>
  <c r="D46" i="3" l="1"/>
  <c r="E7" i="8"/>
  <c r="T23" i="9"/>
  <c r="T24" i="9"/>
  <c r="E11" i="8" s="1"/>
  <c r="T26" i="9"/>
  <c r="E13" i="8" s="1"/>
  <c r="J14" i="9"/>
  <c r="T22" i="9"/>
  <c r="E9" i="8" s="1"/>
  <c r="T25" i="9"/>
  <c r="B67" i="3" l="1"/>
  <c r="N37" i="9"/>
  <c r="O37" i="9"/>
  <c r="M37" i="9"/>
  <c r="P37" i="9"/>
  <c r="K5" i="3" s="1"/>
  <c r="T37" i="9"/>
  <c r="E24" i="8" s="1"/>
  <c r="F24" i="8" s="1"/>
  <c r="Q37" i="9"/>
  <c r="R37" i="9"/>
  <c r="K37" i="9"/>
  <c r="F5" i="3" s="1"/>
  <c r="S37" i="9"/>
  <c r="L37" i="9"/>
  <c r="W4" i="8"/>
  <c r="X4" i="8" s="1"/>
  <c r="F23" i="8"/>
  <c r="F25" i="8"/>
  <c r="F26" i="8"/>
  <c r="F7" i="8"/>
  <c r="E22" i="8" l="1"/>
  <c r="L25" i="9"/>
  <c r="M25" i="9"/>
  <c r="J25" i="9"/>
  <c r="S25" i="9"/>
  <c r="V30" i="3" s="1"/>
  <c r="C40" i="2" s="1"/>
  <c r="E10" i="8" l="1"/>
  <c r="G7" i="3"/>
  <c r="G6" i="3"/>
  <c r="G5" i="3"/>
  <c r="G4" i="3"/>
  <c r="F9" i="8" l="1"/>
  <c r="F10" i="8"/>
  <c r="F11" i="8"/>
  <c r="E7" i="3" l="1"/>
  <c r="F7" i="3"/>
  <c r="H7" i="3"/>
  <c r="I7" i="3"/>
  <c r="J7" i="3"/>
  <c r="K7" i="3"/>
  <c r="D6" i="3"/>
  <c r="B33" i="3"/>
  <c r="E6" i="3"/>
  <c r="F6" i="3"/>
  <c r="H6" i="3"/>
  <c r="I6" i="3"/>
  <c r="J6" i="3"/>
  <c r="K6" i="3"/>
  <c r="B31" i="3"/>
  <c r="B30" i="3"/>
  <c r="B29" i="3"/>
  <c r="F9" i="2"/>
  <c r="F14" i="8" l="1"/>
  <c r="C37" i="2"/>
  <c r="N17" i="8"/>
  <c r="N19" i="8"/>
  <c r="N11" i="8"/>
  <c r="N18" i="8"/>
  <c r="N12" i="8"/>
  <c r="N10" i="8"/>
  <c r="C34" i="2" l="1"/>
  <c r="O11" i="8"/>
  <c r="O10" i="8"/>
  <c r="M1" i="2"/>
  <c r="F13" i="2"/>
  <c r="F18" i="8" s="1"/>
  <c r="O18" i="8" s="1"/>
  <c r="B50" i="3"/>
  <c r="B49" i="3"/>
  <c r="F46" i="3"/>
  <c r="B51" i="3" l="1"/>
  <c r="N24" i="8"/>
  <c r="T11" i="8"/>
  <c r="N23" i="8"/>
  <c r="S4" i="8"/>
  <c r="T13" i="8" s="1"/>
  <c r="F16" i="2"/>
  <c r="H4" i="3"/>
  <c r="I4" i="3"/>
  <c r="J4" i="3"/>
  <c r="K4" i="3"/>
  <c r="E4" i="3"/>
  <c r="F4" i="3"/>
  <c r="E5" i="3"/>
  <c r="H5" i="3"/>
  <c r="I5" i="3"/>
  <c r="J5" i="3"/>
  <c r="F8" i="2"/>
  <c r="I8" i="2" s="1"/>
  <c r="F12" i="2"/>
  <c r="I12" i="2" s="1"/>
  <c r="F11" i="2"/>
  <c r="I11" i="2" s="1"/>
  <c r="F10" i="2"/>
  <c r="F14" i="2"/>
  <c r="I10" i="2" l="1"/>
  <c r="N7" i="8"/>
  <c r="O7" i="8" s="1"/>
  <c r="I16" i="2"/>
  <c r="F21" i="8"/>
  <c r="F12" i="8"/>
  <c r="O12" i="8" s="1"/>
  <c r="F16" i="8"/>
  <c r="F15" i="8"/>
  <c r="F13" i="8"/>
  <c r="F19" i="8"/>
  <c r="O19" i="8" s="1"/>
  <c r="F17" i="8"/>
  <c r="O17" i="8" s="1"/>
  <c r="B69" i="3"/>
  <c r="B97" i="3"/>
  <c r="B83" i="3"/>
  <c r="O14" i="8"/>
  <c r="O25" i="8"/>
  <c r="I23" i="8"/>
  <c r="J23" i="8" s="1"/>
  <c r="I12" i="8"/>
  <c r="I8" i="8"/>
  <c r="J8" i="8" s="1"/>
  <c r="I22" i="8"/>
  <c r="I18" i="8"/>
  <c r="J18" i="8" s="1"/>
  <c r="I19" i="8"/>
  <c r="I15" i="8"/>
  <c r="I21" i="8"/>
  <c r="I10" i="8"/>
  <c r="J10" i="8" s="1"/>
  <c r="I14" i="8"/>
  <c r="J14" i="8" s="1"/>
  <c r="I24" i="8"/>
  <c r="J24" i="8" s="1"/>
  <c r="I7" i="8"/>
  <c r="J7" i="8" s="1"/>
  <c r="I11" i="8"/>
  <c r="J11" i="8" s="1"/>
  <c r="I9" i="8"/>
  <c r="J9" i="8" s="1"/>
  <c r="I13" i="8"/>
  <c r="I20" i="8"/>
  <c r="I17" i="8"/>
  <c r="I16" i="8"/>
  <c r="O23" i="8"/>
  <c r="I13" i="2" s="1"/>
  <c r="N8" i="8"/>
  <c r="N26" i="8"/>
  <c r="N15" i="8"/>
  <c r="N16" i="8"/>
  <c r="N9" i="8"/>
  <c r="O9" i="8" s="1"/>
  <c r="O24" i="8"/>
  <c r="I14" i="2" s="1"/>
  <c r="C31" i="2"/>
  <c r="J17" i="8" l="1"/>
  <c r="J21" i="8"/>
  <c r="O21" i="8"/>
  <c r="J15" i="8"/>
  <c r="J13" i="8"/>
  <c r="J12" i="8"/>
  <c r="O13" i="8"/>
  <c r="J19" i="8"/>
  <c r="J16" i="8"/>
  <c r="B81" i="3"/>
  <c r="B95" i="3" s="1"/>
  <c r="O26" i="8"/>
  <c r="O8" i="8"/>
  <c r="O16" i="8"/>
  <c r="O15" i="8"/>
  <c r="I2" i="2"/>
  <c r="B46" i="3"/>
  <c r="B47" i="3" s="1"/>
  <c r="B55" i="3" s="1"/>
  <c r="B57" i="3" l="1"/>
  <c r="F15" i="2" l="1"/>
  <c r="I15" i="2" s="1"/>
  <c r="F17" i="2"/>
  <c r="U1" i="2" s="1"/>
  <c r="I17" i="2" l="1"/>
  <c r="Q1" i="2" s="1"/>
  <c r="Q2" i="2" s="1"/>
  <c r="I9" i="2" s="1"/>
  <c r="F22" i="8"/>
  <c r="F20" i="8"/>
  <c r="U2" i="2"/>
  <c r="I26" i="8"/>
  <c r="J26" i="8" s="1"/>
  <c r="I25" i="8"/>
  <c r="J25" i="8" s="1"/>
  <c r="O20" i="8" l="1"/>
  <c r="J20" i="8"/>
  <c r="O22" i="8"/>
  <c r="J22" i="8"/>
  <c r="B48" i="3"/>
  <c r="B56" i="3" s="1"/>
  <c r="K2" i="2" l="1"/>
  <c r="B99" i="2"/>
  <c r="B52" i="3"/>
  <c r="B58" i="3" s="1"/>
  <c r="C32" i="2" s="1"/>
  <c r="J14" i="2" l="1"/>
  <c r="K14" i="2" s="1"/>
  <c r="J15" i="2"/>
  <c r="K15" i="2" s="1"/>
  <c r="J16" i="2"/>
  <c r="K16" i="2" s="1"/>
  <c r="J8" i="2"/>
  <c r="K8" i="2" s="1"/>
  <c r="J12" i="2"/>
  <c r="K12" i="2" s="1"/>
  <c r="J9" i="2"/>
  <c r="K9" i="2" s="1"/>
  <c r="J17" i="2"/>
  <c r="K17" i="2" s="1"/>
  <c r="J11" i="2"/>
  <c r="K11" i="2" s="1"/>
  <c r="J7" i="2"/>
  <c r="K7" i="2" s="1"/>
  <c r="J13" i="2"/>
  <c r="K13" i="2" s="1"/>
  <c r="J10" i="2"/>
  <c r="K10" i="2" s="1"/>
  <c r="B100" i="3" l="1"/>
  <c r="B91" i="3" s="1"/>
  <c r="C41" i="2" s="1"/>
  <c r="B72" i="3"/>
  <c r="B86" i="3"/>
  <c r="B77" i="3" s="1"/>
  <c r="C38" i="2" s="1"/>
  <c r="B65" i="3" l="1"/>
  <c r="C35" i="2" s="1"/>
</calcChain>
</file>

<file path=xl/sharedStrings.xml><?xml version="1.0" encoding="utf-8"?>
<sst xmlns="http://schemas.openxmlformats.org/spreadsheetml/2006/main" count="340" uniqueCount="160">
  <si>
    <t>NAME</t>
  </si>
  <si>
    <t>#</t>
  </si>
  <si>
    <t>Klog</t>
  </si>
  <si>
    <t>Ionic size</t>
  </si>
  <si>
    <t>10^-8</t>
  </si>
  <si>
    <t>NaCl</t>
  </si>
  <si>
    <t>H2O</t>
  </si>
  <si>
    <t>names=c(</t>
  </si>
  <si>
    <t>"NaSO4"</t>
  </si>
  <si>
    <t>"HSO4"</t>
  </si>
  <si>
    <t>"KSO4"</t>
  </si>
  <si>
    <t>"NaCl"</t>
  </si>
  <si>
    <t>"KCl"</t>
  </si>
  <si>
    <t>"HCl"</t>
  </si>
  <si>
    <t>"KOH"</t>
  </si>
  <si>
    <t>"NaOH"</t>
  </si>
  <si>
    <t>"CaSO4"</t>
  </si>
  <si>
    <t>"MgSO4"</t>
  </si>
  <si>
    <t>"MgCl"</t>
  </si>
  <si>
    <t>"CaCl"</t>
  </si>
  <si>
    <t>"CaCl2"</t>
  </si>
  <si>
    <t>"MgOH"</t>
  </si>
  <si>
    <t>"CaOH"</t>
  </si>
  <si>
    <t>"H2O"</t>
  </si>
  <si>
    <t>"Na"</t>
  </si>
  <si>
    <t>"SO4"</t>
  </si>
  <si>
    <t>"H"</t>
  </si>
  <si>
    <t>"Ca"</t>
  </si>
  <si>
    <t>"Mg"</t>
  </si>
  <si>
    <t>"Cl"</t>
  </si>
  <si>
    <t>"OH"</t>
  </si>
  <si>
    <t>"K"</t>
  </si>
  <si>
    <t>c</t>
  </si>
  <si>
    <t>)</t>
  </si>
  <si>
    <t>number=c(</t>
  </si>
  <si>
    <t>species=c(</t>
  </si>
  <si>
    <t>K=c(</t>
  </si>
  <si>
    <t>a=c(</t>
  </si>
  <si>
    <t>number</t>
  </si>
  <si>
    <t>H+</t>
  </si>
  <si>
    <t>OH-</t>
  </si>
  <si>
    <t>pH</t>
  </si>
  <si>
    <t>mol/Kg</t>
  </si>
  <si>
    <t>SiO2</t>
  </si>
  <si>
    <t>Ca</t>
  </si>
  <si>
    <t>mass (g)</t>
  </si>
  <si>
    <t>Fe</t>
  </si>
  <si>
    <t>Mg</t>
  </si>
  <si>
    <t>Al</t>
  </si>
  <si>
    <t>Cl</t>
  </si>
  <si>
    <t>SO4</t>
  </si>
  <si>
    <t>Na</t>
  </si>
  <si>
    <t>K</t>
  </si>
  <si>
    <t>mg/Kg</t>
  </si>
  <si>
    <t>Balance against Cl</t>
  </si>
  <si>
    <t>Cl moles adjusted to:</t>
  </si>
  <si>
    <t>Ionic</t>
  </si>
  <si>
    <t>state</t>
  </si>
  <si>
    <t>chemsolve_generic(solvent = c("H", "OH"), solvcharge = c("1", "-1"),</t>
  </si>
  <si>
    <t>A</t>
  </si>
  <si>
    <t>B</t>
  </si>
  <si>
    <t>A =</t>
  </si>
  <si>
    <t>B =</t>
  </si>
  <si>
    <t>start = c(</t>
  </si>
  <si>
    <t>, maxitr = 100, bal = "Cl", prod = products)</t>
  </si>
  <si>
    <t>"OH-"</t>
  </si>
  <si>
    <t>"H+"</t>
  </si>
  <si>
    <t>"Fe"</t>
  </si>
  <si>
    <t>"Al"</t>
  </si>
  <si>
    <t>"H4SiO4"</t>
  </si>
  <si>
    <t>"H3SiO4"</t>
  </si>
  <si>
    <t>species = c(</t>
  </si>
  <si>
    <t>charges = c(</t>
  </si>
  <si>
    <t>products &lt;- prods(names=c("NaSO4","HSO4","KSO4","NaCl","KCl","HCl","KOH","NaOH","CaSO4","MgSO4","MgCl","CaCl","CaCl2","MgOH","CaOH","FeCl","FeSO4","KHSO4"),number=c(2,2,2,2,2,2,2,2,2,2,2,2,3,2,2,2,2,3),species=c("Na","SO4","H","SO4","K","SO4","Na","Cl","K","Cl","H","Cl","K","OH","Na","OH","Ca","SO4","Mg","SO4","Mg","Cl","Ca","Cl","Ca","Cl","Cl","Mg","OH","Ca","OH","Fe","Cl","Fe","SO4","K","H","SO4"),K=c(-3.549,-7.444,-3.899,-1.737,-1.236,-2.689,-1.446,-1.164,-6.173,-6.014,-3.18,-3.692,-4.783,-6.149,-5.635,-3.367,-3.814, -8.701),a=c(4,4,4,0,0,0,0,0,0,0,8,6,0,8,6,6,0,0))</t>
  </si>
  <si>
    <t>chemsolve_generic(solvent = c("H", "OH"), solvcharge = c("1", "-1"),solva = c("9", "4"), Ksoln = -11.356, species = c("Na", "K", "Cl","SO4", "Ca", "Mg","Fe"), conc = c(0.4, 0.2, 0.8, 0.2, 0.1, 0.1,0.1), a = c(4, 3,3.5, 4, 6, 8,6), charges = c(1, 1, -1, -2, 2, 2,2), A = 1.8789,B = 0.423, Bdot = 0, start = c(1e-06, 1e-05, 0.3, 0.1, 0.3,0.01, 0.001, 0.02,1e-8), maxitr = 100, bal = "Cl", prod = products)</t>
  </si>
  <si>
    <t>solva = c(</t>
  </si>
  <si>
    <t>"4"</t>
  </si>
  <si>
    <t>"9"</t>
  </si>
  <si>
    <t xml:space="preserve"> Ksoln = </t>
  </si>
  <si>
    <t xml:space="preserve"> conc = c(</t>
  </si>
  <si>
    <t>"Cl","Cl"</t>
  </si>
  <si>
    <t>Balance against SO4</t>
  </si>
  <si>
    <t>SO4 moles adjusted to:</t>
  </si>
  <si>
    <t>-x</t>
  </si>
  <si>
    <t>"NaH3SiO4"</t>
  </si>
  <si>
    <t>(1)---&gt;</t>
  </si>
  <si>
    <t>(2)---&gt;</t>
  </si>
  <si>
    <t>"AlOH"</t>
  </si>
  <si>
    <t>"AlSO4"</t>
  </si>
  <si>
    <t>chemsolve_generic(solvent = c("H", "OH"), solvcharge = c("1", "-1"),solva = c("9", "4"), Ksoln = -11.356, species, conc, a, charges, prod, A, B, Bdot = 0, start, maxitr = 100, bal = "Cl")</t>
  </si>
  <si>
    <t xml:space="preserve">chemsolve_generic(solvent = c("H", "OH"), solvcharge = c("1", "-1"),solva = c("9", "4"), </t>
  </si>
  <si>
    <t>logKb</t>
  </si>
  <si>
    <t>SILICIC ACID IONIZATION AND CALCULATION OF SILICA SOLUBILITY AT ELEVATED TEMPERATURE AND pH APPLICATION TO GEOTHERMAL FLUID PROCESSING AND REINJECTION B. A. FLEMING*~: and D. A. CRERARI" Geothermics, Vol. II, No. l, pp. 15-29, 1982. Printed in Great Britain.</t>
  </si>
  <si>
    <t>Seward, 1974 T.M. Seward Determination of the first ionization constant of silicic acid from quartz solubility in borate buffer solutions to 350°C</t>
  </si>
  <si>
    <t xml:space="preserve">I </t>
  </si>
  <si>
    <t>g</t>
  </si>
  <si>
    <t>Bdot is zero 
at T&gt;299</t>
  </si>
  <si>
    <t xml:space="preserve">Bdot = </t>
  </si>
  <si>
    <t>,</t>
  </si>
  <si>
    <t>X(Initial)</t>
  </si>
  <si>
    <t>Conc. TOTAL</t>
  </si>
  <si>
    <t>a = x* γ</t>
  </si>
  <si>
    <t>Balance against</t>
  </si>
  <si>
    <t>exclude Al</t>
  </si>
  <si>
    <t>, maxitr = 100,</t>
  </si>
  <si>
    <t xml:space="preserve"> bal = </t>
  </si>
  <si>
    <t>, prod = products)</t>
  </si>
  <si>
    <t>"</t>
  </si>
  <si>
    <t>exclude:</t>
  </si>
  <si>
    <t>SiO2 and Al</t>
  </si>
  <si>
    <t>and SiO2</t>
  </si>
  <si>
    <t>Al, SiO2</t>
  </si>
  <si>
    <t>none</t>
  </si>
  <si>
    <t>example</t>
  </si>
  <si>
    <t>Kb</t>
  </si>
  <si>
    <t>x</t>
  </si>
  <si>
    <t>[H+]</t>
  </si>
  <si>
    <t>[H3SiO4]</t>
  </si>
  <si>
    <t>K=</t>
  </si>
  <si>
    <t>[H4SiO4]</t>
  </si>
  <si>
    <t>x^2</t>
  </si>
  <si>
    <t>x=</t>
  </si>
  <si>
    <t>write Cl, SO4 or NULL:</t>
  </si>
  <si>
    <t>TEMP/C</t>
  </si>
  <si>
    <t>Pressure/Bar</t>
  </si>
  <si>
    <t>logK</t>
  </si>
  <si>
    <t>=a+b/T+c/T^2+d/T^3+klogp</t>
  </si>
  <si>
    <t>Hcl</t>
  </si>
  <si>
    <t>a</t>
  </si>
  <si>
    <t>b</t>
  </si>
  <si>
    <t>d</t>
  </si>
  <si>
    <t>e</t>
  </si>
  <si>
    <t>f</t>
  </si>
  <si>
    <t>k</t>
  </si>
  <si>
    <t xml:space="preserve">density </t>
  </si>
  <si>
    <t>density</t>
  </si>
  <si>
    <t>C</t>
  </si>
  <si>
    <t>D</t>
  </si>
  <si>
    <t>water</t>
  </si>
  <si>
    <t>g/cm3</t>
  </si>
  <si>
    <t>=a+b/T+cP+d/T^2+eP/T+fP^2</t>
  </si>
  <si>
    <t>The ion-pair constant and other thermodynamic properties of HCl up to 350°C/ J. R. RUAYA’and T. M. SEWAR</t>
  </si>
  <si>
    <t>Electrical Conductivity Measurements of Aqueous Sodium Chloride Solutions to 600~ and 300 Mpa/ Patience C. Ho, ',2 Donald A. Palmer, 1 and Robert E. Mesmer 1 R</t>
  </si>
  <si>
    <t>log K</t>
  </si>
  <si>
    <t>total</t>
  </si>
  <si>
    <t>initial</t>
  </si>
  <si>
    <t>EXAMPLE</t>
  </si>
  <si>
    <t xml:space="preserve">γ </t>
  </si>
  <si>
    <t>NaCL</t>
  </si>
  <si>
    <t>logk</t>
  </si>
  <si>
    <t>only</t>
  </si>
  <si>
    <t>Marshall and Franck</t>
  </si>
  <si>
    <t>E</t>
  </si>
  <si>
    <t>F</t>
  </si>
  <si>
    <t>G</t>
  </si>
  <si>
    <t>saturated pres</t>
  </si>
  <si>
    <t>The generator does not include Fe at this stage. K values are taken from different sorces and can be changed in the "K data" sheet. K values are only for certain temperatures, you need to supply your own K values for different temperatures than these listed in "K data" sheet. At this stage function with pressure does not work.</t>
  </si>
  <si>
    <t>different temp</t>
  </si>
  <si>
    <t>↓</t>
  </si>
  <si>
    <t>YOUR TEMPERATURE K DATA LOG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</si>
</sst>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E+00"/>
    <numFmt numFmtId="165" formatCode="0.000"/>
    <numFmt numFmtId="166" formatCode="0.0000"/>
    <numFmt numFmtId="167" formatCode="0.000000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222222"/>
      <name val="Arial"/>
      <family val="2"/>
    </font>
    <font>
      <b/>
      <i/>
      <sz val="11"/>
      <color rgb="FFFF0000"/>
      <name val="Calibri"/>
      <family val="2"/>
      <scheme val="minor"/>
    </font>
    <font>
      <sz val="22"/>
      <color rgb="FF424242"/>
      <name val="Lucida Sans Unicode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ck">
        <color rgb="FFFF0000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medium">
        <color rgb="FFEBEBEB"/>
      </bottom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2" fillId="0" borderId="0" xfId="0" applyFont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0" xfId="0" applyAlignment="1">
      <alignment horizontal="right"/>
    </xf>
    <xf numFmtId="11" fontId="0" fillId="0" borderId="0" xfId="0" applyNumberFormat="1"/>
    <xf numFmtId="164" fontId="0" fillId="0" borderId="0" xfId="0" applyNumberFormat="1"/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/>
    </xf>
    <xf numFmtId="0" fontId="3" fillId="0" borderId="0" xfId="0" applyFont="1" applyAlignment="1">
      <alignment horizontal="right"/>
    </xf>
    <xf numFmtId="0" fontId="0" fillId="0" borderId="7" xfId="0" applyBorder="1" applyAlignment="1">
      <alignment horizontal="center"/>
    </xf>
    <xf numFmtId="11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/>
    </xf>
    <xf numFmtId="165" fontId="0" fillId="0" borderId="0" xfId="0" applyNumberFormat="1"/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167" fontId="0" fillId="0" borderId="0" xfId="0" applyNumberFormat="1"/>
    <xf numFmtId="0" fontId="0" fillId="0" borderId="12" xfId="0" applyBorder="1"/>
    <xf numFmtId="0" fontId="0" fillId="0" borderId="13" xfId="0" applyBorder="1"/>
    <xf numFmtId="0" fontId="2" fillId="0" borderId="0" xfId="0" applyFont="1" applyAlignment="1">
      <alignment horizontal="center"/>
    </xf>
    <xf numFmtId="166" fontId="0" fillId="2" borderId="8" xfId="0" applyNumberFormat="1" applyFill="1" applyBorder="1" applyAlignment="1">
      <alignment horizontal="center" vertical="center"/>
    </xf>
    <xf numFmtId="166" fontId="0" fillId="2" borderId="10" xfId="0" applyNumberFormat="1" applyFill="1" applyBorder="1" applyAlignment="1">
      <alignment horizontal="center" vertical="center"/>
    </xf>
    <xf numFmtId="0" fontId="1" fillId="0" borderId="0" xfId="0" applyFont="1"/>
    <xf numFmtId="165" fontId="1" fillId="0" borderId="0" xfId="0" applyNumberFormat="1" applyFont="1" applyAlignment="1"/>
    <xf numFmtId="0" fontId="1" fillId="0" borderId="0" xfId="0" applyNumberFormat="1" applyFont="1" applyAlignment="1"/>
    <xf numFmtId="0" fontId="1" fillId="0" borderId="0" xfId="0" applyFont="1" applyAlignment="1"/>
    <xf numFmtId="49" fontId="0" fillId="0" borderId="0" xfId="0" applyNumberFormat="1"/>
    <xf numFmtId="165" fontId="0" fillId="2" borderId="7" xfId="0" applyNumberFormat="1" applyFill="1" applyBorder="1" applyAlignment="1">
      <alignment horizontal="center"/>
    </xf>
    <xf numFmtId="165" fontId="0" fillId="2" borderId="10" xfId="0" applyNumberForma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right"/>
    </xf>
    <xf numFmtId="0" fontId="2" fillId="3" borderId="6" xfId="0" applyFont="1" applyFill="1" applyBorder="1" applyAlignment="1">
      <alignment horizontal="right"/>
    </xf>
    <xf numFmtId="0" fontId="2" fillId="3" borderId="8" xfId="0" applyFont="1" applyFill="1" applyBorder="1" applyAlignment="1">
      <alignment horizontal="right"/>
    </xf>
    <xf numFmtId="165" fontId="0" fillId="3" borderId="2" xfId="0" applyNumberForma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3" fillId="0" borderId="0" xfId="0" applyFont="1"/>
    <xf numFmtId="11" fontId="3" fillId="0" borderId="0" xfId="0" applyNumberFormat="1" applyFont="1"/>
    <xf numFmtId="0" fontId="0" fillId="0" borderId="15" xfId="0" applyBorder="1"/>
    <xf numFmtId="49" fontId="2" fillId="3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10" xfId="0" applyNumberFormat="1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49" fontId="0" fillId="0" borderId="10" xfId="0" applyNumberFormat="1" applyBorder="1" applyAlignment="1">
      <alignment horizontal="center" vertical="center"/>
    </xf>
    <xf numFmtId="166" fontId="0" fillId="0" borderId="5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0" fontId="2" fillId="0" borderId="9" xfId="0" applyFont="1" applyBorder="1"/>
    <xf numFmtId="166" fontId="2" fillId="0" borderId="10" xfId="0" applyNumberFormat="1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65" fontId="2" fillId="0" borderId="0" xfId="0" applyNumberFormat="1" applyFont="1" applyAlignment="1">
      <alignment horizontal="center"/>
    </xf>
    <xf numFmtId="0" fontId="0" fillId="5" borderId="0" xfId="0" applyFill="1"/>
    <xf numFmtId="0" fontId="1" fillId="5" borderId="0" xfId="0" applyFont="1" applyFill="1" applyAlignment="1">
      <alignment horizontal="right"/>
    </xf>
    <xf numFmtId="0" fontId="1" fillId="5" borderId="0" xfId="0" applyFont="1" applyFill="1"/>
    <xf numFmtId="0" fontId="0" fillId="5" borderId="0" xfId="0" applyFill="1" applyAlignment="1">
      <alignment horizontal="right"/>
    </xf>
    <xf numFmtId="0" fontId="5" fillId="3" borderId="3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8" xfId="0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7" fillId="0" borderId="0" xfId="0" applyFont="1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ucjans\Desktop\pH_HT_Fina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ulate"/>
      <sheetName val="Species"/>
      <sheetName val="Equations"/>
      <sheetName val="LogK &amp; T"/>
      <sheetName val="Array"/>
      <sheetName val="Instructions"/>
      <sheetName val="1stderiv"/>
    </sheetNames>
    <sheetDataSet>
      <sheetData sheetId="0">
        <row r="3">
          <cell r="C3">
            <v>1.0000000000000001E-5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B318A-5F28-44BF-85E3-66F457FE9B7A}">
  <dimension ref="A1:AB99"/>
  <sheetViews>
    <sheetView tabSelected="1" workbookViewId="0">
      <selection activeCell="O23" sqref="O23"/>
    </sheetView>
  </sheetViews>
  <sheetFormatPr defaultRowHeight="15" x14ac:dyDescent="0.25"/>
  <cols>
    <col min="1" max="1" width="12.42578125" customWidth="1"/>
    <col min="2" max="2" width="11.42578125" customWidth="1"/>
    <col min="3" max="3" width="12" customWidth="1"/>
    <col min="5" max="5" width="15.28515625" customWidth="1"/>
    <col min="6" max="6" width="19.140625" customWidth="1"/>
    <col min="9" max="9" width="14" customWidth="1"/>
    <col min="10" max="10" width="12" bestFit="1" customWidth="1"/>
    <col min="12" max="12" width="10.85546875" customWidth="1"/>
    <col min="14" max="14" width="12" bestFit="1" customWidth="1"/>
    <col min="22" max="22" width="9.5703125" bestFit="1" customWidth="1"/>
  </cols>
  <sheetData>
    <row r="1" spans="1:21" x14ac:dyDescent="0.25">
      <c r="A1" s="88" t="s">
        <v>102</v>
      </c>
      <c r="B1" s="89"/>
      <c r="C1" s="90"/>
      <c r="E1" s="53" t="s">
        <v>124</v>
      </c>
      <c r="F1" s="53" t="s">
        <v>123</v>
      </c>
      <c r="H1" s="54" t="s">
        <v>59</v>
      </c>
      <c r="I1" s="48" t="s">
        <v>60</v>
      </c>
      <c r="K1" s="53" t="s">
        <v>94</v>
      </c>
      <c r="L1" s="84" t="s">
        <v>96</v>
      </c>
      <c r="M1" s="86">
        <f>+IF(Temperature&gt;299,0,IF(Temperature&lt;200,-0.00000030611*Temperature*Temperature+0.0001027*Temperature+0.038646,-0.0000028612*Temperature*Temperature+0.00094299*Temperature-0.026621))</f>
        <v>0</v>
      </c>
      <c r="O1" s="57" t="s">
        <v>54</v>
      </c>
      <c r="P1" s="57"/>
      <c r="Q1" s="58">
        <f>(ABS(B11)*I11)+(ABS(B11)*I8)+(ABS(B12)*I12)+(B16*I16)+(B14*I14)+(B17*I17)-((ABS(B9)*I7)+(ABS(B9)*Cl)+(ABS(B10)*I10)+(ABS(B13)*I13))</f>
        <v>-3.0230731682431775E-3</v>
      </c>
      <c r="S1" s="57" t="s">
        <v>81</v>
      </c>
      <c r="T1" s="57"/>
      <c r="U1" s="58">
        <f>(ABS(B11)*Na)+(ABS(B12)*K)+(B16*Mg)+(B14*Ca)+(B17*Al)-((ABS(B9)*Cl)+(ABS(B10)*SO4_)+(ABS(I13)*SiO2_))</f>
        <v>-2.9240731682431756E-3</v>
      </c>
    </row>
    <row r="2" spans="1:21" ht="15.75" thickBot="1" x14ac:dyDescent="0.3">
      <c r="A2" s="91" t="s">
        <v>122</v>
      </c>
      <c r="B2" s="92"/>
      <c r="C2" s="32" t="s">
        <v>49</v>
      </c>
      <c r="E2" s="34">
        <v>0</v>
      </c>
      <c r="F2" s="34">
        <v>300</v>
      </c>
      <c r="H2" s="39">
        <f>0.00000000041775*((Temperature+273.15)^4)-0.00000069009*((Temperature+273.15)^3)+0.00042737*((Temperature+273.15)^2)-0.11558*(Temperature+273.15)+11.975</f>
        <v>1.2720030760053529</v>
      </c>
      <c r="I2" s="40">
        <f>+(0.00025587*(Temperature+273.15)+0.2487)</f>
        <v>0.39535189049999997</v>
      </c>
      <c r="K2" s="52">
        <f>0.5*((I9*B9^2)+(I10*B10^2)+(I11*B11^2)+(I12*B12^2)+(F13*B13^2)+(I14*B14^2)+(I16*B16^2)+(I17*B17^2))</f>
        <v>4.7797870715208149E-2</v>
      </c>
      <c r="L2" s="85"/>
      <c r="M2" s="87"/>
      <c r="O2" s="57" t="s">
        <v>55</v>
      </c>
      <c r="P2" s="57"/>
      <c r="Q2" s="58">
        <f>Cl+Q1</f>
        <v>4.7748370715208148E-2</v>
      </c>
      <c r="S2" s="57" t="s">
        <v>82</v>
      </c>
      <c r="T2" s="57"/>
      <c r="U2" s="58">
        <f>F10+U1</f>
        <v>-2.9240731682431756E-3</v>
      </c>
    </row>
    <row r="3" spans="1:21" ht="15.75" thickBot="1" x14ac:dyDescent="0.3"/>
    <row r="4" spans="1:21" x14ac:dyDescent="0.25">
      <c r="B4" s="26" t="s">
        <v>56</v>
      </c>
      <c r="C4" s="49" t="s">
        <v>41</v>
      </c>
      <c r="D4" s="33">
        <v>7</v>
      </c>
    </row>
    <row r="5" spans="1:21" x14ac:dyDescent="0.25">
      <c r="B5" s="24" t="s">
        <v>57</v>
      </c>
      <c r="C5" s="7"/>
      <c r="D5" s="9"/>
      <c r="F5" s="1" t="s">
        <v>100</v>
      </c>
      <c r="G5" s="2" t="s">
        <v>4</v>
      </c>
    </row>
    <row r="6" spans="1:21" ht="15.75" thickBot="1" x14ac:dyDescent="0.3">
      <c r="B6" s="24"/>
      <c r="C6" s="7"/>
      <c r="D6" s="20" t="s">
        <v>53</v>
      </c>
      <c r="F6" s="1" t="s">
        <v>42</v>
      </c>
      <c r="G6" t="s">
        <v>3</v>
      </c>
      <c r="I6" s="56" t="s">
        <v>99</v>
      </c>
      <c r="J6" s="55" t="s">
        <v>147</v>
      </c>
      <c r="K6" s="1" t="s">
        <v>101</v>
      </c>
    </row>
    <row r="7" spans="1:21" x14ac:dyDescent="0.25">
      <c r="B7" s="24"/>
      <c r="C7" s="7"/>
      <c r="D7" s="9"/>
      <c r="E7" s="19" t="s">
        <v>40</v>
      </c>
      <c r="G7" s="2" t="s">
        <v>76</v>
      </c>
      <c r="H7" s="19" t="s">
        <v>65</v>
      </c>
      <c r="I7" s="76">
        <v>1E-4</v>
      </c>
      <c r="J7" s="15">
        <f>10^-(A*-1^2*SQRT(I)/(1+4*B*SQRT(I))+Bdot*I)</f>
        <v>0.6213721422329177</v>
      </c>
      <c r="K7" s="11">
        <f>I7*J7</f>
        <v>6.2137214223291766E-5</v>
      </c>
    </row>
    <row r="8" spans="1:21" x14ac:dyDescent="0.25">
      <c r="B8" s="24"/>
      <c r="C8" s="7"/>
      <c r="D8" s="9"/>
      <c r="E8" s="19" t="s">
        <v>39</v>
      </c>
      <c r="F8" s="21">
        <f>10^-D4</f>
        <v>9.9999999999999995E-8</v>
      </c>
      <c r="G8" s="2" t="s">
        <v>77</v>
      </c>
      <c r="H8" s="19" t="s">
        <v>66</v>
      </c>
      <c r="I8" s="76">
        <f>H*10</f>
        <v>9.9999999999999995E-7</v>
      </c>
      <c r="J8" s="15">
        <f t="shared" ref="J8:J17" si="0">10^-(A*-1^2*SQRT(I)/(1+4*B*SQRT(I))+Bdot*I)</f>
        <v>0.6213721422329177</v>
      </c>
      <c r="K8" s="11">
        <f>I8*J8</f>
        <v>6.213721422329177E-7</v>
      </c>
    </row>
    <row r="9" spans="1:21" x14ac:dyDescent="0.25">
      <c r="B9" s="24">
        <v>-1</v>
      </c>
      <c r="C9" s="50" t="s">
        <v>49</v>
      </c>
      <c r="D9" s="46">
        <v>1800</v>
      </c>
      <c r="E9" s="19" t="s">
        <v>49</v>
      </c>
      <c r="F9" s="22">
        <f>(D9/1000)/extras!A18</f>
        <v>5.0771443883451325E-2</v>
      </c>
      <c r="G9" s="2">
        <v>3.5</v>
      </c>
      <c r="H9" s="19" t="s">
        <v>29</v>
      </c>
      <c r="I9" s="76">
        <f>IF(C2="Cl",Q2,Cl)</f>
        <v>4.7748370715208148E-2</v>
      </c>
      <c r="J9" s="15">
        <f t="shared" si="0"/>
        <v>0.6213721422329177</v>
      </c>
      <c r="K9" s="11">
        <f t="shared" ref="K9:K17" si="1">I9*J9</f>
        <v>2.9669507399440399E-2</v>
      </c>
      <c r="L9" s="11"/>
    </row>
    <row r="10" spans="1:21" x14ac:dyDescent="0.25">
      <c r="B10" s="24">
        <v>-2</v>
      </c>
      <c r="C10" s="50" t="s">
        <v>50</v>
      </c>
      <c r="D10" s="46">
        <v>0</v>
      </c>
      <c r="E10" s="19" t="s">
        <v>50</v>
      </c>
      <c r="F10" s="22">
        <f>(D10/1000)/extras!A19</f>
        <v>0</v>
      </c>
      <c r="G10" s="2">
        <v>4</v>
      </c>
      <c r="H10" s="19" t="s">
        <v>25</v>
      </c>
      <c r="I10" s="76">
        <f>IF(C2="SO4",U2,SO4_C)</f>
        <v>0</v>
      </c>
      <c r="J10" s="15">
        <f t="shared" si="0"/>
        <v>0.6213721422329177</v>
      </c>
      <c r="K10" s="11">
        <f t="shared" si="1"/>
        <v>0</v>
      </c>
    </row>
    <row r="11" spans="1:21" x14ac:dyDescent="0.25">
      <c r="B11" s="24">
        <v>1</v>
      </c>
      <c r="C11" s="50" t="s">
        <v>51</v>
      </c>
      <c r="D11" s="46">
        <v>1100</v>
      </c>
      <c r="E11" s="19" t="s">
        <v>51</v>
      </c>
      <c r="F11" s="22">
        <f>(D11/1000)/extras!A20</f>
        <v>4.784737071520815E-2</v>
      </c>
      <c r="G11" s="2">
        <v>4</v>
      </c>
      <c r="H11" s="19" t="s">
        <v>24</v>
      </c>
      <c r="I11" s="22">
        <f>Na</f>
        <v>4.784737071520815E-2</v>
      </c>
      <c r="J11" s="15">
        <f t="shared" si="0"/>
        <v>0.6213721422329177</v>
      </c>
      <c r="K11" s="11">
        <f t="shared" si="1"/>
        <v>2.9731023241521461E-2</v>
      </c>
    </row>
    <row r="12" spans="1:21" x14ac:dyDescent="0.25">
      <c r="B12" s="24">
        <v>1</v>
      </c>
      <c r="C12" s="50" t="s">
        <v>52</v>
      </c>
      <c r="D12" s="46">
        <v>0</v>
      </c>
      <c r="E12" s="19" t="s">
        <v>52</v>
      </c>
      <c r="F12" s="22">
        <f>(D12/1000)/extras!A21</f>
        <v>0</v>
      </c>
      <c r="G12" s="2">
        <v>3</v>
      </c>
      <c r="H12" s="19" t="s">
        <v>31</v>
      </c>
      <c r="I12" s="76">
        <f>K</f>
        <v>0</v>
      </c>
      <c r="J12" s="15">
        <f t="shared" si="0"/>
        <v>0.6213721422329177</v>
      </c>
      <c r="K12" s="11">
        <f t="shared" si="1"/>
        <v>0</v>
      </c>
    </row>
    <row r="13" spans="1:21" x14ac:dyDescent="0.25">
      <c r="B13" s="24">
        <v>-1</v>
      </c>
      <c r="C13" s="50" t="s">
        <v>43</v>
      </c>
      <c r="D13" s="46">
        <v>0</v>
      </c>
      <c r="E13" s="10" t="s">
        <v>43</v>
      </c>
      <c r="F13" s="22">
        <f>(D13/1000)/extras!A22</f>
        <v>0</v>
      </c>
      <c r="G13" s="2">
        <v>4</v>
      </c>
      <c r="H13" s="19" t="s">
        <v>70</v>
      </c>
      <c r="I13" s="76">
        <f>initial!O23</f>
        <v>0</v>
      </c>
      <c r="J13" s="15">
        <f t="shared" si="0"/>
        <v>0.6213721422329177</v>
      </c>
      <c r="K13" s="11">
        <f t="shared" si="1"/>
        <v>0</v>
      </c>
      <c r="L13" s="35"/>
    </row>
    <row r="14" spans="1:21" x14ac:dyDescent="0.25">
      <c r="B14" s="24">
        <v>2</v>
      </c>
      <c r="C14" s="50" t="s">
        <v>44</v>
      </c>
      <c r="D14" s="46">
        <v>0</v>
      </c>
      <c r="E14" s="19" t="s">
        <v>44</v>
      </c>
      <c r="F14" s="22">
        <f>(D14/1000)/extras!A23</f>
        <v>0</v>
      </c>
      <c r="G14" s="2">
        <v>6</v>
      </c>
      <c r="H14" s="19" t="s">
        <v>27</v>
      </c>
      <c r="I14" s="76">
        <f>initial!O24</f>
        <v>0</v>
      </c>
      <c r="J14" s="15">
        <f t="shared" si="0"/>
        <v>0.6213721422329177</v>
      </c>
      <c r="K14" s="11">
        <f t="shared" si="1"/>
        <v>0</v>
      </c>
    </row>
    <row r="15" spans="1:21" x14ac:dyDescent="0.25">
      <c r="B15" s="24">
        <v>2</v>
      </c>
      <c r="C15" s="50" t="s">
        <v>46</v>
      </c>
      <c r="D15" s="46">
        <v>0</v>
      </c>
      <c r="E15" s="19" t="s">
        <v>46</v>
      </c>
      <c r="F15" s="22">
        <f>(D15/1000)/extras!A24</f>
        <v>0</v>
      </c>
      <c r="G15" s="2">
        <v>6</v>
      </c>
      <c r="H15" s="19" t="s">
        <v>67</v>
      </c>
      <c r="I15" s="76">
        <f>Fe</f>
        <v>0</v>
      </c>
      <c r="J15" s="15">
        <f t="shared" si="0"/>
        <v>0.6213721422329177</v>
      </c>
      <c r="K15" s="11">
        <f t="shared" si="1"/>
        <v>0</v>
      </c>
    </row>
    <row r="16" spans="1:21" x14ac:dyDescent="0.25">
      <c r="B16" s="24">
        <v>2</v>
      </c>
      <c r="C16" s="50" t="s">
        <v>47</v>
      </c>
      <c r="D16" s="46">
        <v>0</v>
      </c>
      <c r="E16" s="19" t="s">
        <v>47</v>
      </c>
      <c r="F16" s="22">
        <f>(D16/1000)/extras!A25</f>
        <v>0</v>
      </c>
      <c r="G16" s="2">
        <v>8</v>
      </c>
      <c r="H16" s="19" t="s">
        <v>28</v>
      </c>
      <c r="I16" s="76">
        <f>Mg</f>
        <v>0</v>
      </c>
      <c r="J16" s="15">
        <f t="shared" si="0"/>
        <v>0.6213721422329177</v>
      </c>
      <c r="K16" s="11">
        <f t="shared" si="1"/>
        <v>0</v>
      </c>
    </row>
    <row r="17" spans="1:28" ht="15.75" thickBot="1" x14ac:dyDescent="0.3">
      <c r="B17" s="25">
        <v>3</v>
      </c>
      <c r="C17" s="51" t="s">
        <v>48</v>
      </c>
      <c r="D17" s="47">
        <v>0</v>
      </c>
      <c r="E17" s="19" t="s">
        <v>48</v>
      </c>
      <c r="F17" s="22">
        <f>(D17/1000)/extras!A26</f>
        <v>0</v>
      </c>
      <c r="G17" s="2">
        <v>9</v>
      </c>
      <c r="H17" s="19" t="s">
        <v>68</v>
      </c>
      <c r="I17" s="76">
        <f>Al</f>
        <v>0</v>
      </c>
      <c r="J17" s="15">
        <f t="shared" si="0"/>
        <v>0.6213721422329177</v>
      </c>
      <c r="K17" s="11">
        <f t="shared" si="1"/>
        <v>0</v>
      </c>
    </row>
    <row r="18" spans="1:28" x14ac:dyDescent="0.25">
      <c r="E18" s="10"/>
      <c r="F18" s="17"/>
      <c r="G18" s="2"/>
      <c r="H18" s="77"/>
      <c r="I18" s="76"/>
      <c r="J18" s="15"/>
      <c r="K18" s="11"/>
    </row>
    <row r="19" spans="1:28" x14ac:dyDescent="0.25">
      <c r="H19" s="77"/>
    </row>
    <row r="20" spans="1:28" x14ac:dyDescent="0.25">
      <c r="H20" s="77"/>
    </row>
    <row r="21" spans="1:28" x14ac:dyDescent="0.25">
      <c r="H21" s="77"/>
      <c r="S21" s="41"/>
      <c r="T21" s="41"/>
      <c r="U21" s="41"/>
      <c r="V21" s="41"/>
      <c r="W21" s="41"/>
      <c r="X21" s="41"/>
      <c r="Y21" s="41"/>
      <c r="Z21" s="41"/>
      <c r="AA21" s="41"/>
      <c r="AB21" s="41"/>
    </row>
    <row r="22" spans="1:28" x14ac:dyDescent="0.25">
      <c r="B22" s="29"/>
      <c r="C22" s="29"/>
      <c r="D22" s="29"/>
      <c r="E22" s="29"/>
      <c r="F22" s="29"/>
      <c r="H22" s="77"/>
      <c r="U22" s="41"/>
      <c r="V22" s="42"/>
      <c r="W22" s="42"/>
      <c r="X22" s="43"/>
      <c r="Y22" s="43"/>
      <c r="AA22" s="43"/>
      <c r="AB22" s="43"/>
    </row>
    <row r="23" spans="1:28" ht="15" customHeight="1" x14ac:dyDescent="0.25">
      <c r="E23" s="93" t="s">
        <v>156</v>
      </c>
      <c r="F23" s="93"/>
      <c r="G23" s="93"/>
      <c r="H23" s="93"/>
      <c r="I23" s="93"/>
      <c r="J23" s="93"/>
      <c r="K23" s="93"/>
      <c r="L23" s="93"/>
      <c r="U23" s="41"/>
      <c r="V23" s="44"/>
      <c r="W23" s="44"/>
      <c r="X23" s="44"/>
      <c r="Y23" s="44"/>
      <c r="AA23" s="43"/>
      <c r="AB23" s="43"/>
    </row>
    <row r="24" spans="1:28" x14ac:dyDescent="0.25">
      <c r="E24" s="93"/>
      <c r="F24" s="93"/>
      <c r="G24" s="93"/>
      <c r="H24" s="93"/>
      <c r="I24" s="93"/>
      <c r="J24" s="93"/>
      <c r="K24" s="93"/>
      <c r="L24" s="93"/>
      <c r="U24" s="75"/>
      <c r="V24" s="44"/>
      <c r="W24" s="44"/>
      <c r="X24" s="44"/>
      <c r="Y24" s="44"/>
      <c r="AA24" s="43"/>
      <c r="AB24" s="43"/>
    </row>
    <row r="25" spans="1:28" x14ac:dyDescent="0.25">
      <c r="E25" s="93"/>
      <c r="F25" s="93"/>
      <c r="G25" s="93"/>
      <c r="H25" s="93"/>
      <c r="I25" s="93"/>
      <c r="J25" s="93"/>
      <c r="K25" s="93"/>
      <c r="L25" s="93"/>
      <c r="U25" s="75"/>
      <c r="V25" s="44"/>
      <c r="W25" s="44"/>
      <c r="X25" s="44"/>
      <c r="Y25" s="44"/>
      <c r="AA25" s="43"/>
      <c r="AB25" s="43"/>
    </row>
    <row r="26" spans="1:28" x14ac:dyDescent="0.25">
      <c r="E26" s="93"/>
      <c r="F26" s="93"/>
      <c r="G26" s="93"/>
      <c r="H26" s="93"/>
      <c r="I26" s="93"/>
      <c r="J26" s="93"/>
      <c r="K26" s="93"/>
      <c r="L26" s="93"/>
      <c r="W26" s="44"/>
      <c r="X26" s="44"/>
      <c r="Y26" s="44"/>
      <c r="AA26" s="43"/>
      <c r="AB26" s="43"/>
    </row>
    <row r="27" spans="1:28" x14ac:dyDescent="0.25">
      <c r="H27" s="77"/>
      <c r="W27" s="44"/>
      <c r="X27" s="44"/>
      <c r="Y27" s="44"/>
      <c r="AA27" s="43"/>
      <c r="AB27" s="43"/>
    </row>
    <row r="28" spans="1:28" x14ac:dyDescent="0.25">
      <c r="H28" s="77"/>
      <c r="W28" s="44"/>
      <c r="X28" s="44"/>
      <c r="Y28" s="44"/>
      <c r="AA28" s="44"/>
      <c r="AB28" s="44"/>
    </row>
    <row r="29" spans="1:28" x14ac:dyDescent="0.25">
      <c r="H29" s="77"/>
      <c r="W29" s="44"/>
      <c r="X29" s="44"/>
      <c r="Y29" s="44"/>
      <c r="AA29" s="44"/>
      <c r="AB29" s="44"/>
    </row>
    <row r="30" spans="1:28" ht="15.75" thickBot="1" x14ac:dyDescent="0.3">
      <c r="H30" s="77"/>
      <c r="W30" s="44"/>
      <c r="X30" s="44"/>
      <c r="Y30" s="44"/>
      <c r="AA30" s="44"/>
      <c r="AB30" s="44"/>
    </row>
    <row r="31" spans="1:28" x14ac:dyDescent="0.25">
      <c r="A31" s="30" t="s">
        <v>108</v>
      </c>
      <c r="B31" s="62" t="s">
        <v>85</v>
      </c>
      <c r="C31" s="4" t="str">
        <f>+"products &lt;- prods("&amp;extras!B29&amp;","&amp;extras!B30&amp;","&amp;extras!B31&amp;","&amp;extras!B32&amp;","&amp;extras!B33&amp;")"</f>
        <v>products &lt;- prods(names=c("NaSO4","HSO4","KSO4","NaCl","KCl","HCl","KOH","NaOH","CaSO4","MgSO4","MgCl","CaCl","CaCl2","MgOH","CaOH","H4SiO4","NaH3SiO4","AlOH","AlSO4"),number=c(2,2,2,2,2,2,2,2,2,2,2,2,3,2,2,2,2,2,2),species=c("Na","SO4","H","SO4","K","SO4","Na","Cl","K","Cl","H","Cl","K","OH","Na","OH","Ca","SO4","Mg","SO4","Mg","Cl","Ca","Cl","Ca","Cl","Cl","Mg","OH","Ca","OH","H","H3SiO4","Na","H3SiO4","Al","OH","Al","SO4"),K=c(-2.454,-5.776,-2.715,-0.1975,0.001,-1.51462759152309,0.58,0.89,-4.442,-4.479,-1.896,-2.29,2.35,4.842,4.365,-2.1622,-1.4,1.35,-9.5826),a=c(4,4,4,4,4,4,4,4,4,4,8,6,4,8,6,4,4,5,4))</v>
      </c>
      <c r="H31" s="77"/>
      <c r="W31" s="44"/>
      <c r="X31" s="44"/>
      <c r="Y31" s="44"/>
      <c r="AA31" s="44"/>
      <c r="AB31" s="44"/>
    </row>
    <row r="32" spans="1:28" ht="15.75" thickBot="1" x14ac:dyDescent="0.3">
      <c r="A32" s="31" t="s">
        <v>112</v>
      </c>
      <c r="B32" s="63" t="s">
        <v>86</v>
      </c>
      <c r="C32" s="4" t="str">
        <f>+extras!B54&amp;extras!B55&amp;extras!B56&amp;extras!B57&amp;extras!B58&amp;extras!B59</f>
        <v>chemsolve_generic(solvent = c("H", "OH"), solvcharge = c("1", "-1"),solva = c("9", "4"), Ksoln = -11.3307238274862,species = c("Cl","SO4","Na","K","H3SiO4","Ca","Mg","Al"), conc = c(0.0477483707152081, 0, 0.0478473707152081, 0, 0, 0,0,0), a=c(3.5, 4, 4, 3, 4, 6, 8, 9), charges = c(-1, -2, 1, 1, -1, 2, 2, 3), A = 1.27200307600535,B =0.3953518905, Bdot = 0, start = c(0.000001, 0.0001, 0.0477483707152081, 0, 0.0478473707152081, 0, 0, 0, 0, 0), maxitr = 100, bal = "Cl", prod = products)</v>
      </c>
      <c r="H32" s="77"/>
      <c r="W32" s="44"/>
      <c r="X32" s="44"/>
      <c r="Y32" s="44"/>
      <c r="AA32" s="44"/>
      <c r="AB32" s="44"/>
    </row>
    <row r="33" spans="1:28" ht="15.75" thickBot="1" x14ac:dyDescent="0.3">
      <c r="H33" s="77"/>
      <c r="W33" s="44"/>
      <c r="X33" s="44"/>
      <c r="Y33" s="44"/>
      <c r="AA33" s="44"/>
      <c r="AB33" s="44"/>
    </row>
    <row r="34" spans="1:28" x14ac:dyDescent="0.25">
      <c r="A34" s="30" t="s">
        <v>108</v>
      </c>
      <c r="B34" s="62" t="s">
        <v>85</v>
      </c>
      <c r="C34" t="str">
        <f>+"products &lt;- prods("&amp;extras!B35&amp;","&amp;extras!B36&amp;","&amp;extras!B37&amp;","&amp;extras!B38&amp;","&amp;extras!B39&amp;")"</f>
        <v>products &lt;- prods(names=c("NaSO4","HSO4","KSO4","NaCl","KCl","HCl","KOH","NaOH","CaSO4","MgSO4","MgCl","CaCl","CaCl2","MgOH","CaOH","H4SiO4","NaH3SiO4"),number=c(2,2,2,2,2,2,2,2,2,2,2,2,3,2,2,2,2),species=c("Na","SO4","H","SO4","K","SO4","Na","Cl","K","Cl","H","Cl","K","OH","Na","OH","Ca","SO4","Mg","SO4","Mg","Cl","Ca","Cl","Ca","Cl","Cl","Mg","OH","Ca","OH","H","H3SiO4","Na","H3SiO4"),K=c(-2.454,-5.776,-2.715,-0.1975,0.001,-1.51462759152309,0.58,0.89,-4.442,-4.479,-1.896,-2.29,2.35,4.842,4.365,-2.1622,-1.4),a=c(4,4,4,4,4,4,4,4,4,4,8,6,4,8,6,4,4))</v>
      </c>
      <c r="W34" s="44"/>
      <c r="X34" s="44"/>
      <c r="Y34" s="44"/>
      <c r="AA34" s="44"/>
      <c r="AB34" s="44"/>
    </row>
    <row r="35" spans="1:28" ht="15.75" thickBot="1" x14ac:dyDescent="0.3">
      <c r="A35" s="31" t="s">
        <v>48</v>
      </c>
      <c r="B35" s="63" t="s">
        <v>86</v>
      </c>
      <c r="C35" t="str">
        <f>extras!B65</f>
        <v>chemsolve_generic(solvent = c("H", "OH"), solvcharge = c("1", "-1"),solva = c("9", "4"),  Ksoln = -11.3307238274862, species = c("Cl","SO4","Na","K","H3SiO4","Ca","Mg"), conc = c(0.0507714438834513,0,0.0478473707152081,0,0,0,0),a=c(3.5,4,4,3,4,6,8), charges = c(-1,-2,1,1,-1,2,2), A = 1.27200307600535, B = 0.3953518905, Bdot = 0, start = c(6.21372142232918E-05, 6.21372142232918E-07, 0.0296695073994404, 0, 0.0297310232415215, 0, 0, 0, 0), maxitr = 100, bal = "Cl", prod = products)</v>
      </c>
      <c r="W35" s="44"/>
      <c r="X35" s="44"/>
      <c r="Y35" s="44"/>
      <c r="AA35" s="44"/>
      <c r="AB35" s="44"/>
    </row>
    <row r="36" spans="1:28" ht="15.75" thickBot="1" x14ac:dyDescent="0.3">
      <c r="W36" s="44"/>
      <c r="X36" s="44"/>
      <c r="Y36" s="44"/>
      <c r="AA36" s="44"/>
      <c r="AB36" s="44"/>
    </row>
    <row r="37" spans="1:28" x14ac:dyDescent="0.25">
      <c r="A37" s="30" t="s">
        <v>108</v>
      </c>
      <c r="B37" s="62" t="s">
        <v>85</v>
      </c>
      <c r="C37" t="str">
        <f>+"products &lt;- prods("&amp;extras!V35&amp;","&amp;extras!V36&amp;","&amp;extras!V37&amp;","&amp;extras!V38&amp;","&amp;extras!V39&amp;")"</f>
        <v>products &lt;- prods(names=c("NaSO4","HSO4","KSO4","NaCl","KCl","HCl","KOH","NaOH","CaSO4","MgSO4","MgCl","CaCl","CaCl2","MgOH","CaOH"),number=c(2,2,2,2,2,2,2,2,2,2,2,2,3,2,2),species=c("Na","SO4","H","SO4","K","SO4","Na","Cl","K","Cl","H","Cl","K","OH","Na","OH","Ca","SO4","Mg","SO4","Mg","Cl","Ca","Cl","Ca","Cl","Cl","Mg","OH","Ca","OH","H","H3SiO4","Na","H3SiO4"),K=c(-2.454,-5.776,-2.715,-0.1975,0.001,-1.51462759152309,0.58,0.89,-4.442,-4.479,-1.896,-2.29,2.35,4.842,4.365),a=c(4,4,4,4,4,4,4,4,4,4,8,6,4,8,6))</v>
      </c>
      <c r="W37" s="41"/>
      <c r="X37" s="41"/>
      <c r="Y37" s="41"/>
      <c r="AA37" s="41"/>
      <c r="AB37" s="41"/>
    </row>
    <row r="38" spans="1:28" ht="15.75" thickBot="1" x14ac:dyDescent="0.3">
      <c r="A38" s="31" t="s">
        <v>109</v>
      </c>
      <c r="B38" s="63" t="s">
        <v>86</v>
      </c>
      <c r="C38" t="str">
        <f>extras!B77</f>
        <v>chemsolve_generic(solvent = c("H", "OH"), solvcharge = c("1", "-1"),solva = c("9", "4"),  Ksoln = -11.3307238274862, species = c("Cl","SO4","Na","K","Ca","Mg"), conc = c(0.0507714438834513,0,0.0478473707152081,0,0,0),a=c(3.5,4,4,3,6,8), charges = c(-1,-2,1,1,2,2), A = 1.27200307600535, B = 0.3953518905, Bdot = 0, start = c(6.21372142232918E-05, 6.21372142232918E-07, 0.0296695073994404, 0, 0.0297310232415215, 0, 0, 0), maxitr = 100, bal = "Cl", prod = products)</v>
      </c>
    </row>
    <row r="39" spans="1:28" ht="15.75" thickBot="1" x14ac:dyDescent="0.3"/>
    <row r="40" spans="1:28" x14ac:dyDescent="0.25">
      <c r="A40" s="66" t="s">
        <v>148</v>
      </c>
      <c r="B40" s="62" t="s">
        <v>85</v>
      </c>
      <c r="C40" t="str">
        <f>+"products &lt;- prods("&amp;extras!V27&amp;","&amp;extras!V28&amp;","&amp;extras!V29&amp;","&amp;extras!V30&amp;","&amp;extras!V31&amp;")"</f>
        <v>products &lt;- prods(names=c("NaCl"),number=c(2),species=c("Na","Cl"),K=c(0.69833852651331),a=c(4))</v>
      </c>
    </row>
    <row r="41" spans="1:28" ht="15.75" thickBot="1" x14ac:dyDescent="0.3">
      <c r="A41" s="68" t="s">
        <v>150</v>
      </c>
      <c r="B41" s="63" t="s">
        <v>86</v>
      </c>
      <c r="C41" t="str">
        <f>extras!B91</f>
        <v>chemsolve_generic(solvent = c("H", "OH"), solvcharge = c("1", "-1"),solva = c("9", "4"),  Ksoln = -11.3307238274862, species = c("Cl","Na"), conc = c(0.0507714438834513,0.0478473707152081),a=c(3.5,4), charges = c(-1,1), A = 1.27200307600535, B = 0.3953518905, Bdot = 0, start = c(6.21372142232918E-07, 6.21372142232918E-05, 0.0296695073994404, 0.0297310232415215), maxitr = 100, bal = "Cl", prod = products)</v>
      </c>
    </row>
    <row r="67" spans="1:3" x14ac:dyDescent="0.25">
      <c r="B67" s="4"/>
    </row>
    <row r="68" spans="1:3" x14ac:dyDescent="0.25">
      <c r="B68" s="61"/>
    </row>
    <row r="69" spans="1:3" x14ac:dyDescent="0.25">
      <c r="B69" s="4"/>
    </row>
    <row r="71" spans="1:3" x14ac:dyDescent="0.25">
      <c r="B71" s="4"/>
    </row>
    <row r="76" spans="1:3" x14ac:dyDescent="0.25">
      <c r="A76" t="s">
        <v>113</v>
      </c>
      <c r="B76" s="60" t="s">
        <v>85</v>
      </c>
      <c r="C76" s="4" t="s">
        <v>73</v>
      </c>
    </row>
    <row r="77" spans="1:3" x14ac:dyDescent="0.25">
      <c r="B77" s="60" t="s">
        <v>86</v>
      </c>
      <c r="C77" s="4" t="s">
        <v>74</v>
      </c>
    </row>
    <row r="99" spans="2:2" x14ac:dyDescent="0.25">
      <c r="B99" t="str">
        <f>extras!A12&amp;(CALUCLATIONS!I8&amp;", "&amp;CALUCLATIONS!I7&amp;", "&amp;CALUCLATIONS!I9&amp;","&amp;", "&amp;CALUCLATIONS!I9&amp;extras!B12)</f>
        <v>start = c(0.000001, 0.0001, 0.0477483707152081,, 0.0477483707152081)</v>
      </c>
    </row>
  </sheetData>
  <mergeCells count="5">
    <mergeCell ref="L1:L2"/>
    <mergeCell ref="M1:M2"/>
    <mergeCell ref="A1:C1"/>
    <mergeCell ref="A2:B2"/>
    <mergeCell ref="E23:L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BF0E8-1D20-4A7D-ABFF-0DE26C62F7A9}">
  <dimension ref="A1:V102"/>
  <sheetViews>
    <sheetView topLeftCell="A19" zoomScaleNormal="100" workbookViewId="0">
      <selection activeCell="U42" sqref="U42:U52"/>
    </sheetView>
  </sheetViews>
  <sheetFormatPr defaultRowHeight="15" x14ac:dyDescent="0.25"/>
  <cols>
    <col min="1" max="1" width="13.140625" customWidth="1"/>
    <col min="3" max="3" width="10.7109375" customWidth="1"/>
    <col min="6" max="6" width="15" customWidth="1"/>
    <col min="29" max="29" width="12.7109375" bestFit="1" customWidth="1"/>
    <col min="30" max="30" width="12" bestFit="1" customWidth="1"/>
  </cols>
  <sheetData>
    <row r="1" spans="1:20" x14ac:dyDescent="0.25">
      <c r="A1" t="s">
        <v>7</v>
      </c>
      <c r="B1" t="s">
        <v>33</v>
      </c>
    </row>
    <row r="2" spans="1:20" x14ac:dyDescent="0.25">
      <c r="A2" t="s">
        <v>34</v>
      </c>
      <c r="B2" t="s">
        <v>33</v>
      </c>
    </row>
    <row r="3" spans="1:20" x14ac:dyDescent="0.25">
      <c r="A3" t="s">
        <v>35</v>
      </c>
      <c r="B3" t="s">
        <v>33</v>
      </c>
      <c r="D3" s="2">
        <v>400</v>
      </c>
      <c r="E3" s="1">
        <v>350</v>
      </c>
      <c r="F3" s="1">
        <v>300</v>
      </c>
      <c r="G3">
        <v>270</v>
      </c>
      <c r="H3" s="1">
        <v>250</v>
      </c>
      <c r="I3" s="1">
        <v>200</v>
      </c>
      <c r="J3" s="1">
        <v>150</v>
      </c>
      <c r="K3" s="1">
        <v>100</v>
      </c>
      <c r="L3" t="s">
        <v>157</v>
      </c>
    </row>
    <row r="4" spans="1:20" x14ac:dyDescent="0.25">
      <c r="A4" t="s">
        <v>36</v>
      </c>
      <c r="B4" t="s">
        <v>33</v>
      </c>
      <c r="D4" t="str">
        <f>extras!$A$4&amp;('K data'!I22&amp;","&amp;'K data'!I23&amp;","&amp;'K data'!I24&amp;","&amp;'K data'!I25&amp;","&amp;'K data'!I26&amp;","&amp;'K data'!I27&amp;","&amp;'K data'!I28&amp;","&amp;'K data'!I29&amp;","&amp;'K data'!I30&amp;","&amp;'K data'!I31&amp;","&amp;'K data'!I32&amp;","&amp;'K data'!I33&amp;","&amp;'K data'!I34&amp;","&amp;'K data'!I35&amp;","&amp;'K data'!I36&amp;","&amp;'K data'!I38&amp;","&amp;'K data'!I39&amp;","&amp;'K data'!I40&amp;","&amp;'K data'!I41&amp;extras!$B$4)</f>
        <v>K=c(-3.549,-7.444,-3.899,-2.7957,-1.236,-2.689,-1.446,-1.164,-6.173,-6.014,-3.18,-3.692,-4.783,-6.149,-5.635,-1.8,-1.2,-1,-1)</v>
      </c>
      <c r="E4" t="str">
        <f>extras!$A$4&amp;('K data'!J22&amp;","&amp;'K data'!J23&amp;","&amp;'K data'!J24&amp;","&amp;'K data'!J25&amp;","&amp;'K data'!J26&amp;","&amp;'K data'!J27&amp;","&amp;'K data'!J28&amp;","&amp;'K data'!J29&amp;","&amp;'K data'!J30&amp;","&amp;'K data'!J31&amp;","&amp;'K data'!J32&amp;","&amp;'K data'!J33&amp;","&amp;'K data'!J34&amp;","&amp;'K data'!J35&amp;","&amp;'K data'!J36&amp;","&amp;'K data'!J38&amp;","&amp;'K data'!J39&amp;","&amp;'K data'!J40&amp;","&amp;'K data'!J41&amp;extras!$B$4)</f>
        <v>K=c(,,,0.841051655351887,,,1.08,,,,,,,,,,,,)</v>
      </c>
      <c r="F4" t="str">
        <f>extras!$A$4&amp;('K data'!K22&amp;","&amp;'K data'!K23&amp;","&amp;'K data'!K24&amp;","&amp;'K data'!K25&amp;","&amp;'K data'!K26&amp;","&amp;'K data'!K27&amp;","&amp;'K data'!K28&amp;","&amp;'K data'!K29&amp;","&amp;'K data'!K30&amp;","&amp;'K data'!K31&amp;","&amp;'K data'!K32&amp;","&amp;'K data'!K33&amp;","&amp;'K data'!K34&amp;","&amp;'K data'!K35&amp;","&amp;'K data'!K36&amp;","&amp;'K data'!K38&amp;","&amp;'K data'!K39&amp;","&amp;'K data'!K40&amp;","&amp;'K data'!K41&amp;extras!$B$4)</f>
        <v>K=c(-2.454,-5.776,-2.715,-0.1975,0.001,-1.51462759152309,0.58,0.89,-4.442,-4.479,-1.896,-2.29,2.35,4.842,4.365,-2.1622,-1.4,1.35,-9.5826)</v>
      </c>
      <c r="G4" t="str">
        <f>extras!$A$4&amp;('K data'!L22&amp;","&amp;'K data'!L23&amp;","&amp;'K data'!L24&amp;","&amp;'K data'!L25&amp;","&amp;'K data'!L26&amp;","&amp;'K data'!L27&amp;","&amp;'K data'!L28&amp;","&amp;'K data'!L29&amp;","&amp;'K data'!L30&amp;","&amp;'K data'!L31&amp;","&amp;'K data'!L32&amp;","&amp;'K data'!L33&amp;","&amp;'K data'!L34&amp;","&amp;'K data'!L35&amp;","&amp;'K data'!L36&amp;","&amp;'K data'!L38&amp;","&amp;'K data'!L39&amp;","&amp;'K data'!L40&amp;","&amp;'K data'!L41&amp;extras!$B$4)</f>
        <v>K=c(-1.8,-5.9,-2.5,0.600098607998248,0.302,-0.841593035712322,0.495,-0.1,-4.636,-4.3436,-1.6367,-1.6459,3.085,6.603,7.748,-2.07340469483568,9.8109,1.9143,-8.1908)</v>
      </c>
      <c r="H4" t="str">
        <f>extras!$A$4&amp;('K data'!M22&amp;","&amp;'K data'!M23&amp;","&amp;'K data'!M24&amp;","&amp;'K data'!M25&amp;","&amp;'K data'!M26&amp;","&amp;'K data'!M27&amp;","&amp;'K data'!M28&amp;","&amp;'K data'!M29&amp;","&amp;'K data'!M30&amp;","&amp;'K data'!M31&amp;","&amp;'K data'!M32&amp;","&amp;'K data'!M33&amp;","&amp;'K data'!M34&amp;","&amp;'K data'!M35&amp;","&amp;'K data'!M36&amp;","&amp;'K data'!M38&amp;","&amp;'K data'!M39&amp;","&amp;'K data'!M40&amp;","&amp;'K data'!M41&amp;extras!$B$4)</f>
        <v>K=c(-1.4969,-5.6,-2.443,0.528345816514725,0.5,-0.496420149009737,0.41,11.342,-4.358,-4.0816,-1.4524,-1.356,3.2591,6.5193,7.8155,-2.17750503679633,9.4469,1.688,-7.2761)</v>
      </c>
      <c r="I4" t="str">
        <f>extras!$A$4&amp;('K data'!N22&amp;","&amp;'K data'!N23&amp;","&amp;'K data'!N24&amp;","&amp;'K data'!N25&amp;","&amp;'K data'!N26&amp;","&amp;'K data'!N27&amp;","&amp;'K data'!N28&amp;","&amp;'K data'!N29&amp;","&amp;'K data'!N30&amp;","&amp;'K data'!N31&amp;","&amp;'K data'!N32&amp;","&amp;'K data'!N33&amp;","&amp;'K data'!N34&amp;","&amp;'K data'!N35&amp;","&amp;'K data'!N36&amp;","&amp;'K data'!N38&amp;","&amp;'K data'!N39&amp;","&amp;'K data'!N40&amp;","&amp;'K data'!N41&amp;extras!$B$4)</f>
        <v>K=c(-1.1805,-5.4134,-1.8612,0.2935,0.8339,0.0872419149277448,0.4,11.4847,-3.5566,-3.3363,-0.7869,-0.8602,3.757,7.3806,8.5583,-2.47625860720702,8.565,2.219,-5.7856)</v>
      </c>
      <c r="J4" t="str">
        <f>extras!$A$4&amp;('K data'!O22&amp;","&amp;'K data'!O23&amp;","&amp;'K data'!O24&amp;","&amp;'K data'!O25&amp;","&amp;'K data'!O26&amp;","&amp;'K data'!O27&amp;","&amp;'K data'!O28&amp;","&amp;'K data'!O29&amp;","&amp;'K data'!O30&amp;","&amp;'K data'!O31&amp;","&amp;'K data'!O32&amp;","&amp;'K data'!O33&amp;","&amp;'K data'!O34&amp;","&amp;'K data'!O35&amp;","&amp;'K data'!O36&amp;","&amp;'K data'!O38&amp;","&amp;'K data'!O39&amp;","&amp;'K data'!O40&amp;","&amp;'K data'!O41&amp;extras!$B$4)</f>
        <v>K=c(,-4.2717,-1.459,0.635,1.0036,0.410941248459039,,11.8362,-3.0907,-2.9089,-0.3556,-0.5789,4.0205,8.3151,9.3958,-2.8456144629564,8.2488,2.594,-4.6774)</v>
      </c>
      <c r="K4" t="str">
        <f>extras!$A$4&amp;('K data'!P22&amp;","&amp;'K data'!P23&amp;","&amp;'K data'!P24&amp;","&amp;'K data'!P25&amp;","&amp;'K data'!P26&amp;","&amp;'K data'!P27&amp;","&amp;'K data'!P28&amp;","&amp;'K data'!P29&amp;","&amp;'K data'!P30&amp;","&amp;'K data'!P31&amp;","&amp;'K data'!P32&amp;","&amp;'K data'!P33&amp;","&amp;'K data'!P34&amp;","&amp;'K data'!P35&amp;","&amp;'K data'!P36&amp;","&amp;'K data'!P38&amp;","&amp;'K data'!P39&amp;","&amp;'K data'!P40&amp;","&amp;'K data'!P41&amp;extras!$B$4)</f>
        <v>K=c(0.979212889675734,-3.241,-1.1545,0.9856,1.1997,0.616141130303731,-0.021,12.4676,-2.7375,-2.5873,-0.1077,-0.4688,4.146,9.4383,10.4366,-3.31395353075171,8.2042,3.5,-3.8192)</v>
      </c>
      <c r="L4" t="str">
        <f>extras!$A$4&amp;('K data'!V22&amp;","&amp;'K data'!V23&amp;","&amp;'K data'!V24&amp;","&amp;'K data'!V25&amp;","&amp;'K data'!V26&amp;","&amp;'K data'!V27&amp;","&amp;'K data'!V28&amp;","&amp;'K data'!V29&amp;","&amp;'K data'!V30&amp;","&amp;'K data'!V31&amp;","&amp;'K data'!V32&amp;","&amp;'K data'!V33&amp;","&amp;'K data'!V34&amp;","&amp;'K data'!V35&amp;","&amp;'K data'!V36&amp;","&amp;'K data'!V38&amp;","&amp;'K data'!V39&amp;","&amp;'K data'!V40&amp;","&amp;'K data'!V41&amp;extras!$B$4)</f>
        <v>K=c(,,,,,,,,,,,,,,,,,,)</v>
      </c>
    </row>
    <row r="5" spans="1:20" x14ac:dyDescent="0.25">
      <c r="A5" t="s">
        <v>37</v>
      </c>
      <c r="B5" t="s">
        <v>33</v>
      </c>
      <c r="C5" t="s">
        <v>108</v>
      </c>
      <c r="D5" t="str">
        <f>extras!$A$6&amp;('K data'!I37&amp;extras!$B$6)</f>
        <v xml:space="preserve"> Ksoln = -11.356</v>
      </c>
      <c r="E5" t="str">
        <f>extras!$A$6&amp;('K data'!J37&amp;extras!$B$6)</f>
        <v xml:space="preserve"> Ksoln = </v>
      </c>
      <c r="F5" t="str">
        <f>extras!$A$6&amp;('K data'!K37&amp;extras!$B$6)</f>
        <v xml:space="preserve"> Ksoln = -11.3307238274862</v>
      </c>
      <c r="G5" t="str">
        <f>extras!$A$6&amp;('K data'!L37&amp;extras!$B$6)</f>
        <v xml:space="preserve"> Ksoln = -11.3307238274862</v>
      </c>
      <c r="H5" t="str">
        <f>extras!$A$6&amp;('K data'!M37&amp;extras!$B$6)</f>
        <v xml:space="preserve"> Ksoln = -11.3307238274862</v>
      </c>
      <c r="I5" t="str">
        <f>extras!$A$6&amp;('K data'!N37&amp;extras!$B$6)</f>
        <v xml:space="preserve"> Ksoln = -11.3307238274862</v>
      </c>
      <c r="J5" t="str">
        <f>extras!$A$6&amp;('K data'!O37&amp;extras!$B$6)</f>
        <v xml:space="preserve"> Ksoln = -11.3307238274862</v>
      </c>
      <c r="K5" t="str">
        <f>extras!$A$6&amp;('K data'!P37&amp;extras!$B$6)</f>
        <v xml:space="preserve"> Ksoln = -11.3307238274862</v>
      </c>
      <c r="L5" t="str">
        <f>extras!$A$6&amp;('K data'!V37&amp;extras!$B$6)</f>
        <v xml:space="preserve"> Ksoln = </v>
      </c>
    </row>
    <row r="6" spans="1:20" x14ac:dyDescent="0.25">
      <c r="A6" t="s">
        <v>78</v>
      </c>
      <c r="C6" t="s">
        <v>48</v>
      </c>
      <c r="D6" t="str">
        <f>extras!$A$4&amp;('K data'!I22&amp;","&amp;'K data'!I23&amp;","&amp;'K data'!I24&amp;","&amp;'K data'!I25&amp;","&amp;'K data'!I26&amp;","&amp;'K data'!I27&amp;","&amp;'K data'!I28&amp;","&amp;'K data'!I29&amp;","&amp;'K data'!I30&amp;","&amp;'K data'!I31&amp;","&amp;'K data'!I32&amp;","&amp;'K data'!I33&amp;","&amp;'K data'!I34&amp;","&amp;'K data'!I35&amp;","&amp;'K data'!I36&amp;","&amp;'K data'!I38&amp;","&amp;'K data'!I39&amp;extras!$B$4)</f>
        <v>K=c(-3.549,-7.444,-3.899,-2.7957,-1.236,-2.689,-1.446,-1.164,-6.173,-6.014,-3.18,-3.692,-4.783,-6.149,-5.635,-1.8,-1.2)</v>
      </c>
      <c r="E6" t="str">
        <f>extras!$A$4&amp;('K data'!J22&amp;","&amp;'K data'!J23&amp;","&amp;'K data'!J24&amp;","&amp;'K data'!J25&amp;","&amp;'K data'!J26&amp;","&amp;'K data'!J27&amp;","&amp;'K data'!J28&amp;","&amp;'K data'!J29&amp;","&amp;'K data'!J30&amp;","&amp;'K data'!J31&amp;","&amp;'K data'!J32&amp;","&amp;'K data'!J33&amp;","&amp;'K data'!J34&amp;","&amp;'K data'!J35&amp;","&amp;'K data'!J36&amp;","&amp;'K data'!J38&amp;","&amp;'K data'!J39&amp;extras!$B$4)</f>
        <v>K=c(,,,0.841051655351887,,,1.08,,,,,,,,,,)</v>
      </c>
      <c r="F6" t="str">
        <f>extras!$A$4&amp;('K data'!K22&amp;","&amp;'K data'!K23&amp;","&amp;'K data'!K24&amp;","&amp;'K data'!K25&amp;","&amp;'K data'!K26&amp;","&amp;'K data'!K27&amp;","&amp;'K data'!K28&amp;","&amp;'K data'!K29&amp;","&amp;'K data'!K30&amp;","&amp;'K data'!K31&amp;","&amp;'K data'!K32&amp;","&amp;'K data'!K33&amp;","&amp;'K data'!K34&amp;","&amp;'K data'!K35&amp;","&amp;'K data'!K36&amp;","&amp;'K data'!K38&amp;","&amp;'K data'!K39&amp;extras!$B$4)</f>
        <v>K=c(-2.454,-5.776,-2.715,-0.1975,0.001,-1.51462759152309,0.58,0.89,-4.442,-4.479,-1.896,-2.29,2.35,4.842,4.365,-2.1622,-1.4)</v>
      </c>
      <c r="G6" t="str">
        <f>extras!$A$4&amp;('K data'!L22&amp;","&amp;'K data'!L23&amp;","&amp;'K data'!L24&amp;","&amp;'K data'!L25&amp;","&amp;'K data'!L26&amp;","&amp;'K data'!L27&amp;","&amp;'K data'!L28&amp;","&amp;'K data'!L29&amp;","&amp;'K data'!L30&amp;","&amp;'K data'!L31&amp;","&amp;'K data'!L32&amp;","&amp;'K data'!L33&amp;","&amp;'K data'!L34&amp;","&amp;'K data'!L35&amp;","&amp;'K data'!L36&amp;","&amp;'K data'!L38&amp;","&amp;'K data'!L39&amp;extras!$B$4)</f>
        <v>K=c(-1.8,-5.9,-2.5,0.600098607998248,0.302,-0.841593035712322,0.495,-0.1,-4.636,-4.3436,-1.6367,-1.6459,3.085,6.603,7.748,-2.07340469483568,9.8109)</v>
      </c>
      <c r="H6" t="str">
        <f>extras!$A$4&amp;('K data'!M22&amp;","&amp;'K data'!M23&amp;","&amp;'K data'!M24&amp;","&amp;'K data'!M25&amp;","&amp;'K data'!M26&amp;","&amp;'K data'!M27&amp;","&amp;'K data'!M28&amp;","&amp;'K data'!M29&amp;","&amp;'K data'!M30&amp;","&amp;'K data'!M31&amp;","&amp;'K data'!M32&amp;","&amp;'K data'!M33&amp;","&amp;'K data'!M34&amp;","&amp;'K data'!M35&amp;","&amp;'K data'!M36&amp;","&amp;'K data'!M38&amp;","&amp;'K data'!M39&amp;extras!$B$4)</f>
        <v>K=c(-1.4969,-5.6,-2.443,0.528345816514725,0.5,-0.496420149009737,0.41,11.342,-4.358,-4.0816,-1.4524,-1.356,3.2591,6.5193,7.8155,-2.17750503679633,9.4469)</v>
      </c>
      <c r="I6" t="str">
        <f>extras!$A$4&amp;('K data'!N22&amp;","&amp;'K data'!N23&amp;","&amp;'K data'!N24&amp;","&amp;'K data'!N25&amp;","&amp;'K data'!N26&amp;","&amp;'K data'!N27&amp;","&amp;'K data'!N28&amp;","&amp;'K data'!N29&amp;","&amp;'K data'!N30&amp;","&amp;'K data'!N31&amp;","&amp;'K data'!N32&amp;","&amp;'K data'!N33&amp;","&amp;'K data'!N34&amp;","&amp;'K data'!N35&amp;","&amp;'K data'!N36&amp;","&amp;'K data'!N38&amp;","&amp;'K data'!N39&amp;extras!$B$4)</f>
        <v>K=c(-1.1805,-5.4134,-1.8612,0.2935,0.8339,0.0872419149277448,0.4,11.4847,-3.5566,-3.3363,-0.7869,-0.8602,3.757,7.3806,8.5583,-2.47625860720702,8.565)</v>
      </c>
      <c r="J6" t="str">
        <f>extras!$A$4&amp;('K data'!O22&amp;","&amp;'K data'!O23&amp;","&amp;'K data'!O24&amp;","&amp;'K data'!O25&amp;","&amp;'K data'!O26&amp;","&amp;'K data'!O27&amp;","&amp;'K data'!O28&amp;","&amp;'K data'!O29&amp;","&amp;'K data'!O30&amp;","&amp;'K data'!O31&amp;","&amp;'K data'!O32&amp;","&amp;'K data'!O33&amp;","&amp;'K data'!O34&amp;","&amp;'K data'!O35&amp;","&amp;'K data'!O36&amp;","&amp;'K data'!O38&amp;","&amp;'K data'!O39&amp;extras!$B$4)</f>
        <v>K=c(,-4.2717,-1.459,0.635,1.0036,0.410941248459039,,11.8362,-3.0907,-2.9089,-0.3556,-0.5789,4.0205,8.3151,9.3958,-2.8456144629564,8.2488)</v>
      </c>
      <c r="K6" t="str">
        <f>extras!$A$4&amp;('K data'!P22&amp;","&amp;'K data'!P23&amp;","&amp;'K data'!P24&amp;","&amp;'K data'!P25&amp;","&amp;'K data'!P26&amp;","&amp;'K data'!P27&amp;","&amp;'K data'!P28&amp;","&amp;'K data'!P29&amp;","&amp;'K data'!P30&amp;","&amp;'K data'!P31&amp;","&amp;'K data'!P32&amp;","&amp;'K data'!P33&amp;","&amp;'K data'!P34&amp;","&amp;'K data'!P35&amp;","&amp;'K data'!P36&amp;","&amp;'K data'!P38&amp;","&amp;'K data'!P39&amp;extras!$B$4)</f>
        <v>K=c(0.979212889675734,-3.241,-1.1545,0.9856,1.1997,0.616141130303731,-0.021,12.4676,-2.7375,-2.5873,-0.1077,-0.4688,4.146,9.4383,10.4366,-3.31395353075171,8.2042)</v>
      </c>
      <c r="L6" t="str">
        <f>extras!$A$4&amp;('K data'!V22&amp;","&amp;'K data'!V23&amp;","&amp;'K data'!V24&amp;","&amp;'K data'!V25&amp;","&amp;'K data'!V26&amp;","&amp;'K data'!V27&amp;","&amp;'K data'!V28&amp;","&amp;'K data'!V29&amp;","&amp;'K data'!V30&amp;","&amp;'K data'!V31&amp;","&amp;'K data'!V32&amp;","&amp;'K data'!V33&amp;","&amp;'K data'!V34&amp;","&amp;'K data'!V35&amp;","&amp;'K data'!V36&amp;","&amp;'K data'!V38&amp;","&amp;'K data'!V39&amp;extras!$B$4)</f>
        <v>K=c(,,,,,,,,,,,,,,,,)</v>
      </c>
    </row>
    <row r="7" spans="1:20" x14ac:dyDescent="0.25">
      <c r="A7" t="s">
        <v>75</v>
      </c>
      <c r="B7" t="s">
        <v>33</v>
      </c>
      <c r="C7" t="s">
        <v>111</v>
      </c>
      <c r="D7" t="str">
        <f>extras!$A$4&amp;('K data'!I22&amp;","&amp;'K data'!I23&amp;","&amp;'K data'!I24&amp;","&amp;'K data'!I25&amp;","&amp;'K data'!I26&amp;","&amp;'K data'!I27&amp;","&amp;'K data'!I28&amp;","&amp;'K data'!I29&amp;","&amp;'K data'!I30&amp;","&amp;'K data'!I31&amp;","&amp;'K data'!I32&amp;","&amp;'K data'!I33&amp;","&amp;'K data'!I34&amp;","&amp;'K data'!I35&amp;","&amp;'K data'!I36&amp;extras!$B$4)</f>
        <v>K=c(-3.549,-7.444,-3.899,-2.7957,-1.236,-2.689,-1.446,-1.164,-6.173,-6.014,-3.18,-3.692,-4.783,-6.149,-5.635)</v>
      </c>
      <c r="E7" t="str">
        <f>extras!$A$4&amp;('K data'!J22&amp;","&amp;'K data'!J23&amp;","&amp;'K data'!J24&amp;","&amp;'K data'!J25&amp;","&amp;'K data'!J26&amp;","&amp;'K data'!J27&amp;","&amp;'K data'!J28&amp;","&amp;'K data'!J29&amp;","&amp;'K data'!J30&amp;","&amp;'K data'!J31&amp;","&amp;'K data'!J32&amp;","&amp;'K data'!J33&amp;","&amp;'K data'!J34&amp;","&amp;'K data'!J35&amp;","&amp;'K data'!J36&amp;extras!$B$4)</f>
        <v>K=c(,,,0.841051655351887,,,1.08,,,,,,,,)</v>
      </c>
      <c r="F7" t="str">
        <f>extras!$A$4&amp;('K data'!K22&amp;","&amp;'K data'!K23&amp;","&amp;'K data'!K24&amp;","&amp;'K data'!K25&amp;","&amp;'K data'!K26&amp;","&amp;'K data'!K27&amp;","&amp;'K data'!K28&amp;","&amp;'K data'!K29&amp;","&amp;'K data'!K30&amp;","&amp;'K data'!K31&amp;","&amp;'K data'!K32&amp;","&amp;'K data'!K33&amp;","&amp;'K data'!K34&amp;","&amp;'K data'!K35&amp;","&amp;'K data'!K36&amp;extras!$B$4)</f>
        <v>K=c(-2.454,-5.776,-2.715,-0.1975,0.001,-1.51462759152309,0.58,0.89,-4.442,-4.479,-1.896,-2.29,2.35,4.842,4.365)</v>
      </c>
      <c r="G7" t="str">
        <f>extras!$A$4&amp;('K data'!L22&amp;","&amp;'K data'!L23&amp;","&amp;'K data'!L24&amp;","&amp;'K data'!L25&amp;","&amp;'K data'!L26&amp;","&amp;'K data'!L27&amp;","&amp;'K data'!L28&amp;","&amp;'K data'!L29&amp;","&amp;'K data'!L30&amp;","&amp;'K data'!L31&amp;","&amp;'K data'!L32&amp;","&amp;'K data'!L33&amp;","&amp;'K data'!L34&amp;","&amp;'K data'!L35&amp;","&amp;'K data'!L36&amp;extras!$B$4)</f>
        <v>K=c(-1.8,-5.9,-2.5,0.600098607998248,0.302,-0.841593035712322,0.495,-0.1,-4.636,-4.3436,-1.6367,-1.6459,3.085,6.603,7.748)</v>
      </c>
      <c r="H7" t="str">
        <f>extras!$A$4&amp;('K data'!M22&amp;","&amp;'K data'!M23&amp;","&amp;'K data'!M24&amp;","&amp;'K data'!M25&amp;","&amp;'K data'!M26&amp;","&amp;'K data'!M27&amp;","&amp;'K data'!M28&amp;","&amp;'K data'!M29&amp;","&amp;'K data'!M30&amp;","&amp;'K data'!M31&amp;","&amp;'K data'!M32&amp;","&amp;'K data'!M33&amp;","&amp;'K data'!M34&amp;","&amp;'K data'!M35&amp;","&amp;'K data'!M36&amp;extras!$B$4)</f>
        <v>K=c(-1.4969,-5.6,-2.443,0.528345816514725,0.5,-0.496420149009737,0.41,11.342,-4.358,-4.0816,-1.4524,-1.356,3.2591,6.5193,7.8155)</v>
      </c>
      <c r="I7" t="str">
        <f>extras!$A$4&amp;('K data'!N22&amp;","&amp;'K data'!N23&amp;","&amp;'K data'!N24&amp;","&amp;'K data'!N25&amp;","&amp;'K data'!N26&amp;","&amp;'K data'!N27&amp;","&amp;'K data'!N28&amp;","&amp;'K data'!N29&amp;","&amp;'K data'!N30&amp;","&amp;'K data'!N31&amp;","&amp;'K data'!N32&amp;","&amp;'K data'!N33&amp;","&amp;'K data'!N34&amp;","&amp;'K data'!N35&amp;","&amp;'K data'!N36&amp;extras!$B$4)</f>
        <v>K=c(-1.1805,-5.4134,-1.8612,0.2935,0.8339,0.0872419149277448,0.4,11.4847,-3.5566,-3.3363,-0.7869,-0.8602,3.757,7.3806,8.5583)</v>
      </c>
      <c r="J7" t="str">
        <f>extras!$A$4&amp;('K data'!O22&amp;","&amp;'K data'!O23&amp;","&amp;'K data'!O24&amp;","&amp;'K data'!O25&amp;","&amp;'K data'!O26&amp;","&amp;'K data'!O27&amp;","&amp;'K data'!O28&amp;","&amp;'K data'!O29&amp;","&amp;'K data'!O30&amp;","&amp;'K data'!O31&amp;","&amp;'K data'!O32&amp;","&amp;'K data'!O33&amp;","&amp;'K data'!O34&amp;","&amp;'K data'!O35&amp;","&amp;'K data'!O36&amp;extras!$B$4)</f>
        <v>K=c(,-4.2717,-1.459,0.635,1.0036,0.410941248459039,,11.8362,-3.0907,-2.9089,-0.3556,-0.5789,4.0205,8.3151,9.3958)</v>
      </c>
      <c r="K7" t="str">
        <f>extras!$A$4&amp;('K data'!P22&amp;","&amp;'K data'!P23&amp;","&amp;'K data'!P24&amp;","&amp;'K data'!P25&amp;","&amp;'K data'!P26&amp;","&amp;'K data'!P27&amp;","&amp;'K data'!P28&amp;","&amp;'K data'!P29&amp;","&amp;'K data'!P30&amp;","&amp;'K data'!P31&amp;","&amp;'K data'!P32&amp;","&amp;'K data'!P33&amp;","&amp;'K data'!P34&amp;","&amp;'K data'!P35&amp;","&amp;'K data'!P36&amp;extras!$B$4)</f>
        <v>K=c(0.979212889675734,-3.241,-1.1545,0.9856,1.1997,0.616141130303731,-0.021,12.4676,-2.7375,-2.5873,-0.1077,-0.4688,4.146,9.4383,10.4366)</v>
      </c>
      <c r="L7" t="str">
        <f>extras!$A$4&amp;('K data'!V22&amp;","&amp;'K data'!V23&amp;","&amp;'K data'!V24&amp;","&amp;'K data'!V25&amp;","&amp;'K data'!V26&amp;","&amp;'K data'!V27&amp;","&amp;'K data'!V28&amp;","&amp;'K data'!V29&amp;","&amp;'K data'!V30&amp;","&amp;'K data'!V31&amp;","&amp;'K data'!V32&amp;","&amp;'K data'!V33&amp;","&amp;'K data'!V34&amp;","&amp;'K data'!V35&amp;","&amp;'K data'!V36&amp;extras!$B$4)</f>
        <v>K=c(,,,,,,,,,,,,,,)</v>
      </c>
    </row>
    <row r="8" spans="1:20" x14ac:dyDescent="0.25">
      <c r="A8" t="s">
        <v>79</v>
      </c>
      <c r="B8" t="s">
        <v>33</v>
      </c>
    </row>
    <row r="9" spans="1:20" x14ac:dyDescent="0.25">
      <c r="A9" t="s">
        <v>72</v>
      </c>
      <c r="B9" t="s">
        <v>33</v>
      </c>
    </row>
    <row r="10" spans="1:20" x14ac:dyDescent="0.25">
      <c r="A10" t="s">
        <v>61</v>
      </c>
    </row>
    <row r="11" spans="1:20" x14ac:dyDescent="0.25">
      <c r="A11" t="s">
        <v>62</v>
      </c>
    </row>
    <row r="12" spans="1:20" x14ac:dyDescent="0.25">
      <c r="A12" t="s">
        <v>63</v>
      </c>
      <c r="B12" t="s">
        <v>33</v>
      </c>
    </row>
    <row r="13" spans="1:20" x14ac:dyDescent="0.25">
      <c r="A13" t="s">
        <v>71</v>
      </c>
      <c r="B13" t="s">
        <v>33</v>
      </c>
      <c r="T13" s="2"/>
    </row>
    <row r="14" spans="1:20" x14ac:dyDescent="0.25">
      <c r="A14" t="s">
        <v>97</v>
      </c>
      <c r="B14" t="s">
        <v>98</v>
      </c>
    </row>
    <row r="15" spans="1:20" x14ac:dyDescent="0.25">
      <c r="A15" t="s">
        <v>105</v>
      </c>
      <c r="B15" t="s">
        <v>107</v>
      </c>
    </row>
    <row r="16" spans="1:20" x14ac:dyDescent="0.25">
      <c r="A16" t="s">
        <v>36</v>
      </c>
      <c r="B16" t="s">
        <v>33</v>
      </c>
    </row>
    <row r="17" spans="1:22" x14ac:dyDescent="0.25">
      <c r="A17" s="1" t="s">
        <v>45</v>
      </c>
    </row>
    <row r="18" spans="1:22" x14ac:dyDescent="0.25">
      <c r="A18" s="10">
        <v>35.453000000000003</v>
      </c>
      <c r="B18" s="3" t="s">
        <v>49</v>
      </c>
    </row>
    <row r="19" spans="1:22" x14ac:dyDescent="0.25">
      <c r="A19" s="10">
        <v>96.06</v>
      </c>
      <c r="B19" s="3" t="s">
        <v>50</v>
      </c>
    </row>
    <row r="20" spans="1:22" x14ac:dyDescent="0.25">
      <c r="A20" s="10">
        <v>22.989768999999999</v>
      </c>
      <c r="B20" s="3" t="s">
        <v>51</v>
      </c>
    </row>
    <row r="21" spans="1:22" x14ac:dyDescent="0.25">
      <c r="A21" s="10">
        <v>39.098300000000002</v>
      </c>
      <c r="B21" s="3" t="s">
        <v>52</v>
      </c>
    </row>
    <row r="22" spans="1:22" x14ac:dyDescent="0.25">
      <c r="A22" s="10">
        <v>60.08</v>
      </c>
      <c r="B22" s="3" t="s">
        <v>43</v>
      </c>
    </row>
    <row r="23" spans="1:22" x14ac:dyDescent="0.25">
      <c r="A23" s="10">
        <v>40.078000000000003</v>
      </c>
      <c r="B23" s="3" t="s">
        <v>44</v>
      </c>
    </row>
    <row r="24" spans="1:22" x14ac:dyDescent="0.25">
      <c r="A24">
        <v>55.844999999999999</v>
      </c>
      <c r="B24" s="3" t="s">
        <v>46</v>
      </c>
    </row>
    <row r="25" spans="1:22" ht="15.75" thickBot="1" x14ac:dyDescent="0.3">
      <c r="A25">
        <v>24.305</v>
      </c>
      <c r="B25" s="3" t="s">
        <v>47</v>
      </c>
    </row>
    <row r="26" spans="1:22" ht="15.75" thickTop="1" x14ac:dyDescent="0.25">
      <c r="A26">
        <v>26.981539000000001</v>
      </c>
      <c r="B26" s="3" t="s">
        <v>48</v>
      </c>
      <c r="U26" s="59" t="s">
        <v>150</v>
      </c>
    </row>
    <row r="27" spans="1:22" x14ac:dyDescent="0.25">
      <c r="U27" t="s">
        <v>5</v>
      </c>
      <c r="V27" t="str">
        <f>extras!A1&amp;('K data'!D25&amp;extras!B1)</f>
        <v>names=c("NaCl")</v>
      </c>
    </row>
    <row r="28" spans="1:22" ht="15.75" thickBot="1" x14ac:dyDescent="0.3">
      <c r="U28" s="37"/>
      <c r="V28" t="str">
        <f>extras!A2&amp;('K data'!G25&amp;extras!B2)</f>
        <v>number=c(2)</v>
      </c>
    </row>
    <row r="29" spans="1:22" ht="15.75" thickTop="1" x14ac:dyDescent="0.25">
      <c r="A29" s="59" t="s">
        <v>103</v>
      </c>
      <c r="B29" t="str">
        <f>extras!A1&amp;('K data'!D22&amp;","&amp;'K data'!D23&amp;","&amp;'K data'!D24&amp;","&amp;'K data'!D25&amp;","&amp;'K data'!D26&amp;","&amp;'K data'!D27&amp;","&amp;'K data'!D28&amp;","&amp;'K data'!D29&amp;","&amp;'K data'!D30&amp;","&amp;'K data'!D31&amp;","&amp;'K data'!D32&amp;","&amp;'K data'!D33&amp;","&amp;'K data'!D34&amp;","&amp;'K data'!D35&amp;","&amp;'K data'!D36&amp;","&amp;'K data'!D38&amp;","&amp;'K data'!D39&amp;","&amp;'K data'!D40&amp;","&amp;'K data'!D41&amp;extras!B1)</f>
        <v>names=c("NaSO4","HSO4","KSO4","NaCl","KCl","HCl","KOH","NaOH","CaSO4","MgSO4","MgCl","CaCl","CaCl2","MgOH","CaOH","H4SiO4","NaH3SiO4","AlOH","AlSO4")</v>
      </c>
      <c r="U29" s="37"/>
      <c r="V29" t="str">
        <f>extras!A3&amp;('K data'!E25&amp;","&amp;'K data'!F25&amp;extras!B3)</f>
        <v>species=c("Na","Cl")</v>
      </c>
    </row>
    <row r="30" spans="1:22" x14ac:dyDescent="0.25">
      <c r="A30" s="37"/>
      <c r="B30" t="str">
        <f>extras!A2&amp;('K data'!G22&amp;","&amp;'K data'!G23&amp;","&amp;'K data'!G24&amp;","&amp;'K data'!G25&amp;","&amp;'K data'!G26&amp;","&amp;'K data'!G27&amp;","&amp;'K data'!G28&amp;","&amp;'K data'!G29&amp;","&amp;'K data'!G30&amp;","&amp;'K data'!G31&amp;","&amp;'K data'!G32&amp;","&amp;'K data'!G33&amp;","&amp;'K data'!G34&amp;","&amp;'K data'!G35&amp;","&amp;'K data'!G36&amp;","&amp;'K data'!G38&amp;","&amp;'K data'!G39&amp;","&amp;'K data'!G40&amp;","&amp;'K data'!G41&amp;extras!B2)</f>
        <v>number=c(2,2,2,2,2,2,2,2,2,2,2,2,3,2,2,2,2,2,2)</v>
      </c>
      <c r="U30" s="37"/>
      <c r="V30" t="str">
        <f>extras!A4&amp;'K data'!S25&amp;extras!B5</f>
        <v>K=c(0.69833852651331)</v>
      </c>
    </row>
    <row r="31" spans="1:22" x14ac:dyDescent="0.25">
      <c r="A31" s="37"/>
      <c r="B31" t="str">
        <f>extras!A3&amp;('K data'!E22&amp;","&amp;'K data'!F22&amp;","&amp;'K data'!E23&amp;","&amp;'K data'!F23&amp;","&amp;'K data'!E24&amp;","&amp;'K data'!F24&amp;","&amp;'K data'!E25&amp;","&amp;'K data'!F25&amp;","&amp;'K data'!E26&amp;","&amp;'K data'!F26&amp;","&amp;'K data'!E27&amp;","&amp;'K data'!F27&amp;","&amp;'K data'!E28&amp;","&amp;'K data'!F28&amp;","&amp;'K data'!E29&amp;","&amp;'K data'!F29&amp;","&amp;'K data'!E30&amp;","&amp;'K data'!F30&amp;","&amp;'K data'!E31&amp;","&amp;'K data'!F31&amp;","&amp;'K data'!E32&amp;","&amp;'K data'!F32&amp;","&amp;'K data'!E33&amp;","&amp;'K data'!F33&amp;","&amp;'K data'!E34&amp;","&amp;'K data'!F34&amp;","&amp;'K data'!E35&amp;","&amp;'K data'!F35&amp;","&amp;'K data'!E36&amp;","&amp;'K data'!F36&amp;","&amp;'K data'!E38&amp;","&amp;'K data'!F38&amp;","&amp;'K data'!E39&amp;","&amp;'K data'!F39&amp;","&amp;'K data'!E40&amp;","&amp;'K data'!F40&amp;","&amp;'K data'!E41&amp;","&amp;'K data'!F41&amp;extras!B3)</f>
        <v>species=c("Na","SO4","H","SO4","K","SO4","Na","Cl","K","Cl","H","Cl","K","OH","Na","OH","Ca","SO4","Mg","SO4","Mg","Cl","Ca","Cl","Ca","Cl","Cl","Mg","OH","Ca","OH","H","H3SiO4","Na","H3SiO4","Al","OH","Al","SO4")</v>
      </c>
      <c r="U31" s="37"/>
      <c r="V31" t="str">
        <f>extras!A5&amp;('K data'!U25&amp;extras!B5)</f>
        <v>a=c(4)</v>
      </c>
    </row>
    <row r="32" spans="1:22" x14ac:dyDescent="0.25">
      <c r="A32" s="37"/>
      <c r="B32" t="str">
        <f>IF(CALUCLATIONS!F2=400,extras!D4,(IF(CALUCLATIONS!F2=350,extras!E4,(IF(CALUCLATIONS!F2=300,extras!F4,(IF(CALUCLATIONS!F2=250,extras!H4,(IF(CALUCLATIONS!F2=200,extras!I4,(IF(CALUCLATIONS!F2=150,extras!J4,(IF(CALUCLATIONS!F2=100,extras!K4,(IF(CALUCLATIONS!F2=270,G4,L4)))))))))))))))</f>
        <v>K=c(-2.454,-5.776,-2.715,-0.1975,0.001,-1.51462759152309,0.58,0.89,-4.442,-4.479,-1.896,-2.29,2.35,4.842,4.365,-2.1622,-1.4,1.35,-9.5826)</v>
      </c>
      <c r="U32" s="37"/>
    </row>
    <row r="33" spans="1:22" ht="15.75" thickBot="1" x14ac:dyDescent="0.3">
      <c r="A33" s="37"/>
      <c r="B33" t="str">
        <f>extras!A5&amp;('K data'!U22&amp;","&amp;'K data'!U23&amp;","&amp;'K data'!U24&amp;","&amp;'K data'!U25&amp;","&amp;'K data'!U26&amp;","&amp;'K data'!U27&amp;","&amp;'K data'!U28&amp;","&amp;'K data'!U29&amp;","&amp;'K data'!U30&amp;","&amp;'K data'!U31&amp;","&amp;'K data'!U32&amp;","&amp;'K data'!U33&amp;","&amp;'K data'!U34&amp;","&amp;'K data'!U35&amp;","&amp;'K data'!U36&amp;","&amp;'K data'!U38&amp;","&amp;'K data'!U39&amp;","&amp;'K data'!U40&amp;","&amp;'K data'!U41&amp;extras!B5)</f>
        <v>a=c(4,4,4,4,4,4,4,4,4,4,8,6,4,8,6,4,4,5,4)</v>
      </c>
      <c r="U33" s="37"/>
    </row>
    <row r="34" spans="1:22" ht="15.75" thickTop="1" x14ac:dyDescent="0.25">
      <c r="A34" s="59" t="s">
        <v>103</v>
      </c>
      <c r="U34" s="59" t="s">
        <v>103</v>
      </c>
    </row>
    <row r="35" spans="1:22" x14ac:dyDescent="0.25">
      <c r="A35" s="37"/>
      <c r="B35" t="str">
        <f>extras!A1&amp;('K data'!D22&amp;","&amp;'K data'!D23&amp;","&amp;'K data'!D24&amp;","&amp;'K data'!D25&amp;","&amp;'K data'!D26&amp;","&amp;'K data'!D27&amp;","&amp;'K data'!D28&amp;","&amp;'K data'!D29&amp;","&amp;'K data'!D30&amp;","&amp;'K data'!D31&amp;","&amp;'K data'!D32&amp;","&amp;'K data'!D33&amp;","&amp;'K data'!D34&amp;","&amp;'K data'!D35&amp;","&amp;'K data'!D36&amp;","&amp;'K data'!D38&amp;","&amp;'K data'!D39&amp;extras!B1)</f>
        <v>names=c("NaSO4","HSO4","KSO4","NaCl","KCl","HCl","KOH","NaOH","CaSO4","MgSO4","MgCl","CaCl","CaCl2","MgOH","CaOH","H4SiO4","NaH3SiO4")</v>
      </c>
      <c r="U35" t="s">
        <v>110</v>
      </c>
      <c r="V35" t="str">
        <f>extras!A1&amp;('K data'!D22&amp;","&amp;'K data'!D23&amp;","&amp;'K data'!D24&amp;","&amp;'K data'!D25&amp;","&amp;'K data'!D26&amp;","&amp;'K data'!D27&amp;","&amp;'K data'!D28&amp;","&amp;'K data'!D29&amp;","&amp;'K data'!D30&amp;","&amp;'K data'!D31&amp;","&amp;'K data'!D32&amp;","&amp;'K data'!D33&amp;","&amp;'K data'!D34&amp;","&amp;'K data'!D35&amp;","&amp;'K data'!D36&amp;extras!B1)</f>
        <v>names=c("NaSO4","HSO4","KSO4","NaCl","KCl","HCl","KOH","NaOH","CaSO4","MgSO4","MgCl","CaCl","CaCl2","MgOH","CaOH")</v>
      </c>
    </row>
    <row r="36" spans="1:22" x14ac:dyDescent="0.25">
      <c r="A36" s="37"/>
      <c r="B36" t="str">
        <f>extras!A2&amp;('K data'!G22&amp;","&amp;'K data'!G23&amp;","&amp;'K data'!G24&amp;","&amp;'K data'!G25&amp;","&amp;'K data'!G26&amp;","&amp;'K data'!G27&amp;","&amp;'K data'!G28&amp;","&amp;'K data'!G29&amp;","&amp;'K data'!G30&amp;","&amp;'K data'!G31&amp;","&amp;'K data'!G32&amp;","&amp;'K data'!G33&amp;","&amp;'K data'!G34&amp;","&amp;'K data'!G35&amp;","&amp;'K data'!G36&amp;","&amp;'K data'!G38&amp;","&amp;'K data'!G39&amp;extras!B2)</f>
        <v>number=c(2,2,2,2,2,2,2,2,2,2,2,2,3,2,2,2,2)</v>
      </c>
      <c r="U36" s="37"/>
      <c r="V36" t="str">
        <f>extras!A2&amp;('K data'!G22&amp;","&amp;'K data'!G23&amp;","&amp;'K data'!G24&amp;","&amp;'K data'!G25&amp;","&amp;'K data'!G26&amp;","&amp;'K data'!G27&amp;","&amp;'K data'!G28&amp;","&amp;'K data'!G29&amp;","&amp;'K data'!G30&amp;","&amp;'K data'!G31&amp;","&amp;'K data'!G32&amp;","&amp;'K data'!G33&amp;","&amp;'K data'!G34&amp;","&amp;'K data'!G35&amp;","&amp;'K data'!G36&amp;extras!B2)</f>
        <v>number=c(2,2,2,2,2,2,2,2,2,2,2,2,3,2,2)</v>
      </c>
    </row>
    <row r="37" spans="1:22" x14ac:dyDescent="0.25">
      <c r="A37" s="37"/>
      <c r="B37" t="str">
        <f>extras!A3&amp;('K data'!E22&amp;","&amp;'K data'!F22&amp;","&amp;'K data'!E23&amp;","&amp;'K data'!F23&amp;","&amp;'K data'!E24&amp;","&amp;'K data'!F24&amp;","&amp;'K data'!E25&amp;","&amp;'K data'!F25&amp;","&amp;'K data'!E26&amp;","&amp;'K data'!F26&amp;","&amp;'K data'!E27&amp;","&amp;'K data'!F27&amp;","&amp;'K data'!E28&amp;","&amp;'K data'!F28&amp;","&amp;'K data'!E29&amp;","&amp;'K data'!F29&amp;","&amp;'K data'!E30&amp;","&amp;'K data'!F30&amp;","&amp;'K data'!E31&amp;","&amp;'K data'!F31&amp;","&amp;'K data'!E32&amp;","&amp;'K data'!F32&amp;","&amp;'K data'!E33&amp;","&amp;'K data'!F33&amp;","&amp;'K data'!E34&amp;","&amp;'K data'!F34&amp;","&amp;'K data'!E35&amp;","&amp;'K data'!F35&amp;","&amp;'K data'!E36&amp;","&amp;'K data'!F36&amp;","&amp;'K data'!E38&amp;","&amp;'K data'!F38&amp;","&amp;'K data'!E39&amp;","&amp;'K data'!F39&amp;extras!B3)</f>
        <v>species=c("Na","SO4","H","SO4","K","SO4","Na","Cl","K","Cl","H","Cl","K","OH","Na","OH","Ca","SO4","Mg","SO4","Mg","Cl","Ca","Cl","Ca","Cl","Cl","Mg","OH","Ca","OH","H","H3SiO4","Na","H3SiO4")</v>
      </c>
      <c r="U37" s="37"/>
      <c r="V37" t="str">
        <f>extras!A3&amp;('K data'!E22&amp;","&amp;'K data'!F22&amp;","&amp;'K data'!E23&amp;","&amp;'K data'!F23&amp;","&amp;'K data'!E24&amp;","&amp;'K data'!F24&amp;","&amp;'K data'!E25&amp;","&amp;'K data'!F25&amp;","&amp;'K data'!E26&amp;","&amp;'K data'!F26&amp;","&amp;'K data'!E27&amp;","&amp;'K data'!F27&amp;","&amp;'K data'!E28&amp;","&amp;'K data'!F28&amp;","&amp;'K data'!E29&amp;","&amp;'K data'!F29&amp;","&amp;'K data'!E30&amp;","&amp;'K data'!F30&amp;","&amp;'K data'!E31&amp;","&amp;'K data'!F31&amp;","&amp;'K data'!E32&amp;","&amp;'K data'!F32&amp;","&amp;'K data'!E33&amp;","&amp;'K data'!F33&amp;","&amp;'K data'!E34&amp;","&amp;'K data'!F34&amp;","&amp;'K data'!E35&amp;","&amp;'K data'!F35&amp;","&amp;'K data'!E36&amp;","&amp;'K data'!F36&amp;","&amp;'K data'!E38&amp;","&amp;'K data'!F38&amp;","&amp;'K data'!E39&amp;","&amp;'K data'!F39&amp;extras!B3)</f>
        <v>species=c("Na","SO4","H","SO4","K","SO4","Na","Cl","K","Cl","H","Cl","K","OH","Na","OH","Ca","SO4","Mg","SO4","Mg","Cl","Ca","Cl","Ca","Cl","Cl","Mg","OH","Ca","OH","H","H3SiO4","Na","H3SiO4")</v>
      </c>
    </row>
    <row r="38" spans="1:22" x14ac:dyDescent="0.25">
      <c r="A38" s="37"/>
      <c r="B38" t="str">
        <f>IF(CALUCLATIONS!F2=400,extras!D6,(IF(CALUCLATIONS!F2=350,extras!E6,(IF(CALUCLATIONS!F2=300,extras!F6,(IF(CALUCLATIONS!F2=250,extras!H6,(IF(CALUCLATIONS!F2=200,extras!I6,(IF(CALUCLATIONS!F2=150,extras!J6,(IF(CALUCLATIONS!F2=100,extras!K6,(IF(CALUCLATIONS!F2=270,G6,L6)))))))))))))))</f>
        <v>K=c(-2.454,-5.776,-2.715,-0.1975,0.001,-1.51462759152309,0.58,0.89,-4.442,-4.479,-1.896,-2.29,2.35,4.842,4.365,-2.1622,-1.4)</v>
      </c>
      <c r="U38" s="37"/>
      <c r="V38" t="str">
        <f>IF(CALUCLATIONS!F2=400,extras!D7,(IF(CALUCLATIONS!F2=350,extras!E7,(IF(CALUCLATIONS!F2=300,extras!F7,(IF(CALUCLATIONS!F2=250,extras!H7,(IF(CALUCLATIONS!F2=200,extras!I7,(IF(CALUCLATIONS!F2=150,extras!J7,(IF(CALUCLATIONS!F2=100,extras!K7,(IF(CALUCLATIONS!F2=270,G7,L7)))))))))))))))</f>
        <v>K=c(-2.454,-5.776,-2.715,-0.1975,0.001,-1.51462759152309,0.58,0.89,-4.442,-4.479,-1.896,-2.29,2.35,4.842,4.365)</v>
      </c>
    </row>
    <row r="39" spans="1:22" x14ac:dyDescent="0.25">
      <c r="A39" s="37"/>
      <c r="B39" t="str">
        <f>extras!A5&amp;('K data'!U22&amp;","&amp;'K data'!U23&amp;","&amp;'K data'!U24&amp;","&amp;'K data'!U25&amp;","&amp;'K data'!U26&amp;","&amp;'K data'!U27&amp;","&amp;'K data'!U28&amp;","&amp;'K data'!U29&amp;","&amp;'K data'!U30&amp;","&amp;'K data'!U31&amp;","&amp;'K data'!U32&amp;","&amp;'K data'!U33&amp;","&amp;'K data'!U34&amp;","&amp;'K data'!U35&amp;","&amp;'K data'!U36&amp;","&amp;'K data'!U38&amp;","&amp;'K data'!U39&amp;extras!B5)</f>
        <v>a=c(4,4,4,4,4,4,4,4,4,4,8,6,4,8,6,4,4)</v>
      </c>
      <c r="U39" s="37"/>
      <c r="V39" t="str">
        <f>extras!A5&amp;('K data'!U22&amp;","&amp;'K data'!U23&amp;","&amp;'K data'!U24&amp;","&amp;'K data'!U25&amp;","&amp;'K data'!U26&amp;","&amp;'K data'!U27&amp;","&amp;'K data'!U28&amp;","&amp;'K data'!U29&amp;","&amp;'K data'!U30&amp;","&amp;'K data'!U31&amp;","&amp;'K data'!U32&amp;","&amp;'K data'!U33&amp;","&amp;'K data'!U34&amp;","&amp;'K data'!U35&amp;","&amp;'K data'!U36&amp;extras!B5)</f>
        <v>a=c(4,4,4,4,4,4,4,4,4,4,8,6,4,8,6)</v>
      </c>
    </row>
    <row r="40" spans="1:22" x14ac:dyDescent="0.25">
      <c r="A40" s="37"/>
      <c r="U40" s="37"/>
    </row>
    <row r="41" spans="1:22" x14ac:dyDescent="0.25">
      <c r="A41" s="37"/>
      <c r="U41" s="37"/>
    </row>
    <row r="43" spans="1:22" ht="15.75" thickBot="1" x14ac:dyDescent="0.3"/>
    <row r="44" spans="1:22" ht="15.75" thickTop="1" x14ac:dyDescent="0.25">
      <c r="U44" s="59"/>
    </row>
    <row r="45" spans="1:22" x14ac:dyDescent="0.25">
      <c r="U45" s="37"/>
    </row>
    <row r="46" spans="1:22" x14ac:dyDescent="0.25">
      <c r="A46" s="36"/>
      <c r="B46" t="str">
        <f>extras!A7&amp;CALUCLATIONS!G8&amp;", "&amp;CALUCLATIONS!G7&amp;extras!B7</f>
        <v>solva = c("9", "4")</v>
      </c>
      <c r="D46" t="str">
        <f>A6&amp;'K data'!G5</f>
        <v xml:space="preserve"> Ksoln = -11.3307238274862</v>
      </c>
      <c r="F46" t="str">
        <f>extras!A13&amp;CALUCLATIONS!H9&amp;","&amp;CALUCLATIONS!H10&amp;","&amp;CALUCLATIONS!H11&amp;","&amp;CALUCLATIONS!H12&amp;","&amp;CALUCLATIONS!H13&amp;","&amp;CALUCLATIONS!H14&amp;","&amp;CALUCLATIONS!H16&amp;","&amp;CALUCLATIONS!H17&amp;extras!B13&amp;","</f>
        <v>species = c("Cl","SO4","Na","K","H3SiO4","Ca","Mg","Al"),</v>
      </c>
      <c r="U46" s="37"/>
    </row>
    <row r="47" spans="1:22" x14ac:dyDescent="0.25">
      <c r="A47" s="36"/>
      <c r="B47" t="str">
        <f>B46&amp;","&amp;D46&amp;","&amp;F46</f>
        <v>solva = c("9", "4"), Ksoln = -11.3307238274862,species = c("Cl","SO4","Na","K","H3SiO4","Ca","Mg","Al"),</v>
      </c>
      <c r="U47" s="37"/>
    </row>
    <row r="48" spans="1:22" x14ac:dyDescent="0.25">
      <c r="A48" s="36"/>
      <c r="B48" t="str">
        <f>extras!A8&amp;(CALUCLATIONS!I9&amp;", "&amp;CALUCLATIONS!I10&amp;", "&amp;CALUCLATIONS!I11&amp;", "&amp;CALUCLATIONS!I12&amp;", "&amp;CALUCLATIONS!I13&amp;", "&amp;CALUCLATIONS!I14&amp;","&amp;CALUCLATIONS!I16&amp;","&amp;CALUCLATIONS!I17&amp;""&amp;extras!B8)</f>
        <v xml:space="preserve"> conc = c(0.0477483707152081, 0, 0.0478473707152081, 0, 0, 0,0,0)</v>
      </c>
      <c r="U48" s="37"/>
    </row>
    <row r="49" spans="1:21" x14ac:dyDescent="0.25">
      <c r="A49" s="36"/>
      <c r="B49" t="str">
        <f>extras!A5&amp;(CALUCLATIONS!G9&amp;", "&amp;CALUCLATIONS!G10&amp;", "&amp;CALUCLATIONS!G11&amp;", "&amp;CALUCLATIONS!G12&amp;", "&amp;CALUCLATIONS!G13&amp;", "&amp;CALUCLATIONS!G14&amp;", "&amp;CALUCLATIONS!G16&amp;", "&amp;CALUCLATIONS!G17&amp;extras!B5)</f>
        <v>a=c(3.5, 4, 4, 3, 4, 6, 8, 9)</v>
      </c>
      <c r="U49" s="37"/>
    </row>
    <row r="50" spans="1:21" ht="15.75" thickBot="1" x14ac:dyDescent="0.3">
      <c r="A50" s="36"/>
      <c r="B50" t="str">
        <f>extras!A9&amp;(CALUCLATIONS!B9&amp;", "&amp;CALUCLATIONS!B10&amp;", "&amp;CALUCLATIONS!B11&amp;", "&amp;CALUCLATIONS!B12&amp;", "&amp;CALUCLATIONS!B13&amp;", "&amp;CALUCLATIONS!B14&amp;", "&amp;CALUCLATIONS!B16&amp;", "&amp;CALUCLATIONS!B17&amp;extras!B9)</f>
        <v>charges = c(-1, -2, 1, 1, -1, 2, 2, 3)</v>
      </c>
      <c r="U50" s="37"/>
    </row>
    <row r="51" spans="1:21" ht="15.75" thickTop="1" x14ac:dyDescent="0.25">
      <c r="A51" s="36"/>
      <c r="B51" t="str">
        <f>A14&amp;Bdot&amp;extras!B14</f>
        <v>Bdot = 0,</v>
      </c>
      <c r="U51" s="59"/>
    </row>
    <row r="52" spans="1:21" x14ac:dyDescent="0.25">
      <c r="A52" s="36"/>
      <c r="B52" t="str">
        <f>extras!A12&amp;(CALUCLATIONS!I8&amp;", "&amp;CALUCLATIONS!I7&amp;", "&amp;CALUCLATIONS!I9&amp;", "&amp;CALUCLATIONS!I10&amp;", "&amp;CALUCLATIONS!I11&amp;", "&amp;CALUCLATIONS!I12&amp;", "&amp;CALUCLATIONS!I13&amp;", "&amp;CALUCLATIONS!I14&amp;", "&amp;CALUCLATIONS!I16&amp;", "&amp;CALUCLATIONS!I17&amp;extras!B12)</f>
        <v>start = c(0.000001, 0.0001, 0.0477483707152081, 0, 0.0478473707152081, 0, 0, 0, 0, 0)</v>
      </c>
    </row>
    <row r="54" spans="1:21" x14ac:dyDescent="0.25">
      <c r="B54" t="s">
        <v>58</v>
      </c>
    </row>
    <row r="55" spans="1:21" x14ac:dyDescent="0.25">
      <c r="B55" t="str">
        <f>extras!B47</f>
        <v>solva = c("9", "4"), Ksoln = -11.3307238274862,species = c("Cl","SO4","Na","K","H3SiO4","Ca","Mg","Al"),</v>
      </c>
    </row>
    <row r="56" spans="1:21" x14ac:dyDescent="0.25">
      <c r="B56" t="str">
        <f>extras!B48</f>
        <v xml:space="preserve"> conc = c(0.0477483707152081, 0, 0.0478473707152081, 0, 0, 0,0,0)</v>
      </c>
    </row>
    <row r="57" spans="1:21" x14ac:dyDescent="0.25">
      <c r="B57" t="str">
        <f>", "&amp;extras!B49&amp;", "&amp;extras!B50&amp;", "&amp;extras!A10&amp;" "&amp;CALUCLATIONS!H2&amp;","&amp;extras!A11&amp;""&amp;CALUCLATIONS!I2&amp;", "</f>
        <v xml:space="preserve">, a=c(3.5, 4, 4, 3, 4, 6, 8, 9), charges = c(-1, -2, 1, 1, -1, 2, 2, 3), A = 1.27200307600535,B =0.3953518905, </v>
      </c>
    </row>
    <row r="58" spans="1:21" x14ac:dyDescent="0.25">
      <c r="B58" t="str">
        <f>extras!B51&amp;" "&amp;extras!B52</f>
        <v>Bdot = 0, start = c(0.000001, 0.0001, 0.0477483707152081, 0, 0.0478473707152081, 0, 0, 0, 0, 0)</v>
      </c>
    </row>
    <row r="59" spans="1:21" x14ac:dyDescent="0.25">
      <c r="B59" t="s">
        <v>64</v>
      </c>
    </row>
    <row r="61" spans="1:21" x14ac:dyDescent="0.25">
      <c r="B61" t="s">
        <v>74</v>
      </c>
    </row>
    <row r="64" spans="1:21" ht="15.75" thickBot="1" x14ac:dyDescent="0.3">
      <c r="A64" s="37"/>
      <c r="B64" t="s">
        <v>89</v>
      </c>
    </row>
    <row r="65" spans="1:2" ht="15.75" thickTop="1" x14ac:dyDescent="0.25">
      <c r="A65" s="59" t="s">
        <v>103</v>
      </c>
      <c r="B65" t="str">
        <f>B66&amp;B67&amp;", "&amp;B68&amp;B69&amp;","&amp;B70&amp;", "&amp;B71&amp;", "&amp;A10&amp;" "&amp;A&amp;", "&amp;A11&amp;" "&amp;extras!I2&amp;B&amp;", "&amp;B51&amp;" "&amp;B72&amp;B73&amp;A15&amp;B15&amp;CALUCLATIONS!C2&amp;B15&amp;extras!B74</f>
        <v>chemsolve_generic(solvent = c("H", "OH"), solvcharge = c("1", "-1"),solva = c("9", "4"),  Ksoln = -11.3307238274862, species = c("Cl","SO4","Na","K","H3SiO4","Ca","Mg"), conc = c(0.0507714438834513,0,0.0478473707152081,0,0,0,0),a=c(3.5,4,4,3,4,6,8), charges = c(-1,-2,1,1,-1,2,2), A = 1.27200307600535, B = 0.3953518905, Bdot = 0, start = c(6.21372142232918E-05, 6.21372142232918E-07, 0.0296695073994404, 0, 0.0297310232415215, 0, 0, 0, 0), maxitr = 100, bal = "Cl", prod = products)</v>
      </c>
    </row>
    <row r="66" spans="1:2" x14ac:dyDescent="0.25">
      <c r="B66" t="s">
        <v>90</v>
      </c>
    </row>
    <row r="67" spans="1:2" x14ac:dyDescent="0.25">
      <c r="B67" t="str">
        <f>D46</f>
        <v xml:space="preserve"> Ksoln = -11.3307238274862</v>
      </c>
    </row>
    <row r="68" spans="1:2" x14ac:dyDescent="0.25">
      <c r="B68" t="str">
        <f>extras!A13&amp;CALUCLATIONS!H9&amp;","&amp;CALUCLATIONS!H10&amp;","&amp;CALUCLATIONS!H11&amp;","&amp;CALUCLATIONS!H12&amp;","&amp;CALUCLATIONS!H13&amp;","&amp;CALUCLATIONS!H14&amp;","&amp;CALUCLATIONS!H16&amp;extras!B13&amp;","</f>
        <v>species = c("Cl","SO4","Na","K","H3SiO4","Ca","Mg"),</v>
      </c>
    </row>
    <row r="69" spans="1:2" x14ac:dyDescent="0.25">
      <c r="B69" t="str">
        <f>extras!A8&amp;Cl&amp;","&amp;SO4_&amp;","&amp;Na&amp;","&amp;K&amp;","&amp;SiO2_&amp;","&amp;Ca&amp;","&amp;Mg&amp;extras!B8</f>
        <v xml:space="preserve"> conc = c(0.0507714438834513,0,0.0478473707152081,0,0,0,0)</v>
      </c>
    </row>
    <row r="70" spans="1:2" x14ac:dyDescent="0.25">
      <c r="B70" t="str">
        <f>extras!A5&amp;CALUCLATIONS!G9&amp;","&amp;CALUCLATIONS!G10&amp;","&amp;CALUCLATIONS!G11&amp;","&amp;CALUCLATIONS!G12&amp;","&amp;CALUCLATIONS!G13&amp;","&amp;CALUCLATIONS!G14&amp;","&amp;CALUCLATIONS!G16&amp;extras!B5</f>
        <v>a=c(3.5,4,4,3,4,6,8)</v>
      </c>
    </row>
    <row r="71" spans="1:2" x14ac:dyDescent="0.25">
      <c r="B71" t="str">
        <f>extras!A9&amp;CALUCLATIONS!B9&amp;","&amp;CALUCLATIONS!B10&amp;","&amp;CALUCLATIONS!B11&amp;","&amp;CALUCLATIONS!B12&amp;","&amp;CALUCLATIONS!B13&amp;","&amp;CALUCLATIONS!B14&amp;","&amp;CALUCLATIONS!B16&amp;extras!B9</f>
        <v>charges = c(-1,-2,1,1,-1,2,2)</v>
      </c>
    </row>
    <row r="72" spans="1:2" x14ac:dyDescent="0.25">
      <c r="B72" t="str">
        <f>extras!A12&amp;(CALUCLATIONS!K7&amp;", "&amp;CALUCLATIONS!K8&amp;", "&amp;CALUCLATIONS!K9&amp;", "&amp;CALUCLATIONS!K10&amp;", "&amp;CALUCLATIONS!K11&amp;", "&amp;CALUCLATIONS!K12&amp;", "&amp;CALUCLATIONS!K13&amp;", "&amp;CALUCLATIONS!K14&amp;", "&amp;CALUCLATIONS!K16&amp;extras!B12)</f>
        <v>start = c(6.21372142232918E-05, 6.21372142232918E-07, 0.0296695073994404, 0, 0.0297310232415215, 0, 0, 0, 0)</v>
      </c>
    </row>
    <row r="73" spans="1:2" x14ac:dyDescent="0.25">
      <c r="B73" t="s">
        <v>104</v>
      </c>
    </row>
    <row r="74" spans="1:2" x14ac:dyDescent="0.25">
      <c r="B74" t="s">
        <v>106</v>
      </c>
    </row>
    <row r="76" spans="1:2" ht="15.75" thickBot="1" x14ac:dyDescent="0.3"/>
    <row r="77" spans="1:2" ht="15.75" thickTop="1" x14ac:dyDescent="0.25">
      <c r="A77" s="59" t="s">
        <v>103</v>
      </c>
      <c r="B77" t="str">
        <f>B66&amp;B81&amp;", "&amp;B82&amp;B83&amp;","&amp;B84&amp;", "&amp;B85&amp;", "&amp;A10&amp;" "&amp;A&amp;", "&amp;A11&amp;" "&amp;extras!I2&amp;B&amp;", "&amp;B51&amp;" "&amp;B86&amp;B87&amp;A15&amp;B15&amp;CALUCLATIONS!C2&amp;B15&amp;extras!B88</f>
        <v>chemsolve_generic(solvent = c("H", "OH"), solvcharge = c("1", "-1"),solva = c("9", "4"),  Ksoln = -11.3307238274862, species = c("Cl","SO4","Na","K","Ca","Mg"), conc = c(0.0507714438834513,0,0.0478473707152081,0,0,0),a=c(3.5,4,4,3,6,8), charges = c(-1,-2,1,1,2,2), A = 1.27200307600535, B = 0.3953518905, Bdot = 0, start = c(6.21372142232918E-05, 6.21372142232918E-07, 0.0296695073994404, 0, 0.0297310232415215, 0, 0, 0), maxitr = 100, bal = "Cl", prod = products)</v>
      </c>
    </row>
    <row r="78" spans="1:2" x14ac:dyDescent="0.25">
      <c r="A78" t="s">
        <v>110</v>
      </c>
    </row>
    <row r="81" spans="1:2" x14ac:dyDescent="0.25">
      <c r="B81" t="str">
        <f>D46</f>
        <v xml:space="preserve"> Ksoln = -11.3307238274862</v>
      </c>
    </row>
    <row r="82" spans="1:2" x14ac:dyDescent="0.25">
      <c r="B82" t="str">
        <f>extras!A13&amp;CALUCLATIONS!H9&amp;","&amp;CALUCLATIONS!H10&amp;","&amp;CALUCLATIONS!H11&amp;","&amp;CALUCLATIONS!H12&amp;","&amp;CALUCLATIONS!H14&amp;","&amp;CALUCLATIONS!H16&amp;extras!B13&amp;","</f>
        <v>species = c("Cl","SO4","Na","K","Ca","Mg"),</v>
      </c>
    </row>
    <row r="83" spans="1:2" x14ac:dyDescent="0.25">
      <c r="B83" t="str">
        <f>extras!A8&amp;Cl&amp;","&amp;SO4_&amp;","&amp;Na&amp;","&amp;K&amp;","&amp;Ca&amp;","&amp;Mg&amp;extras!B8</f>
        <v xml:space="preserve"> conc = c(0.0507714438834513,0,0.0478473707152081,0,0,0)</v>
      </c>
    </row>
    <row r="84" spans="1:2" x14ac:dyDescent="0.25">
      <c r="B84" t="str">
        <f>extras!A5&amp;CALUCLATIONS!G9&amp;","&amp;CALUCLATIONS!G10&amp;","&amp;CALUCLATIONS!G11&amp;","&amp;CALUCLATIONS!G12&amp;","&amp;CALUCLATIONS!G14&amp;","&amp;CALUCLATIONS!G16&amp;extras!B5</f>
        <v>a=c(3.5,4,4,3,6,8)</v>
      </c>
    </row>
    <row r="85" spans="1:2" x14ac:dyDescent="0.25">
      <c r="B85" t="str">
        <f>extras!A9&amp;CALUCLATIONS!B9&amp;","&amp;CALUCLATIONS!B10&amp;","&amp;CALUCLATIONS!B11&amp;","&amp;CALUCLATIONS!B12&amp;","&amp;CALUCLATIONS!B14&amp;","&amp;CALUCLATIONS!B16&amp;extras!B9</f>
        <v>charges = c(-1,-2,1,1,2,2)</v>
      </c>
    </row>
    <row r="86" spans="1:2" x14ac:dyDescent="0.25">
      <c r="B86" t="str">
        <f>extras!A12&amp;(CALUCLATIONS!K7&amp;", "&amp;CALUCLATIONS!K8&amp;", "&amp;CALUCLATIONS!K9&amp;", "&amp;CALUCLATIONS!K10&amp;", "&amp;CALUCLATIONS!K11&amp;", "&amp;CALUCLATIONS!K12&amp;", "&amp;CALUCLATIONS!K14&amp;", "&amp;CALUCLATIONS!K16&amp;extras!B12)</f>
        <v>start = c(6.21372142232918E-05, 6.21372142232918E-07, 0.0296695073994404, 0, 0.0297310232415215, 0, 0, 0)</v>
      </c>
    </row>
    <row r="87" spans="1:2" x14ac:dyDescent="0.25">
      <c r="B87" t="s">
        <v>104</v>
      </c>
    </row>
    <row r="88" spans="1:2" ht="19.5" customHeight="1" x14ac:dyDescent="0.25">
      <c r="B88" t="s">
        <v>106</v>
      </c>
    </row>
    <row r="90" spans="1:2" ht="15.75" thickBot="1" x14ac:dyDescent="0.3"/>
    <row r="91" spans="1:2" ht="15.75" thickTop="1" x14ac:dyDescent="0.25">
      <c r="A91" s="59" t="s">
        <v>5</v>
      </c>
      <c r="B91" t="str">
        <f>B66&amp;B95&amp;", "&amp;B96&amp;B97&amp;","&amp;B98&amp;", "&amp;B99&amp;", "&amp;A10&amp;" "&amp;A&amp;", "&amp;A11&amp;" "&amp;extras!I2&amp;B&amp;", "&amp;B51&amp;" "&amp;B100&amp;B101&amp;A15&amp;B15&amp;CALUCLATIONS!C2&amp;B15&amp;extras!B102</f>
        <v>chemsolve_generic(solvent = c("H", "OH"), solvcharge = c("1", "-1"),solva = c("9", "4"),  Ksoln = -11.3307238274862, species = c("Cl","Na"), conc = c(0.0507714438834513,0.0478473707152081),a=c(3.5,4), charges = c(-1,1), A = 1.27200307600535, B = 0.3953518905, Bdot = 0, start = c(6.21372142232918E-07, 6.21372142232918E-05, 0.0296695073994404, 0.0297310232415215), maxitr = 100, bal = "Cl", prod = products)</v>
      </c>
    </row>
    <row r="92" spans="1:2" x14ac:dyDescent="0.25">
      <c r="A92" t="s">
        <v>150</v>
      </c>
    </row>
    <row r="95" spans="1:2" x14ac:dyDescent="0.25">
      <c r="B95" t="str">
        <f>B81</f>
        <v xml:space="preserve"> Ksoln = -11.3307238274862</v>
      </c>
    </row>
    <row r="96" spans="1:2" x14ac:dyDescent="0.25">
      <c r="B96" t="str">
        <f>extras!A13&amp;CALUCLATIONS!H9&amp;","&amp;CALUCLATIONS!H11&amp;extras!B13&amp;","</f>
        <v>species = c("Cl","Na"),</v>
      </c>
    </row>
    <row r="97" spans="2:2" x14ac:dyDescent="0.25">
      <c r="B97" t="str">
        <f>extras!A8&amp;Cl&amp;","&amp;Na&amp;extras!B8</f>
        <v xml:space="preserve"> conc = c(0.0507714438834513,0.0478473707152081)</v>
      </c>
    </row>
    <row r="98" spans="2:2" x14ac:dyDescent="0.25">
      <c r="B98" t="str">
        <f>extras!A5&amp;CALUCLATIONS!G9&amp;","&amp;CALUCLATIONS!G11&amp;extras!B5</f>
        <v>a=c(3.5,4)</v>
      </c>
    </row>
    <row r="99" spans="2:2" x14ac:dyDescent="0.25">
      <c r="B99" t="str">
        <f>extras!A9&amp;CALUCLATIONS!B9&amp;","&amp;CALUCLATIONS!B11&amp;extras!B9</f>
        <v>charges = c(-1,1)</v>
      </c>
    </row>
    <row r="100" spans="2:2" x14ac:dyDescent="0.25">
      <c r="B100" t="str">
        <f>extras!A12&amp;(CALUCLATIONS!K8&amp;", "&amp;CALUCLATIONS!K7&amp;", "&amp;CALUCLATIONS!K9&amp;", "&amp;CALUCLATIONS!K11&amp;extras!B12)</f>
        <v>start = c(6.21372142232918E-07, 6.21372142232918E-05, 0.0296695073994404, 0.0297310232415215)</v>
      </c>
    </row>
    <row r="101" spans="2:2" x14ac:dyDescent="0.25">
      <c r="B101" t="s">
        <v>104</v>
      </c>
    </row>
    <row r="102" spans="2:2" x14ac:dyDescent="0.25">
      <c r="B102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3F1F-2E5C-4571-A61B-FE30F811C870}">
  <dimension ref="C2:X26"/>
  <sheetViews>
    <sheetView workbookViewId="0">
      <selection activeCell="K11" sqref="K11"/>
    </sheetView>
  </sheetViews>
  <sheetFormatPr defaultRowHeight="15" x14ac:dyDescent="0.25"/>
  <cols>
    <col min="11" max="12" width="12" bestFit="1" customWidth="1"/>
    <col min="14" max="15" width="12" bestFit="1" customWidth="1"/>
  </cols>
  <sheetData>
    <row r="2" spans="3:24" x14ac:dyDescent="0.25">
      <c r="R2" t="s">
        <v>146</v>
      </c>
    </row>
    <row r="3" spans="3:24" x14ac:dyDescent="0.25">
      <c r="S3" s="38" t="s">
        <v>69</v>
      </c>
      <c r="T3" s="1" t="s">
        <v>26</v>
      </c>
      <c r="U3" s="1" t="s">
        <v>70</v>
      </c>
      <c r="W3" s="64" t="s">
        <v>91</v>
      </c>
      <c r="X3" s="65" t="s">
        <v>114</v>
      </c>
    </row>
    <row r="4" spans="3:24" x14ac:dyDescent="0.25">
      <c r="S4" s="1">
        <f>SiO2_</f>
        <v>0</v>
      </c>
      <c r="T4" s="1" t="s">
        <v>115</v>
      </c>
      <c r="U4" s="1" t="s">
        <v>115</v>
      </c>
      <c r="W4" s="13">
        <f>-(1479/(25+273.15))-0.6496</f>
        <v>-5.6101903068925036</v>
      </c>
      <c r="X4" s="65">
        <f>10^W4</f>
        <v>2.4536335032436225E-6</v>
      </c>
    </row>
    <row r="6" spans="3:24" ht="15.75" thickBot="1" x14ac:dyDescent="0.3">
      <c r="C6" t="s">
        <v>0</v>
      </c>
      <c r="E6" s="1" t="s">
        <v>143</v>
      </c>
      <c r="F6" s="1" t="s">
        <v>133</v>
      </c>
      <c r="I6" t="s">
        <v>144</v>
      </c>
      <c r="J6" t="s">
        <v>145</v>
      </c>
      <c r="N6" t="s">
        <v>144</v>
      </c>
      <c r="O6" t="s">
        <v>145</v>
      </c>
    </row>
    <row r="7" spans="3:24" x14ac:dyDescent="0.25">
      <c r="C7" t="s">
        <v>8</v>
      </c>
      <c r="E7" s="16">
        <f>IF(CALUCLATIONS!$F$2=400,'K data'!I22,IF(CALUCLATIONS!$F$2=350,'K data'!J22,IF(CALUCLATIONS!$F$2=300,'K data'!K22,IF(CALUCLATIONS!$F$2=270,'K data'!L22,IF(CALUCLATIONS!$F$2=250,'K data'!M22,IF(CALUCLATIONS!$F$2=200,'K data'!N22,IF(CALUCLATIONS!$F$2=100,'K data'!P22,IF(CALUCLATIONS!$F$2=150,'K data'!O22,IF(CALUCLATIONS!F2=60,'K data'!Q22,IF(CALUCLATIONS!$F$2=25,'K data'!R22,IF(CALUCLATIONS!$F$2='K data'!T20,CALUCLATIONS!IS4,FALS)))))))))))</f>
        <v>-2.4540000000000002</v>
      </c>
      <c r="F7" s="16">
        <f t="shared" ref="F7:F26" si="0">10^E7</f>
        <v>3.5156044052829785E-3</v>
      </c>
      <c r="H7" s="1" t="s">
        <v>24</v>
      </c>
      <c r="I7" s="65">
        <f>Na</f>
        <v>4.784737071520815E-2</v>
      </c>
      <c r="J7" s="65">
        <f t="shared" ref="J7:J26" si="1">0.5*(SQRT(F7^2+4*F7*I7)-F7)</f>
        <v>1.1330448094904199E-2</v>
      </c>
      <c r="M7" s="65" t="s">
        <v>25</v>
      </c>
      <c r="N7" s="65">
        <f>SO4_</f>
        <v>0</v>
      </c>
      <c r="O7" s="65">
        <f>0.5*(SQRT(F7^2+4*F7*N7)-F7)</f>
        <v>0</v>
      </c>
      <c r="S7" s="94" t="s">
        <v>118</v>
      </c>
      <c r="T7" s="67" t="s">
        <v>116</v>
      </c>
      <c r="U7" s="27" t="s">
        <v>117</v>
      </c>
    </row>
    <row r="8" spans="3:24" ht="15.75" thickBot="1" x14ac:dyDescent="0.3">
      <c r="C8" t="s">
        <v>9</v>
      </c>
      <c r="E8" s="16">
        <f>IF(CALUCLATIONS!$F$2=400,'K data'!I23,IF(CALUCLATIONS!$F$2=350,'K data'!J23,IF(CALUCLATIONS!$F$2=300,'K data'!K23,IF(CALUCLATIONS!$F$2=270,'K data'!L23,IF(CALUCLATIONS!$F$2=250,'K data'!M23,IF(CALUCLATIONS!$F$2=200,'K data'!N23,IF(CALUCLATIONS!$F$2=100,'K data'!P23,IF(CALUCLATIONS!$F$2=150,'K data'!O23,IF(CALUCLATIONS!F3=60,'K data'!Q23,IF(CALUCLATIONS!$F$2=25,'K data'!R23,IF(CALUCLATIONS!$F$2='K data'!T21,CALUCLATIONS!IS5,FALS)))))))))))</f>
        <v>-5.7759999999999998</v>
      </c>
      <c r="F8" s="16">
        <f>10^E8</f>
        <v>1.6749428760264363E-6</v>
      </c>
      <c r="H8" s="1" t="s">
        <v>26</v>
      </c>
      <c r="I8" s="65">
        <f>H</f>
        <v>9.9999999999999995E-8</v>
      </c>
      <c r="J8" s="65">
        <f>0.5*(SQRT(F8^2+4*F8*I8)-F8)</f>
        <v>9.4651245484276774E-8</v>
      </c>
      <c r="M8" s="65" t="s">
        <v>25</v>
      </c>
      <c r="N8" s="65">
        <f>SO4_</f>
        <v>0</v>
      </c>
      <c r="O8" s="65">
        <f t="shared" ref="O8:O26" si="2">0.5*(SQRT(F8^2+4*F8*N8)-F8)</f>
        <v>0</v>
      </c>
      <c r="S8" s="95"/>
      <c r="T8" s="96" t="s">
        <v>119</v>
      </c>
      <c r="U8" s="97"/>
    </row>
    <row r="9" spans="3:24" ht="15.75" thickBot="1" x14ac:dyDescent="0.3">
      <c r="C9" t="s">
        <v>10</v>
      </c>
      <c r="E9" s="16">
        <f>IF(CALUCLATIONS!$F$2=400,'K data'!I24,IF(CALUCLATIONS!$F$2=350,'K data'!J24,IF(CALUCLATIONS!$F$2=300,'K data'!K24,IF(CALUCLATIONS!$F$2=270,'K data'!L24,IF(CALUCLATIONS!$F$2=250,'K data'!M24,IF(CALUCLATIONS!$F$2=200,'K data'!N24,IF(CALUCLATIONS!$F$2=100,'K data'!P24,IF(CALUCLATIONS!$F$2=150,'K data'!O24,IF(CALUCLATIONS!F4=60,'K data'!Q24,IF(CALUCLATIONS!$F$2=25,'K data'!R24,IF(CALUCLATIONS!$F$2='K data'!T22,CALUCLATIONS!IS6,FALS)))))))))))</f>
        <v>-2.7149999999999999</v>
      </c>
      <c r="F9" s="16">
        <f t="shared" si="0"/>
        <v>1.9275249131909362E-3</v>
      </c>
      <c r="H9" s="1" t="s">
        <v>31</v>
      </c>
      <c r="I9" s="65">
        <f>K</f>
        <v>0</v>
      </c>
      <c r="J9" s="65">
        <f t="shared" si="1"/>
        <v>0</v>
      </c>
      <c r="M9" s="65" t="s">
        <v>25</v>
      </c>
      <c r="N9" s="65">
        <f>SO4_</f>
        <v>0</v>
      </c>
      <c r="O9" s="65">
        <f>0.5*(SQRT(F9^2+4*F9*N9)-F9)</f>
        <v>0</v>
      </c>
    </row>
    <row r="10" spans="3:24" x14ac:dyDescent="0.25">
      <c r="C10" t="s">
        <v>11</v>
      </c>
      <c r="E10" s="16">
        <f>IF(CALUCLATIONS!$F$2=400,'K data'!I25,IF(CALUCLATIONS!$F$2=350,'K data'!J25,IF(CALUCLATIONS!$F$2=300,'K data'!K25,IF(CALUCLATIONS!$F$2=270,'K data'!L25,IF(CALUCLATIONS!$F$2=250,'K data'!M25,IF(CALUCLATIONS!$F$2=200,'K data'!N25,IF(CALUCLATIONS!$F$2=100,'K data'!P25,IF(CALUCLATIONS!$F$2=150,'K data'!O25,IF(CALUCLATIONS!F5=60,'K data'!Q25,IF(CALUCLATIONS!$F$2=25,'K data'!R25,IF(CALUCLATIONS!$F$2='K data'!T23,CALUCLATIONS!IS7,FALS)))))))))))</f>
        <v>-0.19750000000000001</v>
      </c>
      <c r="F10" s="16">
        <f t="shared" si="0"/>
        <v>0.63459990098128682</v>
      </c>
      <c r="H10" s="1" t="s">
        <v>24</v>
      </c>
      <c r="I10" s="65">
        <f>Na</f>
        <v>4.784737071520815E-2</v>
      </c>
      <c r="J10" s="65">
        <f t="shared" si="1"/>
        <v>4.4698938042803282E-2</v>
      </c>
      <c r="M10" s="65" t="s">
        <v>29</v>
      </c>
      <c r="N10" s="65">
        <f>Cl</f>
        <v>5.0771443883451325E-2</v>
      </c>
      <c r="O10" s="65">
        <f t="shared" si="2"/>
        <v>4.7252942574930734E-2</v>
      </c>
      <c r="S10" s="94" t="s">
        <v>118</v>
      </c>
      <c r="T10" s="98" t="s">
        <v>120</v>
      </c>
      <c r="U10" s="99"/>
    </row>
    <row r="11" spans="3:24" ht="15.75" thickBot="1" x14ac:dyDescent="0.3">
      <c r="C11" t="s">
        <v>12</v>
      </c>
      <c r="E11" s="16">
        <f>IF(CALUCLATIONS!$F$2=400,'K data'!I26,IF(CALUCLATIONS!$F$2=350,'K data'!J26,IF(CALUCLATIONS!$F$2=300,'K data'!K26,IF(CALUCLATIONS!$F$2=270,'K data'!L26,IF(CALUCLATIONS!$F$2=250,'K data'!M26,IF(CALUCLATIONS!$F$2=200,'K data'!N26,IF(CALUCLATIONS!$F$2=100,'K data'!P26,IF(CALUCLATIONS!$F$2=150,'K data'!O26,IF(CALUCLATIONS!F6=60,'K data'!Q26,IF(CALUCLATIONS!$F$2=25,'K data'!R26,IF(CALUCLATIONS!$F$2='K data'!T24,CALUCLATIONS!IS8,FALS)))))))))))</f>
        <v>1E-3</v>
      </c>
      <c r="F11" s="16">
        <f t="shared" si="0"/>
        <v>1.0023052380778996</v>
      </c>
      <c r="H11" s="1" t="s">
        <v>31</v>
      </c>
      <c r="I11" s="65">
        <f>K</f>
        <v>0</v>
      </c>
      <c r="J11" s="65">
        <f t="shared" si="1"/>
        <v>0</v>
      </c>
      <c r="M11" s="65" t="s">
        <v>29</v>
      </c>
      <c r="N11" s="65">
        <f>Cl</f>
        <v>5.0771443883451325E-2</v>
      </c>
      <c r="O11" s="65">
        <f t="shared" si="2"/>
        <v>4.843125237537782E-2</v>
      </c>
      <c r="S11" s="95"/>
      <c r="T11" s="69">
        <f>SiO2_</f>
        <v>0</v>
      </c>
      <c r="U11" s="70" t="s">
        <v>83</v>
      </c>
    </row>
    <row r="12" spans="3:24" x14ac:dyDescent="0.25">
      <c r="C12" t="s">
        <v>13</v>
      </c>
      <c r="E12" s="16">
        <f>IF(CALUCLATIONS!$F$2=400,'K data'!I27,IF(CALUCLATIONS!$F$2=350,'K data'!J27,IF(CALUCLATIONS!$F$2=300,'K data'!K27,IF(CALUCLATIONS!$F$2=270,'K data'!L27,IF(CALUCLATIONS!$F$2=250,'K data'!M27,IF(CALUCLATIONS!$F$2=200,'K data'!N27,IF(CALUCLATIONS!$F$2=100,'K data'!P27,IF(CALUCLATIONS!$F$2=150,'K data'!O27,IF(CALUCLATIONS!F7=60,'K data'!Q27,IF(CALUCLATIONS!$F$2=25,'K data'!R27,IF(CALUCLATIONS!$F$2='K data'!T25,CALUCLATIONS!IS9,FALS)))))))))))</f>
        <v>-1.5146275915230945</v>
      </c>
      <c r="F12" s="16">
        <f t="shared" si="0"/>
        <v>3.0575418382917923E-2</v>
      </c>
      <c r="H12" s="1" t="s">
        <v>26</v>
      </c>
      <c r="I12" s="65">
        <f>H</f>
        <v>9.9999999999999995E-8</v>
      </c>
      <c r="J12" s="65">
        <f t="shared" si="1"/>
        <v>9.9999672941580853E-8</v>
      </c>
      <c r="M12" s="65" t="s">
        <v>29</v>
      </c>
      <c r="N12" s="65">
        <f>Cl</f>
        <v>5.0771443883451325E-2</v>
      </c>
      <c r="O12" s="65">
        <f t="shared" si="2"/>
        <v>2.6974238124820513E-2</v>
      </c>
    </row>
    <row r="13" spans="3:24" x14ac:dyDescent="0.25">
      <c r="C13" t="s">
        <v>14</v>
      </c>
      <c r="E13" s="16">
        <f>IF(CALUCLATIONS!$F$2=400,'K data'!I28,IF(CALUCLATIONS!$F$2=350,'K data'!J28,IF(CALUCLATIONS!$F$2=300,'K data'!K28,IF(CALUCLATIONS!$F$2=270,'K data'!L28,IF(CALUCLATIONS!$F$2=250,'K data'!M28,IF(CALUCLATIONS!$F$2=200,'K data'!N28,IF(CALUCLATIONS!$F$2=100,'K data'!P28,IF(CALUCLATIONS!$F$2=150,'K data'!O28,IF(CALUCLATIONS!F8=60,'K data'!Q28,IF(CALUCLATIONS!$F$2=25,'K data'!R28,IF(CALUCLATIONS!$F$2='K data'!T26,CALUCLATIONS!IS10,FALS)))))))))))</f>
        <v>0.57999999999999996</v>
      </c>
      <c r="F13" s="16">
        <f t="shared" si="0"/>
        <v>3.8018939632056119</v>
      </c>
      <c r="H13" s="1" t="s">
        <v>31</v>
      </c>
      <c r="I13" s="65">
        <f>K</f>
        <v>0</v>
      </c>
      <c r="J13" s="65">
        <f t="shared" si="1"/>
        <v>0</v>
      </c>
      <c r="M13" s="65" t="s">
        <v>30</v>
      </c>
      <c r="N13" s="65">
        <v>1.0000000000000001E-5</v>
      </c>
      <c r="O13" s="65">
        <f t="shared" si="2"/>
        <v>9.999973697549791E-6</v>
      </c>
      <c r="S13" s="2" t="s">
        <v>121</v>
      </c>
      <c r="T13" s="12">
        <f>0.5*(SQRT(initial!X4^2+4*initial!X4*S4)-initial!X4)</f>
        <v>0</v>
      </c>
    </row>
    <row r="14" spans="3:24" x14ac:dyDescent="0.25">
      <c r="C14" t="s">
        <v>15</v>
      </c>
      <c r="E14" s="16">
        <f>IF(CALUCLATIONS!$F$2=400,'K data'!I29,IF(CALUCLATIONS!$F$2=350,'K data'!J29,IF(CALUCLATIONS!$F$2=300,'K data'!K29,IF(CALUCLATIONS!$F$2=270,'K data'!L29,IF(CALUCLATIONS!$F$2=250,'K data'!M29,IF(CALUCLATIONS!$F$2=200,'K data'!N29,IF(CALUCLATIONS!$F$2=100,'K data'!P29,IF(CALUCLATIONS!$F$2=150,'K data'!O29,IF(CALUCLATIONS!F9=60,'K data'!Q29,IF(CALUCLATIONS!$F$2=25,'K data'!R29,IF(CALUCLATIONS!$F$2='K data'!T27,CALUCLATIONS!IS11,FALS)))))))))))</f>
        <v>0.89</v>
      </c>
      <c r="F14" s="16">
        <f t="shared" si="0"/>
        <v>7.7624711662869199</v>
      </c>
      <c r="H14" s="1" t="s">
        <v>24</v>
      </c>
      <c r="I14" s="65">
        <f>Na</f>
        <v>4.784737071520815E-2</v>
      </c>
      <c r="J14" s="65">
        <f t="shared" si="1"/>
        <v>4.755602337099063E-2</v>
      </c>
      <c r="M14" s="65" t="s">
        <v>30</v>
      </c>
      <c r="N14" s="65">
        <v>1.0000000000000001E-5</v>
      </c>
      <c r="O14" s="65">
        <f t="shared" si="2"/>
        <v>9.9999871174816235E-6</v>
      </c>
    </row>
    <row r="15" spans="3:24" x14ac:dyDescent="0.25">
      <c r="C15" t="s">
        <v>16</v>
      </c>
      <c r="E15" s="16">
        <f>IF(CALUCLATIONS!$F$2=400,'K data'!I30,IF(CALUCLATIONS!$F$2=350,'K data'!J30,IF(CALUCLATIONS!$F$2=300,'K data'!K30,IF(CALUCLATIONS!$F$2=270,'K data'!L30,IF(CALUCLATIONS!$F$2=250,'K data'!M30,IF(CALUCLATIONS!$F$2=200,'K data'!N30,IF(CALUCLATIONS!$F$2=100,'K data'!P30,IF(CALUCLATIONS!$F$2=150,'K data'!O30,IF(CALUCLATIONS!F10=60,'K data'!Q30,IF(CALUCLATIONS!$F$2=25,'K data'!R30,IF(CALUCLATIONS!$F$2='K data'!T28,CALUCLATIONS!IS12,FALS)))))))))))</f>
        <v>-4.4420000000000002</v>
      </c>
      <c r="F15" s="16">
        <f t="shared" si="0"/>
        <v>3.614098626396127E-5</v>
      </c>
      <c r="H15" s="1" t="s">
        <v>27</v>
      </c>
      <c r="I15" s="65">
        <f>Ca</f>
        <v>0</v>
      </c>
      <c r="J15" s="65">
        <f t="shared" si="1"/>
        <v>0</v>
      </c>
      <c r="M15" s="65" t="s">
        <v>25</v>
      </c>
      <c r="N15" s="65">
        <f>SO4_</f>
        <v>0</v>
      </c>
      <c r="O15" s="65">
        <f t="shared" si="2"/>
        <v>0</v>
      </c>
    </row>
    <row r="16" spans="3:24" x14ac:dyDescent="0.25">
      <c r="C16" t="s">
        <v>17</v>
      </c>
      <c r="E16" s="16">
        <f>IF(CALUCLATIONS!$F$2=400,'K data'!I31,IF(CALUCLATIONS!$F$2=350,'K data'!J31,IF(CALUCLATIONS!$F$2=300,'K data'!K31,IF(CALUCLATIONS!$F$2=270,'K data'!L31,IF(CALUCLATIONS!$F$2=250,'K data'!M31,IF(CALUCLATIONS!$F$2=200,'K data'!N31,IF(CALUCLATIONS!$F$2=100,'K data'!P31,IF(CALUCLATIONS!$F$2=150,'K data'!O31,IF(CALUCLATIONS!F11=60,'K data'!Q31,IF(CALUCLATIONS!$F$2=25,'K data'!R31,IF(CALUCLATIONS!$F$2='K data'!T29,CALUCLATIONS!IS13,FALS)))))))))))</f>
        <v>-4.4790000000000001</v>
      </c>
      <c r="F16" s="16">
        <f t="shared" si="0"/>
        <v>3.3189445755261008E-5</v>
      </c>
      <c r="H16" s="1" t="s">
        <v>28</v>
      </c>
      <c r="I16" s="65">
        <f>Mg</f>
        <v>0</v>
      </c>
      <c r="J16" s="65">
        <f t="shared" si="1"/>
        <v>0</v>
      </c>
      <c r="M16" s="65" t="s">
        <v>25</v>
      </c>
      <c r="N16" s="65">
        <f>SO4_</f>
        <v>0</v>
      </c>
      <c r="O16" s="65">
        <f t="shared" si="2"/>
        <v>0</v>
      </c>
    </row>
    <row r="17" spans="3:21" x14ac:dyDescent="0.25">
      <c r="C17" t="s">
        <v>18</v>
      </c>
      <c r="E17" s="16">
        <f>IF(CALUCLATIONS!$F$2=400,'K data'!I32,IF(CALUCLATIONS!$F$2=350,'K data'!J32,IF(CALUCLATIONS!$F$2=300,'K data'!K32,IF(CALUCLATIONS!$F$2=270,'K data'!L32,IF(CALUCLATIONS!$F$2=250,'K data'!M32,IF(CALUCLATIONS!$F$2=200,'K data'!N32,IF(CALUCLATIONS!$F$2=100,'K data'!P32,IF(CALUCLATIONS!$F$2=150,'K data'!O32,IF(CALUCLATIONS!F12=60,'K data'!Q32,IF(CALUCLATIONS!$F$2=25,'K data'!R32,IF(CALUCLATIONS!$F$2='K data'!T30,CALUCLATIONS!IS14,FALS)))))))))))</f>
        <v>-1.8959999999999999</v>
      </c>
      <c r="F17" s="16">
        <f t="shared" si="0"/>
        <v>1.2705741052085412E-2</v>
      </c>
      <c r="H17" s="1" t="s">
        <v>28</v>
      </c>
      <c r="I17" s="65">
        <f>Mg</f>
        <v>0</v>
      </c>
      <c r="J17" s="65">
        <f t="shared" si="1"/>
        <v>0</v>
      </c>
      <c r="M17" s="65" t="s">
        <v>29</v>
      </c>
      <c r="N17" s="65">
        <f>Cl</f>
        <v>5.0771443883451325E-2</v>
      </c>
      <c r="O17" s="65">
        <f t="shared" si="2"/>
        <v>1.9828187182619115E-2</v>
      </c>
    </row>
    <row r="18" spans="3:21" x14ac:dyDescent="0.25">
      <c r="C18" t="s">
        <v>19</v>
      </c>
      <c r="E18" s="16">
        <f>IF(CALUCLATIONS!$F$2=400,'K data'!I33,IF(CALUCLATIONS!$F$2=350,'K data'!J33,IF(CALUCLATIONS!$F$2=300,'K data'!K33,IF(CALUCLATIONS!$F$2=270,'K data'!L33,IF(CALUCLATIONS!$F$2=250,'K data'!M33,IF(CALUCLATIONS!$F$2=200,'K data'!N33,IF(CALUCLATIONS!$F$2=100,'K data'!P33,IF(CALUCLATIONS!$F$2=150,'K data'!O33,IF(CALUCLATIONS!F13=60,'K data'!Q33,IF(CALUCLATIONS!$F$2=25,'K data'!R33,IF(CALUCLATIONS!$F$2='K data'!T31,CALUCLATIONS!IS15,FALS)))))))))))</f>
        <v>-2.29</v>
      </c>
      <c r="F18" s="16">
        <f t="shared" si="0"/>
        <v>5.1286138399136471E-3</v>
      </c>
      <c r="H18" s="1" t="s">
        <v>27</v>
      </c>
      <c r="I18" s="65">
        <f>Ca</f>
        <v>0</v>
      </c>
      <c r="J18" s="65">
        <f t="shared" si="1"/>
        <v>0</v>
      </c>
      <c r="M18" s="65" t="s">
        <v>29</v>
      </c>
      <c r="N18" s="65">
        <f>Cl</f>
        <v>5.0771443883451325E-2</v>
      </c>
      <c r="O18" s="65">
        <f t="shared" si="2"/>
        <v>1.3774689369681228E-2</v>
      </c>
      <c r="S18" s="2" t="s">
        <v>5</v>
      </c>
      <c r="T18" s="2" t="s">
        <v>51</v>
      </c>
      <c r="U18" s="2" t="s">
        <v>49</v>
      </c>
    </row>
    <row r="19" spans="3:21" x14ac:dyDescent="0.25">
      <c r="C19" t="s">
        <v>20</v>
      </c>
      <c r="E19" s="16">
        <f>IF(CALUCLATIONS!$F$2=400,'K data'!I34,IF(CALUCLATIONS!$F$2=350,'K data'!J34,IF(CALUCLATIONS!$F$2=300,'K data'!K34,IF(CALUCLATIONS!$F$2=270,'K data'!L34,IF(CALUCLATIONS!$F$2=250,'K data'!M34,IF(CALUCLATIONS!$F$2=200,'K data'!N34,IF(CALUCLATIONS!$F$2=100,'K data'!P34,IF(CALUCLATIONS!$F$2=150,'K data'!O34,IF(CALUCLATIONS!F14=60,'K data'!Q34,IF(CALUCLATIONS!$F$2=25,'K data'!R34,IF(CALUCLATIONS!$F$2='K data'!T32,CALUCLATIONS!IS16,FALS)))))))))))</f>
        <v>2.35</v>
      </c>
      <c r="F19" s="16">
        <f t="shared" si="0"/>
        <v>223.87211385683412</v>
      </c>
      <c r="H19" s="1" t="s">
        <v>27</v>
      </c>
      <c r="I19" s="65">
        <f>Ca</f>
        <v>0</v>
      </c>
      <c r="J19" s="65">
        <f t="shared" si="1"/>
        <v>0</v>
      </c>
      <c r="M19" s="65" t="s">
        <v>80</v>
      </c>
      <c r="N19" s="65">
        <f>Cl</f>
        <v>5.0771443883451325E-2</v>
      </c>
      <c r="O19" s="65">
        <f t="shared" si="2"/>
        <v>5.0759934763661363E-2</v>
      </c>
    </row>
    <row r="20" spans="3:21" x14ac:dyDescent="0.25">
      <c r="C20" t="s">
        <v>21</v>
      </c>
      <c r="E20" s="16">
        <f>IF(CALUCLATIONS!$F$2=400,'K data'!I35,IF(CALUCLATIONS!$F$2=350,'K data'!J35,IF(CALUCLATIONS!$F$2=300,'K data'!K35,IF(CALUCLATIONS!$F$2=270,'K data'!L35,IF(CALUCLATIONS!$F$2=250,'K data'!M35,IF(CALUCLATIONS!$F$2=200,'K data'!N35,IF(CALUCLATIONS!$F$2=100,'K data'!P35,IF(CALUCLATIONS!$F$2=150,'K data'!O35,IF(CALUCLATIONS!F15=60,'K data'!Q35,IF(CALUCLATIONS!$F$2=25,'K data'!R35,IF(CALUCLATIONS!$F$2='K data'!T33,CALUCLATIONS!IS17,FALS)))))))))))</f>
        <v>4.8419999999999996</v>
      </c>
      <c r="F20" s="16">
        <f t="shared" si="0"/>
        <v>69502.431758879655</v>
      </c>
      <c r="H20" s="1" t="s">
        <v>28</v>
      </c>
      <c r="I20" s="65">
        <f>Mg</f>
        <v>0</v>
      </c>
      <c r="J20" s="65">
        <f t="shared" si="1"/>
        <v>0</v>
      </c>
      <c r="M20" s="65" t="s">
        <v>30</v>
      </c>
      <c r="N20" s="65">
        <v>1.0000000000000001E-5</v>
      </c>
      <c r="O20" s="65">
        <f t="shared" si="2"/>
        <v>9.9999961093999445E-6</v>
      </c>
    </row>
    <row r="21" spans="3:21" x14ac:dyDescent="0.25">
      <c r="C21" t="s">
        <v>22</v>
      </c>
      <c r="E21" s="16">
        <f>IF(CALUCLATIONS!$F$2=400,'K data'!I36,IF(CALUCLATIONS!$F$2=350,'K data'!J36,IF(CALUCLATIONS!$F$2=300,'K data'!K36,IF(CALUCLATIONS!$F$2=270,'K data'!L36,IF(CALUCLATIONS!$F$2=250,'K data'!M36,IF(CALUCLATIONS!$F$2=200,'K data'!N36,IF(CALUCLATIONS!$F$2=100,'K data'!P36,IF(CALUCLATIONS!$F$2=150,'K data'!O36,IF(CALUCLATIONS!F16=60,'K data'!Q36,IF(CALUCLATIONS!$F$2=25,'K data'!R36,IF(CALUCLATIONS!$F$2='K data'!T34,CALUCLATIONS!IS18,FALS)))))))))))</f>
        <v>4.3650000000000002</v>
      </c>
      <c r="F21" s="16">
        <f t="shared" si="0"/>
        <v>23173.946499684807</v>
      </c>
      <c r="H21" s="1" t="s">
        <v>27</v>
      </c>
      <c r="I21" s="65">
        <f>Ca</f>
        <v>0</v>
      </c>
      <c r="J21" s="65">
        <f t="shared" si="1"/>
        <v>0</v>
      </c>
      <c r="M21" s="65" t="s">
        <v>30</v>
      </c>
      <c r="N21" s="65">
        <v>1.0000000000000001E-5</v>
      </c>
      <c r="O21" s="65">
        <f t="shared" si="2"/>
        <v>9.9999997473787516E-6</v>
      </c>
    </row>
    <row r="22" spans="3:21" x14ac:dyDescent="0.25">
      <c r="C22" t="s">
        <v>23</v>
      </c>
      <c r="E22" s="16">
        <f>IF(CALUCLATIONS!$F$2=400,'K data'!I37,IF(CALUCLATIONS!$F$2=350,'K data'!J37,IF(CALUCLATIONS!$F$2=300,'K data'!K37,IF(CALUCLATIONS!$F$2=270,'K data'!L37,IF(CALUCLATIONS!$F$2=250,'K data'!M37,IF(CALUCLATIONS!$F$2=200,'K data'!N37,IF(CALUCLATIONS!$F$2=100,'K data'!P37,IF(CALUCLATIONS!$F$2=150,'K data'!O37,IF(CALUCLATIONS!F17=60,'K data'!Q37,IF(CALUCLATIONS!$F$2=25,'K data'!R37,IF(CALUCLATIONS!$F$2='K data'!T35,CALUCLATIONS!IS19,FALS)))))))))))</f>
        <v>-11.330723827486171</v>
      </c>
      <c r="F22" s="16">
        <f t="shared" si="0"/>
        <v>4.6695622838818747E-12</v>
      </c>
      <c r="H22" s="1" t="s">
        <v>26</v>
      </c>
      <c r="I22" s="65">
        <f>H</f>
        <v>9.9999999999999995E-8</v>
      </c>
      <c r="J22" s="65">
        <f t="shared" si="1"/>
        <v>6.8101116315799288E-10</v>
      </c>
      <c r="M22" s="65" t="s">
        <v>30</v>
      </c>
      <c r="N22" s="65">
        <v>1.0000000000000001E-5</v>
      </c>
      <c r="O22" s="65">
        <f t="shared" si="2"/>
        <v>6.8310851744894802E-9</v>
      </c>
    </row>
    <row r="23" spans="3:21" x14ac:dyDescent="0.25">
      <c r="C23" t="s">
        <v>69</v>
      </c>
      <c r="E23" s="16">
        <f>IF(CALUCLATIONS!$F$2=400,'K data'!I38,IF(CALUCLATIONS!$F$2=350,'K data'!J38,IF(CALUCLATIONS!$F$2=300,'K data'!K38,IF(CALUCLATIONS!$F$2=270,'K data'!L38,IF(CALUCLATIONS!$F$2=250,'K data'!M38,IF(CALUCLATIONS!$F$2=200,'K data'!N38,IF(CALUCLATIONS!$F$2=100,'K data'!P38,IF(CALUCLATIONS!$F$2=150,'K data'!O38,IF(CALUCLATIONS!F18=60,'K data'!Q38,IF(CALUCLATIONS!$F$2=25,'K data'!R38,IF(CALUCLATIONS!$F$2='K data'!T36,CALUCLATIONS!IS20,FALS)))))))))))</f>
        <v>-2.1621999999999999</v>
      </c>
      <c r="F23" s="16">
        <f t="shared" si="0"/>
        <v>6.8833523325399007E-3</v>
      </c>
      <c r="H23" s="1" t="s">
        <v>26</v>
      </c>
      <c r="I23" s="65">
        <f>H</f>
        <v>9.9999999999999995E-8</v>
      </c>
      <c r="J23" s="65">
        <f t="shared" si="1"/>
        <v>9.9998547261736376E-8</v>
      </c>
      <c r="M23" s="65" t="s">
        <v>70</v>
      </c>
      <c r="N23" s="65">
        <f>SiO2_</f>
        <v>0</v>
      </c>
      <c r="O23" s="65">
        <f t="shared" si="2"/>
        <v>0</v>
      </c>
    </row>
    <row r="24" spans="3:21" x14ac:dyDescent="0.25">
      <c r="C24" t="s">
        <v>84</v>
      </c>
      <c r="E24" s="16">
        <f>IF(CALUCLATIONS!$F$2=400,'K data'!I39,IF(CALUCLATIONS!$F$2=350,'K data'!J39,IF(CALUCLATIONS!$F$2=300,'K data'!K39,IF(CALUCLATIONS!$F$2=270,'K data'!L39,IF(CALUCLATIONS!$F$2=250,'K data'!M39,IF(CALUCLATIONS!$F$2=200,'K data'!N39,IF(CALUCLATIONS!$F$2=100,'K data'!P39,IF(CALUCLATIONS!$F$2=150,'K data'!O39,IF(CALUCLATIONS!F19=60,'K data'!Q39,IF(CALUCLATIONS!$F$2=25,'K data'!R39,IF(CALUCLATIONS!$F$2='K data'!T37,CALUCLATIONS!IS21,FALS)))))))))))</f>
        <v>-1.4</v>
      </c>
      <c r="F24" s="16">
        <f t="shared" si="0"/>
        <v>3.9810717055349727E-2</v>
      </c>
      <c r="H24" s="1" t="s">
        <v>24</v>
      </c>
      <c r="I24" s="65">
        <f>Na</f>
        <v>4.784737071520815E-2</v>
      </c>
      <c r="J24" s="65">
        <f t="shared" si="1"/>
        <v>2.8064021659074023E-2</v>
      </c>
      <c r="M24" s="65" t="s">
        <v>70</v>
      </c>
      <c r="N24" s="65">
        <f>SiO2_</f>
        <v>0</v>
      </c>
      <c r="O24" s="65">
        <f t="shared" si="2"/>
        <v>0</v>
      </c>
    </row>
    <row r="25" spans="3:21" x14ac:dyDescent="0.25">
      <c r="C25" t="s">
        <v>87</v>
      </c>
      <c r="E25" s="16">
        <f>IF(CALUCLATIONS!$F$2=400,'K data'!I40,IF(CALUCLATIONS!$F$2=350,'K data'!J40,IF(CALUCLATIONS!$F$2=300,'K data'!K40,IF(CALUCLATIONS!$F$2=270,'K data'!L40,IF(CALUCLATIONS!$F$2=250,'K data'!M40,IF(CALUCLATIONS!$F$2=200,'K data'!N40,IF(CALUCLATIONS!$F$2=100,'K data'!P40,IF(CALUCLATIONS!$F$2=150,'K data'!O40,IF(CALUCLATIONS!F20=60,'K data'!Q40,IF(CALUCLATIONS!$F$2=25,'K data'!R40,IF(CALUCLATIONS!$F$2='K data'!T38,CALUCLATIONS!IS22,FALS)))))))))))</f>
        <v>1.35</v>
      </c>
      <c r="F25" s="16">
        <f t="shared" si="0"/>
        <v>22.387211385683404</v>
      </c>
      <c r="H25" s="1" t="s">
        <v>68</v>
      </c>
      <c r="I25" s="65">
        <f>Al</f>
        <v>0</v>
      </c>
      <c r="J25" s="65">
        <f t="shared" si="1"/>
        <v>0</v>
      </c>
      <c r="M25" s="65" t="s">
        <v>30</v>
      </c>
      <c r="N25" s="65">
        <v>1.0000000000000001E-5</v>
      </c>
      <c r="O25" s="65">
        <f t="shared" si="2"/>
        <v>9.9999955338603286E-6</v>
      </c>
    </row>
    <row r="26" spans="3:21" x14ac:dyDescent="0.25">
      <c r="C26" t="s">
        <v>88</v>
      </c>
      <c r="E26" s="16">
        <f>IF(CALUCLATIONS!$F$2=400,'K data'!I41,IF(CALUCLATIONS!$F$2=350,'K data'!J41,IF(CALUCLATIONS!$F$2=300,'K data'!K41,IF(CALUCLATIONS!$F$2=270,'K data'!L41,IF(CALUCLATIONS!$F$2=250,'K data'!M41,IF(CALUCLATIONS!$F$2=200,'K data'!N41,IF(CALUCLATIONS!$F$2=100,'K data'!P41,IF(CALUCLATIONS!$F$2=150,'K data'!O41,IF(CALUCLATIONS!F21=60,'K data'!Q41,IF(CALUCLATIONS!$F$2=25,'K data'!R41,IF(CALUCLATIONS!$F$2='K data'!T39,CALUCLATIONS!IS23,FALS)))))))))))</f>
        <v>-9.5825999999999993</v>
      </c>
      <c r="F26" s="16">
        <f t="shared" si="0"/>
        <v>2.6145683522105627E-10</v>
      </c>
      <c r="H26" s="1" t="s">
        <v>68</v>
      </c>
      <c r="I26" s="65">
        <f>Al</f>
        <v>0</v>
      </c>
      <c r="J26" s="65">
        <f t="shared" si="1"/>
        <v>0</v>
      </c>
      <c r="M26" s="65" t="s">
        <v>25</v>
      </c>
      <c r="N26" s="65">
        <f>SO4_</f>
        <v>0</v>
      </c>
      <c r="O26" s="65">
        <f t="shared" si="2"/>
        <v>0</v>
      </c>
    </row>
  </sheetData>
  <mergeCells count="4">
    <mergeCell ref="S7:S8"/>
    <mergeCell ref="T8:U8"/>
    <mergeCell ref="S10:S11"/>
    <mergeCell ref="T10:U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BBC88-6B03-40DB-BBED-956D218DE8CB}">
  <dimension ref="B2:AF43"/>
  <sheetViews>
    <sheetView topLeftCell="A10" workbookViewId="0">
      <selection activeCell="O13" sqref="O13"/>
    </sheetView>
  </sheetViews>
  <sheetFormatPr defaultRowHeight="15" x14ac:dyDescent="0.25"/>
  <cols>
    <col min="7" max="7" width="9.7109375" bestFit="1" customWidth="1"/>
  </cols>
  <sheetData>
    <row r="2" spans="3:32" x14ac:dyDescent="0.25">
      <c r="F2" t="s">
        <v>151</v>
      </c>
      <c r="J2" s="45" t="s">
        <v>140</v>
      </c>
    </row>
    <row r="3" spans="3:32" x14ac:dyDescent="0.25">
      <c r="F3">
        <v>1981</v>
      </c>
      <c r="I3" t="s">
        <v>125</v>
      </c>
      <c r="J3" s="45" t="s">
        <v>126</v>
      </c>
    </row>
    <row r="4" spans="3:32" ht="15.75" thickBot="1" x14ac:dyDescent="0.3">
      <c r="C4" t="s">
        <v>148</v>
      </c>
      <c r="F4" s="38" t="s">
        <v>6</v>
      </c>
      <c r="J4" t="s">
        <v>6</v>
      </c>
    </row>
    <row r="5" spans="3:32" x14ac:dyDescent="0.25">
      <c r="C5" s="1" t="s">
        <v>136</v>
      </c>
      <c r="D5" s="1" t="s">
        <v>149</v>
      </c>
      <c r="F5" s="2">
        <f>Temperature+273.15</f>
        <v>573.15</v>
      </c>
      <c r="G5" s="15">
        <f>IF(Temperature=400,G16,G6)</f>
        <v>-11.330723827486171</v>
      </c>
      <c r="I5" t="s">
        <v>128</v>
      </c>
      <c r="J5" s="22">
        <v>-10.026199999999999</v>
      </c>
      <c r="K5" s="17">
        <f>-10.0262</f>
        <v>-10.026199999999999</v>
      </c>
      <c r="N5" s="5" t="s">
        <v>138</v>
      </c>
      <c r="O5" s="6" t="s">
        <v>135</v>
      </c>
      <c r="P5" s="71"/>
      <c r="AE5" t="s">
        <v>127</v>
      </c>
      <c r="AF5" t="s">
        <v>5</v>
      </c>
    </row>
    <row r="6" spans="3:32" x14ac:dyDescent="0.25">
      <c r="C6">
        <v>0</v>
      </c>
      <c r="D6" s="23">
        <v>1.855</v>
      </c>
      <c r="G6" s="79">
        <f>((G7)+(G8/F5)+((G9)/F5^2)+((G10)/F5^3)+(G11+(G12/F5)+(G13)/F5^2)*LOG('K data'!P10))</f>
        <v>-11.330723827486171</v>
      </c>
      <c r="I6" t="s">
        <v>129</v>
      </c>
      <c r="J6" s="22">
        <f>-3.2452*10^-3</f>
        <v>-3.2452000000000002E-3</v>
      </c>
      <c r="K6" s="13">
        <f>559.9581</f>
        <v>559.95809999999994</v>
      </c>
      <c r="N6" s="7"/>
      <c r="O6" s="8" t="s">
        <v>59</v>
      </c>
      <c r="P6" s="72">
        <v>0.14394999999999999</v>
      </c>
    </row>
    <row r="7" spans="3:32" x14ac:dyDescent="0.25">
      <c r="C7" s="4">
        <v>25</v>
      </c>
      <c r="D7">
        <v>1.5993999999999999</v>
      </c>
      <c r="F7" t="s">
        <v>59</v>
      </c>
      <c r="G7" s="2">
        <v>-4.0979999999999999</v>
      </c>
      <c r="I7" t="s">
        <v>32</v>
      </c>
      <c r="J7" s="22">
        <f>2.2362*10^-5</f>
        <v>2.2362000000000004E-5</v>
      </c>
      <c r="K7" s="21">
        <f>-9.678282*10^-3</f>
        <v>-9.6782819999999999E-3</v>
      </c>
      <c r="N7" s="7"/>
      <c r="O7" s="8" t="s">
        <v>60</v>
      </c>
      <c r="P7" s="72">
        <v>1.12E-2</v>
      </c>
    </row>
    <row r="8" spans="3:32" x14ac:dyDescent="0.25">
      <c r="C8">
        <v>60</v>
      </c>
      <c r="D8">
        <v>1.2945</v>
      </c>
      <c r="F8" t="s">
        <v>60</v>
      </c>
      <c r="G8" s="2">
        <v>-3245.2</v>
      </c>
      <c r="I8" t="s">
        <v>130</v>
      </c>
      <c r="J8" s="22">
        <f>-3.984*10^-7</f>
        <v>-3.9839999999999997E-7</v>
      </c>
      <c r="K8" s="14">
        <f>5189145</f>
        <v>5189145</v>
      </c>
      <c r="N8" s="7"/>
      <c r="O8" s="8" t="s">
        <v>136</v>
      </c>
      <c r="P8" s="72">
        <v>649.72699999999998</v>
      </c>
      <c r="AC8" s="11"/>
    </row>
    <row r="9" spans="3:32" x14ac:dyDescent="0.25">
      <c r="C9">
        <v>100</v>
      </c>
      <c r="D9">
        <v>0.98560000000000003</v>
      </c>
      <c r="F9" t="s">
        <v>136</v>
      </c>
      <c r="G9" s="2">
        <f>2.2362*10^5</f>
        <v>223620.00000000003</v>
      </c>
      <c r="I9" t="s">
        <v>131</v>
      </c>
      <c r="J9" s="22">
        <f>1.3957*10^-1</f>
        <v>0.13957</v>
      </c>
      <c r="K9" s="21">
        <v>0.17605750000000001</v>
      </c>
      <c r="N9" s="7"/>
      <c r="O9" s="8" t="s">
        <v>137</v>
      </c>
      <c r="P9" s="72">
        <v>5.1069999999999997E-2</v>
      </c>
    </row>
    <row r="10" spans="3:32" ht="15.75" thickBot="1" x14ac:dyDescent="0.3">
      <c r="C10" s="4">
        <v>150</v>
      </c>
      <c r="D10">
        <v>0.63500000000000001</v>
      </c>
      <c r="F10" t="s">
        <v>137</v>
      </c>
      <c r="G10" s="2">
        <f>(-3.984)*10^7</f>
        <v>-39840000</v>
      </c>
      <c r="I10" t="s">
        <v>132</v>
      </c>
      <c r="J10" s="22">
        <f>-1.2623*10^-3</f>
        <v>-1.2623000000000001E-3</v>
      </c>
      <c r="K10" s="21">
        <f>1.805175*10^-3</f>
        <v>1.805175E-3</v>
      </c>
      <c r="N10" s="31" t="s">
        <v>139</v>
      </c>
      <c r="O10" s="73" t="s">
        <v>134</v>
      </c>
      <c r="P10" s="74">
        <f>(P6/(P7^(1+(1-((Temperature+273.15)/'K data'!P8))^'K data'!P9)))/1000</f>
        <v>0.72105453739274461</v>
      </c>
      <c r="AC10" s="11"/>
    </row>
    <row r="11" spans="3:32" x14ac:dyDescent="0.25">
      <c r="C11" s="4">
        <v>200</v>
      </c>
      <c r="D11">
        <v>0.29349999999999998</v>
      </c>
      <c r="F11" t="s">
        <v>152</v>
      </c>
      <c r="G11" s="2">
        <v>13.957000000000001</v>
      </c>
      <c r="I11" t="s">
        <v>95</v>
      </c>
      <c r="J11" s="22">
        <f>8.5641*10^-5</f>
        <v>8.5641000000000002E-5</v>
      </c>
      <c r="K11" s="21"/>
      <c r="AC11" s="11"/>
    </row>
    <row r="12" spans="3:32" x14ac:dyDescent="0.25">
      <c r="C12" s="4">
        <v>300</v>
      </c>
      <c r="D12">
        <f xml:space="preserve"> 0.000009*C12^2 - 0.0095*C12 + 1.8425</f>
        <v>-0.19750000000000001</v>
      </c>
      <c r="F12" t="s">
        <v>153</v>
      </c>
      <c r="G12" s="2">
        <v>-1262.3</v>
      </c>
      <c r="I12" t="s">
        <v>133</v>
      </c>
      <c r="J12" s="21">
        <f>(J9+(J10/Temperature)+(J11/Temperature^2))</f>
        <v>0.13956579328489999</v>
      </c>
      <c r="K12" s="21"/>
    </row>
    <row r="13" spans="3:32" x14ac:dyDescent="0.25">
      <c r="C13" s="4">
        <v>350</v>
      </c>
      <c r="D13">
        <f t="shared" ref="D13" si="0" xml:space="preserve"> 0.000009*C13^2 - 0.0095*C13 + 1.8425</f>
        <v>-0.37999999999999967</v>
      </c>
      <c r="F13" t="s">
        <v>154</v>
      </c>
      <c r="G13" s="2">
        <f>8.5641*10^5</f>
        <v>856410</v>
      </c>
    </row>
    <row r="14" spans="3:32" x14ac:dyDescent="0.25">
      <c r="C14" s="4">
        <v>400</v>
      </c>
      <c r="D14">
        <f xml:space="preserve"> 0.000009*C14^2 - 0.0095*C14 + 1.8425</f>
        <v>-0.51749999999999985</v>
      </c>
      <c r="I14" t="s">
        <v>125</v>
      </c>
      <c r="J14" s="17">
        <f>J5+(J6/(Temperature))+(J7/(Temperature)^2)+(J8/(Temperature)^3)+(J12*LOG(P10))</f>
        <v>-10.04603360991428</v>
      </c>
      <c r="K14" s="15">
        <f>K5+((K6)/(Temperature+273.15))+(K7*10^-3)*Pressure+(K8/(Temperature+273.15)^2)+((K9*Pressure)/(Temperature+273.15))+((K10)*(Pressure^2))</f>
        <v>6.7472231705696366</v>
      </c>
      <c r="L14">
        <f>K5+((K6)/(Temperature))+(K7*10^-3)*Pressure+(K8/(Temperature)^2)+((K9*Pressure)/(Temperature))+((K10)*(Pressure^2))</f>
        <v>49.497493666666671</v>
      </c>
    </row>
    <row r="15" spans="3:32" x14ac:dyDescent="0.25">
      <c r="J15" s="15">
        <f>-10.0262+(J6/Temperature)+(J7*10^-3*Pressure)+(J8/Temperature^2)+((J9*Pressure)/(Temperature^3))+((1.805175*10^-5)*(Pressure^2))</f>
        <v>-10.026210817337759</v>
      </c>
    </row>
    <row r="16" spans="3:32" x14ac:dyDescent="0.25">
      <c r="G16">
        <v>-11.56</v>
      </c>
      <c r="Z16" s="18"/>
    </row>
    <row r="17" spans="3:30" x14ac:dyDescent="0.25">
      <c r="G17">
        <v>-11.179269944941399</v>
      </c>
      <c r="J17">
        <v>-10.039689748720276</v>
      </c>
      <c r="K17">
        <v>-10.026199999999999</v>
      </c>
    </row>
    <row r="18" spans="3:30" x14ac:dyDescent="0.25">
      <c r="J18">
        <v>-9.981082041082372</v>
      </c>
    </row>
    <row r="19" spans="3:30" x14ac:dyDescent="0.25">
      <c r="V19" s="80" t="s">
        <v>159</v>
      </c>
      <c r="W19" s="80"/>
      <c r="X19" s="80"/>
      <c r="Y19" s="80"/>
      <c r="AD19">
        <v>-11.385</v>
      </c>
    </row>
    <row r="20" spans="3:30" ht="27" customHeight="1" x14ac:dyDescent="0.25">
      <c r="I20" s="2">
        <v>400</v>
      </c>
      <c r="J20" s="1">
        <v>350</v>
      </c>
      <c r="K20" s="1">
        <v>300</v>
      </c>
      <c r="L20" s="2">
        <v>270</v>
      </c>
      <c r="M20" s="1">
        <v>250</v>
      </c>
      <c r="N20" s="1">
        <v>200</v>
      </c>
      <c r="O20" s="1">
        <v>150</v>
      </c>
      <c r="P20" s="1">
        <v>100</v>
      </c>
      <c r="Q20" s="1">
        <v>60</v>
      </c>
      <c r="R20" s="1">
        <v>25</v>
      </c>
      <c r="S20" s="28" t="s">
        <v>91</v>
      </c>
      <c r="T20" s="2">
        <f>Temperature</f>
        <v>300</v>
      </c>
      <c r="U20" s="2" t="s">
        <v>4</v>
      </c>
      <c r="V20" s="100" t="s">
        <v>158</v>
      </c>
    </row>
    <row r="21" spans="3:30" x14ac:dyDescent="0.25">
      <c r="C21" s="29" t="s">
        <v>1</v>
      </c>
      <c r="D21" s="29" t="s">
        <v>0</v>
      </c>
      <c r="E21" s="29"/>
      <c r="F21" s="29"/>
      <c r="G21" s="29" t="s">
        <v>38</v>
      </c>
      <c r="I21" s="2" t="s">
        <v>2</v>
      </c>
      <c r="S21" s="1"/>
      <c r="U21" t="s">
        <v>3</v>
      </c>
      <c r="V21" s="100"/>
    </row>
    <row r="22" spans="3:30" x14ac:dyDescent="0.25">
      <c r="C22" s="28">
        <v>1</v>
      </c>
      <c r="D22" s="28" t="s">
        <v>8</v>
      </c>
      <c r="E22" s="1" t="s">
        <v>24</v>
      </c>
      <c r="F22" s="1" t="s">
        <v>25</v>
      </c>
      <c r="G22" s="1">
        <v>2</v>
      </c>
      <c r="I22" s="13">
        <v>-3.5489999999999999</v>
      </c>
      <c r="J22" s="78"/>
      <c r="K22" s="78">
        <v>-2.4540000000000002</v>
      </c>
      <c r="L22" s="78">
        <v>-1.8</v>
      </c>
      <c r="M22" s="78">
        <v>-1.4968999999999999</v>
      </c>
      <c r="N22" s="78">
        <v>-1.1805000000000001</v>
      </c>
      <c r="O22" s="78"/>
      <c r="P22" s="78">
        <v>0.97921288967573394</v>
      </c>
      <c r="Q22" s="78"/>
      <c r="R22" s="78"/>
      <c r="S22" s="78"/>
      <c r="T22" s="13">
        <f xml:space="preserve"> -0.0001*T20^2 + 0.0456*T20- 5.6236</f>
        <v>-0.94359999999999999</v>
      </c>
      <c r="U22" s="1">
        <v>4</v>
      </c>
      <c r="V22" s="80"/>
    </row>
    <row r="23" spans="3:30" x14ac:dyDescent="0.25">
      <c r="C23" s="28">
        <v>2</v>
      </c>
      <c r="D23" s="28" t="s">
        <v>9</v>
      </c>
      <c r="E23" s="1" t="s">
        <v>26</v>
      </c>
      <c r="F23" s="1" t="s">
        <v>25</v>
      </c>
      <c r="G23" s="1">
        <v>2</v>
      </c>
      <c r="I23" s="13">
        <v>-7.444</v>
      </c>
      <c r="J23" s="78"/>
      <c r="K23" s="78">
        <v>-5.7759999999999998</v>
      </c>
      <c r="L23" s="78">
        <v>-5.9</v>
      </c>
      <c r="M23" s="78">
        <v>-5.6</v>
      </c>
      <c r="N23" s="78">
        <v>-5.4134000000000002</v>
      </c>
      <c r="O23" s="78">
        <v>-4.2717000000000001</v>
      </c>
      <c r="P23" s="78">
        <v>-3.2410000000000001</v>
      </c>
      <c r="Q23" s="78">
        <v>-2.5099</v>
      </c>
      <c r="R23" s="78">
        <v>-1.9930000000000001</v>
      </c>
      <c r="S23" s="78"/>
      <c r="T23" s="13">
        <f xml:space="preserve"> 0.0002*T20^2 - 0.1084*T20 + 7.2913</f>
        <v>-7.2286999999999964</v>
      </c>
      <c r="U23" s="1">
        <v>4</v>
      </c>
      <c r="V23" s="80"/>
    </row>
    <row r="24" spans="3:30" x14ac:dyDescent="0.25">
      <c r="C24" s="28">
        <v>3</v>
      </c>
      <c r="D24" s="28" t="s">
        <v>10</v>
      </c>
      <c r="E24" s="1" t="s">
        <v>31</v>
      </c>
      <c r="F24" s="1" t="s">
        <v>25</v>
      </c>
      <c r="G24" s="1">
        <v>2</v>
      </c>
      <c r="I24" s="13">
        <v>-3.899</v>
      </c>
      <c r="J24" s="78"/>
      <c r="K24" s="78">
        <v>-2.7149999999999999</v>
      </c>
      <c r="L24" s="78">
        <v>-2.5</v>
      </c>
      <c r="M24" s="78">
        <v>-2.4430000000000001</v>
      </c>
      <c r="N24" s="78">
        <v>-1.8612</v>
      </c>
      <c r="O24" s="78">
        <v>-1.4590000000000001</v>
      </c>
      <c r="P24" s="78">
        <v>-1.1545000000000001</v>
      </c>
      <c r="Q24" s="78">
        <v>-0.96750000000000003</v>
      </c>
      <c r="R24" s="78">
        <v>-0.85250000000000004</v>
      </c>
      <c r="S24" s="78"/>
      <c r="T24" s="13">
        <f xml:space="preserve"> 0.0000000009*T20^4 - 0.0000005*T20^3 + 0.00007*T20^2 - 0.0076*T20 - 0.6941</f>
        <v>-2.8841000000000001</v>
      </c>
      <c r="U24" s="1">
        <v>4</v>
      </c>
      <c r="V24" s="81"/>
      <c r="W24" s="44"/>
    </row>
    <row r="25" spans="3:30" x14ac:dyDescent="0.25">
      <c r="C25" s="28">
        <v>4</v>
      </c>
      <c r="D25" s="28" t="s">
        <v>11</v>
      </c>
      <c r="E25" s="1" t="s">
        <v>24</v>
      </c>
      <c r="F25" s="1" t="s">
        <v>29</v>
      </c>
      <c r="G25" s="1">
        <v>2</v>
      </c>
      <c r="I25" s="78">
        <v>-2.7957000000000001</v>
      </c>
      <c r="J25" s="78">
        <f>0.997-(650.07/(J20+273.15))-(10.42-(2600.5/(J20+273.15)))*LOG('K data'!$P$10)</f>
        <v>0.84105165535188664</v>
      </c>
      <c r="K25" s="78">
        <v>-0.19750000000000001</v>
      </c>
      <c r="L25" s="78">
        <f>0.997-(650.07/(L20+273.15))-(10.42-(2600.5/(L20+273.15)))*LOG('K data'!$P$10)</f>
        <v>0.60009860799824821</v>
      </c>
      <c r="M25" s="78">
        <f>0.997-(650.07/(M20+273.15))-(10.42-(2600.5/(M20+273.15)))*LOG('K data'!$P$10)</f>
        <v>0.52834581651472523</v>
      </c>
      <c r="N25" s="78">
        <v>0.29349999999999998</v>
      </c>
      <c r="O25" s="78">
        <v>0.63500000000000001</v>
      </c>
      <c r="P25" s="78">
        <v>0.98560000000000003</v>
      </c>
      <c r="Q25" s="78">
        <v>1.2945</v>
      </c>
      <c r="R25" s="78">
        <v>1.5993999999999999</v>
      </c>
      <c r="S25" s="78">
        <f>0.997-(650.07/(Temperature+273.15))-(10.42-(2600.5/(Temperature+273.15)))*LOG('K data'!$P$10)</f>
        <v>0.69833852651330952</v>
      </c>
      <c r="T25" s="13">
        <f xml:space="preserve"> -0.000000001*T20^4 + 0.0000008*T20^3 - 0.0001*T20^2 + 0.00003*T20 + 1.6567</f>
        <v>6.1656999999999984</v>
      </c>
      <c r="U25" s="1">
        <v>4</v>
      </c>
      <c r="V25" s="81"/>
      <c r="W25" s="44" t="s">
        <v>142</v>
      </c>
    </row>
    <row r="26" spans="3:30" x14ac:dyDescent="0.25">
      <c r="C26" s="28">
        <v>5</v>
      </c>
      <c r="D26" s="28" t="s">
        <v>12</v>
      </c>
      <c r="E26" s="1" t="s">
        <v>31</v>
      </c>
      <c r="F26" s="1" t="s">
        <v>29</v>
      </c>
      <c r="G26" s="1">
        <v>2</v>
      </c>
      <c r="I26" s="13">
        <v>-1.236</v>
      </c>
      <c r="J26" s="78"/>
      <c r="K26" s="78">
        <v>1E-3</v>
      </c>
      <c r="L26" s="78">
        <v>0.30199999999999999</v>
      </c>
      <c r="M26" s="78">
        <v>0.5</v>
      </c>
      <c r="N26" s="78">
        <v>0.83389999999999997</v>
      </c>
      <c r="O26" s="78">
        <v>1.0036</v>
      </c>
      <c r="P26" s="78">
        <v>1.1997</v>
      </c>
      <c r="Q26" s="78">
        <v>1.3879999999999999</v>
      </c>
      <c r="R26" s="78">
        <v>1.5875999999999999</v>
      </c>
      <c r="S26" s="78"/>
      <c r="T26" s="78">
        <f>0.000008*T20^2 - 0.0062*T20 + 1.7328</f>
        <v>0.59279999999999999</v>
      </c>
      <c r="U26" s="1">
        <v>4</v>
      </c>
      <c r="V26" s="81"/>
      <c r="W26" s="44"/>
    </row>
    <row r="27" spans="3:30" x14ac:dyDescent="0.25">
      <c r="C27" s="28">
        <v>6</v>
      </c>
      <c r="D27" s="28" t="s">
        <v>13</v>
      </c>
      <c r="E27" s="1" t="s">
        <v>26</v>
      </c>
      <c r="F27" s="1" t="s">
        <v>29</v>
      </c>
      <c r="G27" s="1">
        <v>2</v>
      </c>
      <c r="I27" s="13">
        <v>-2.6890000000000001</v>
      </c>
      <c r="J27" s="78"/>
      <c r="K27" s="78">
        <f t="shared" ref="K27:R27" si="1">2136.898+(1.020349*(K20+273.15))-((4.5045*10^-4)*(K20+273.15)^2)-(50396.4/(K20+273.15))-(901.77*LOG(K20+273.15))</f>
        <v>-1.5146275915230945</v>
      </c>
      <c r="L27" s="78">
        <f t="shared" si="1"/>
        <v>-0.84159303571232158</v>
      </c>
      <c r="M27" s="78">
        <f t="shared" si="1"/>
        <v>-0.49642014900973663</v>
      </c>
      <c r="N27" s="78">
        <f t="shared" si="1"/>
        <v>8.7241914927744801E-2</v>
      </c>
      <c r="O27" s="78">
        <f t="shared" si="1"/>
        <v>0.41094124845903934</v>
      </c>
      <c r="P27" s="78">
        <f t="shared" si="1"/>
        <v>0.61614113030373119</v>
      </c>
      <c r="Q27" s="78">
        <f t="shared" si="1"/>
        <v>0.71900106907560257</v>
      </c>
      <c r="R27" s="78">
        <f t="shared" si="1"/>
        <v>0.67157640234245264</v>
      </c>
      <c r="S27" s="78">
        <f>2136.898+(1.020349*(Temperature+273.15))-((4.5045*10^-4)*(Temperature+273.15)^2)-(50396.4/(Temperature+273.15))-(901.77*LOG(Temperature+273.15))</f>
        <v>-1.5146275915230945</v>
      </c>
      <c r="T27" s="78">
        <f>0.00009*L20^2 - 0.0542*L20 + 7.4409</f>
        <v>-0.63210000000000033</v>
      </c>
      <c r="U27" s="1">
        <v>4</v>
      </c>
      <c r="V27" s="81"/>
      <c r="W27" s="44" t="s">
        <v>141</v>
      </c>
    </row>
    <row r="28" spans="3:30" x14ac:dyDescent="0.25">
      <c r="C28" s="28">
        <v>7</v>
      </c>
      <c r="D28" s="28" t="s">
        <v>14</v>
      </c>
      <c r="E28" s="1" t="s">
        <v>31</v>
      </c>
      <c r="F28" s="1" t="s">
        <v>30</v>
      </c>
      <c r="G28" s="1">
        <v>2</v>
      </c>
      <c r="I28" s="13">
        <v>-1.446</v>
      </c>
      <c r="J28" s="78">
        <v>1.08</v>
      </c>
      <c r="K28" s="78">
        <v>0.57999999999999996</v>
      </c>
      <c r="L28" s="78">
        <f>AVERAGE(K28,M28)</f>
        <v>0.495</v>
      </c>
      <c r="M28" s="78">
        <v>0.41</v>
      </c>
      <c r="N28" s="78">
        <v>0.4</v>
      </c>
      <c r="O28" s="78"/>
      <c r="P28" s="78">
        <v>-2.1000000000000001E-2</v>
      </c>
      <c r="Q28" s="78"/>
      <c r="R28" s="78">
        <v>14.485200000000001</v>
      </c>
      <c r="S28" s="78"/>
      <c r="T28" s="78">
        <v>-0.23</v>
      </c>
      <c r="U28" s="1">
        <v>4</v>
      </c>
      <c r="V28" s="81"/>
      <c r="W28" s="44"/>
    </row>
    <row r="29" spans="3:30" x14ac:dyDescent="0.25">
      <c r="C29" s="28">
        <v>8</v>
      </c>
      <c r="D29" s="28" t="s">
        <v>15</v>
      </c>
      <c r="E29" s="1" t="s">
        <v>24</v>
      </c>
      <c r="F29" s="1" t="s">
        <v>30</v>
      </c>
      <c r="G29" s="1">
        <v>2</v>
      </c>
      <c r="I29" s="13">
        <v>-1.1639999999999999</v>
      </c>
      <c r="J29" s="78"/>
      <c r="K29" s="78">
        <v>0.89</v>
      </c>
      <c r="L29" s="78">
        <v>-0.1</v>
      </c>
      <c r="M29" s="78">
        <f xml:space="preserve"> 0.00007*M20^2 - 0.0318*M20 + 14.917</f>
        <v>11.341999999999999</v>
      </c>
      <c r="N29" s="78">
        <v>11.4847</v>
      </c>
      <c r="O29" s="78">
        <v>11.8362</v>
      </c>
      <c r="P29" s="78">
        <v>12.467599999999999</v>
      </c>
      <c r="Q29" s="78">
        <v>13.240399999999999</v>
      </c>
      <c r="R29" s="78">
        <v>14.1891</v>
      </c>
      <c r="S29" s="78"/>
      <c r="T29" s="78">
        <f xml:space="preserve"> 0.00007*T21^2 - 0.0318*T21 + 14.917</f>
        <v>14.917</v>
      </c>
      <c r="U29" s="1">
        <v>4</v>
      </c>
      <c r="V29" s="81"/>
      <c r="W29" s="44"/>
    </row>
    <row r="30" spans="3:30" x14ac:dyDescent="0.25">
      <c r="C30" s="28">
        <v>9</v>
      </c>
      <c r="D30" s="28" t="s">
        <v>16</v>
      </c>
      <c r="E30" s="1" t="s">
        <v>27</v>
      </c>
      <c r="F30" s="1" t="s">
        <v>25</v>
      </c>
      <c r="G30" s="1">
        <v>2</v>
      </c>
      <c r="I30" s="13">
        <v>-6.173</v>
      </c>
      <c r="J30" s="78"/>
      <c r="K30" s="78">
        <v>-4.4420000000000002</v>
      </c>
      <c r="L30" s="78">
        <v>-4.636000000000001</v>
      </c>
      <c r="M30" s="78">
        <f xml:space="preserve"> -0.00002*M20^2 - 0.0035*M20 - 2.233</f>
        <v>-4.3580000000000005</v>
      </c>
      <c r="N30" s="78">
        <v>-3.5566</v>
      </c>
      <c r="O30" s="78">
        <v>-3.0907</v>
      </c>
      <c r="P30" s="78">
        <v>-2.7374999999999998</v>
      </c>
      <c r="Q30" s="78">
        <v>-2.5156000000000001</v>
      </c>
      <c r="R30" s="78">
        <v>-2.3199000000000001</v>
      </c>
      <c r="S30" s="78"/>
      <c r="T30" s="78">
        <f xml:space="preserve"> -0.00002*T21^2 - 0.0035*T21 - 2.233</f>
        <v>-2.2330000000000001</v>
      </c>
      <c r="U30" s="1">
        <v>4</v>
      </c>
      <c r="V30" s="81"/>
      <c r="W30" s="44"/>
    </row>
    <row r="31" spans="3:30" x14ac:dyDescent="0.25">
      <c r="C31" s="2">
        <v>10</v>
      </c>
      <c r="D31" s="2" t="s">
        <v>17</v>
      </c>
      <c r="E31" s="1" t="s">
        <v>28</v>
      </c>
      <c r="F31" s="1" t="s">
        <v>25</v>
      </c>
      <c r="G31" s="1">
        <v>2</v>
      </c>
      <c r="I31" s="13">
        <v>-6.0140000000000002</v>
      </c>
      <c r="J31" s="78"/>
      <c r="K31" s="78">
        <v>-4.4790000000000001</v>
      </c>
      <c r="L31" s="78">
        <v>-4.3436000000000003</v>
      </c>
      <c r="M31" s="78">
        <f xml:space="preserve"> -0.00002*M20^2 - 0.0027*M20 - 2.1566</f>
        <v>-4.0815999999999999</v>
      </c>
      <c r="N31" s="78">
        <v>-3.3363</v>
      </c>
      <c r="O31" s="78">
        <v>-2.9089</v>
      </c>
      <c r="P31" s="78">
        <v>-2.5872999999999999</v>
      </c>
      <c r="Q31" s="78">
        <v>-2.3874</v>
      </c>
      <c r="R31" s="78">
        <v>-2.2275</v>
      </c>
      <c r="S31" s="78"/>
      <c r="T31" s="78">
        <f xml:space="preserve"> -0.00002*T21^2 - 0.0027*T21 - 2.1566</f>
        <v>-2.1566000000000001</v>
      </c>
      <c r="U31" s="1">
        <v>4</v>
      </c>
      <c r="V31" s="81"/>
      <c r="W31" s="44"/>
    </row>
    <row r="32" spans="3:30" x14ac:dyDescent="0.25">
      <c r="C32" s="2">
        <v>11</v>
      </c>
      <c r="D32" s="2" t="s">
        <v>18</v>
      </c>
      <c r="E32" s="1" t="s">
        <v>28</v>
      </c>
      <c r="F32" s="1" t="s">
        <v>29</v>
      </c>
      <c r="G32" s="1">
        <v>2</v>
      </c>
      <c r="I32" s="13">
        <v>-3.18</v>
      </c>
      <c r="J32" s="78"/>
      <c r="K32" s="78">
        <v>-1.8959999999999999</v>
      </c>
      <c r="L32" s="78">
        <v>-1.6367000000000003</v>
      </c>
      <c r="M32" s="78">
        <v>-1.4523999999999999</v>
      </c>
      <c r="N32" s="78">
        <v>-0.78690000000000004</v>
      </c>
      <c r="O32" s="78">
        <v>-0.35560000000000003</v>
      </c>
      <c r="P32" s="78">
        <v>-0.1077</v>
      </c>
      <c r="Q32" s="78">
        <v>-5.28E-2</v>
      </c>
      <c r="R32" s="78">
        <v>-0.15029999999999999</v>
      </c>
      <c r="S32" s="78"/>
      <c r="T32" s="78">
        <f>-0.00004*T21^2 + 0.0057*T21 - 0.2597</f>
        <v>-0.25969999999999999</v>
      </c>
      <c r="U32" s="1">
        <v>8</v>
      </c>
      <c r="V32" s="81"/>
      <c r="W32" s="44"/>
    </row>
    <row r="33" spans="2:23" x14ac:dyDescent="0.25">
      <c r="C33" s="28">
        <v>12</v>
      </c>
      <c r="D33" s="28" t="s">
        <v>19</v>
      </c>
      <c r="E33" s="1" t="s">
        <v>27</v>
      </c>
      <c r="F33" s="1" t="s">
        <v>29</v>
      </c>
      <c r="G33" s="1">
        <v>2</v>
      </c>
      <c r="I33" s="13">
        <v>-3.6920000000000002</v>
      </c>
      <c r="J33" s="78"/>
      <c r="K33" s="78">
        <v>-2.29</v>
      </c>
      <c r="L33" s="78">
        <v>-1.6459000000000004</v>
      </c>
      <c r="M33" s="78">
        <v>-1.3560000000000001</v>
      </c>
      <c r="N33" s="78">
        <v>-0.86019999999999996</v>
      </c>
      <c r="O33" s="78">
        <v>-0.57889999999999997</v>
      </c>
      <c r="P33" s="78">
        <v>-0.46879999999999999</v>
      </c>
      <c r="Q33" s="78">
        <v>-0.51570000000000005</v>
      </c>
      <c r="R33" s="78">
        <v>-0.7</v>
      </c>
      <c r="S33" s="78"/>
      <c r="T33" s="78">
        <f>-0.00004*T21^2 + 0.0079*T21 - 0.8629</f>
        <v>-0.8629</v>
      </c>
      <c r="U33" s="1">
        <v>6</v>
      </c>
      <c r="V33" s="81"/>
      <c r="W33" s="44"/>
    </row>
    <row r="34" spans="2:23" x14ac:dyDescent="0.25">
      <c r="C34" s="28">
        <v>13</v>
      </c>
      <c r="D34" s="28" t="s">
        <v>20</v>
      </c>
      <c r="E34" s="1" t="s">
        <v>27</v>
      </c>
      <c r="F34" s="1" t="s">
        <v>80</v>
      </c>
      <c r="G34" s="1">
        <v>3</v>
      </c>
      <c r="I34" s="13">
        <v>-4.7830000000000004</v>
      </c>
      <c r="J34" s="78"/>
      <c r="K34" s="78">
        <v>2.35</v>
      </c>
      <c r="L34" s="78">
        <v>3.085</v>
      </c>
      <c r="M34" s="78">
        <v>3.2591000000000001</v>
      </c>
      <c r="N34" s="78">
        <v>3.7570000000000001</v>
      </c>
      <c r="O34" s="78">
        <v>4.0205000000000002</v>
      </c>
      <c r="P34" s="78">
        <v>4.1459999999999999</v>
      </c>
      <c r="Q34" s="78">
        <v>4.1680000000000001</v>
      </c>
      <c r="R34" s="78">
        <v>4.1128</v>
      </c>
      <c r="S34" s="78"/>
      <c r="T34" s="78">
        <f xml:space="preserve"> -0.00003*T21^2 + 0.0047*T21 + 4.003</f>
        <v>4.0030000000000001</v>
      </c>
      <c r="U34" s="1">
        <v>4</v>
      </c>
      <c r="V34" s="81"/>
      <c r="W34" s="44"/>
    </row>
    <row r="35" spans="2:23" x14ac:dyDescent="0.25">
      <c r="C35" s="2">
        <v>14</v>
      </c>
      <c r="D35" s="2" t="s">
        <v>21</v>
      </c>
      <c r="E35" s="1" t="s">
        <v>28</v>
      </c>
      <c r="F35" s="1" t="s">
        <v>30</v>
      </c>
      <c r="G35" s="1">
        <v>2</v>
      </c>
      <c r="I35" s="13">
        <v>-6.149</v>
      </c>
      <c r="J35" s="78"/>
      <c r="K35" s="78">
        <v>4.8419999999999996</v>
      </c>
      <c r="L35" s="78">
        <v>6.602999999999998</v>
      </c>
      <c r="M35" s="78">
        <v>6.5193000000000003</v>
      </c>
      <c r="N35" s="78">
        <v>7.3806000000000003</v>
      </c>
      <c r="O35" s="78">
        <v>8.3150999999999993</v>
      </c>
      <c r="P35" s="78">
        <v>9.4382999999999999</v>
      </c>
      <c r="Q35" s="78">
        <v>10.5646</v>
      </c>
      <c r="R35" s="78">
        <v>11.790800000000001</v>
      </c>
      <c r="S35" s="78"/>
      <c r="T35" s="78">
        <f xml:space="preserve"> 0.00005*T21^2 - 0.0357*T21+ 12.597</f>
        <v>12.597</v>
      </c>
      <c r="U35" s="1">
        <v>8</v>
      </c>
      <c r="V35" s="82"/>
      <c r="W35" s="41"/>
    </row>
    <row r="36" spans="2:23" x14ac:dyDescent="0.25">
      <c r="C36" s="28">
        <v>15</v>
      </c>
      <c r="D36" s="28" t="s">
        <v>22</v>
      </c>
      <c r="E36" s="1" t="s">
        <v>27</v>
      </c>
      <c r="F36" s="1" t="s">
        <v>30</v>
      </c>
      <c r="G36" s="1">
        <v>2</v>
      </c>
      <c r="I36" s="13">
        <v>-5.6349999999999998</v>
      </c>
      <c r="J36" s="78"/>
      <c r="K36" s="78">
        <v>4.3650000000000002</v>
      </c>
      <c r="L36" s="78">
        <v>7.7479999999999993</v>
      </c>
      <c r="M36" s="78">
        <v>7.8155000000000001</v>
      </c>
      <c r="N36" s="78">
        <v>8.5582999999999991</v>
      </c>
      <c r="O36" s="78">
        <v>9.3957999999999995</v>
      </c>
      <c r="P36" s="78">
        <v>10.4366</v>
      </c>
      <c r="Q36" s="78">
        <v>11.5069</v>
      </c>
      <c r="R36" s="78">
        <v>12.688700000000001</v>
      </c>
      <c r="S36" s="13"/>
      <c r="T36" s="78">
        <f xml:space="preserve"> 0.00005*T21^2 - 0.0347*T21 + 13.472</f>
        <v>13.472</v>
      </c>
      <c r="U36" s="1">
        <v>6</v>
      </c>
      <c r="V36" s="80"/>
    </row>
    <row r="37" spans="2:23" x14ac:dyDescent="0.25">
      <c r="C37" s="28">
        <v>16</v>
      </c>
      <c r="D37" s="28" t="s">
        <v>23</v>
      </c>
      <c r="E37" s="1" t="s">
        <v>26</v>
      </c>
      <c r="F37" s="1" t="s">
        <v>30</v>
      </c>
      <c r="G37" s="1">
        <v>2</v>
      </c>
      <c r="I37" s="13">
        <v>-11.356</v>
      </c>
      <c r="J37" s="78"/>
      <c r="K37" s="78">
        <f t="shared" ref="K37:T37" si="2">$G$5</f>
        <v>-11.330723827486171</v>
      </c>
      <c r="L37" s="78">
        <f t="shared" si="2"/>
        <v>-11.330723827486171</v>
      </c>
      <c r="M37" s="78">
        <f t="shared" si="2"/>
        <v>-11.330723827486171</v>
      </c>
      <c r="N37" s="78">
        <f t="shared" si="2"/>
        <v>-11.330723827486171</v>
      </c>
      <c r="O37" s="78">
        <f t="shared" si="2"/>
        <v>-11.330723827486171</v>
      </c>
      <c r="P37" s="78">
        <f t="shared" si="2"/>
        <v>-11.330723827486171</v>
      </c>
      <c r="Q37" s="78">
        <f t="shared" si="2"/>
        <v>-11.330723827486171</v>
      </c>
      <c r="R37" s="78">
        <f t="shared" si="2"/>
        <v>-11.330723827486171</v>
      </c>
      <c r="S37" s="78">
        <f t="shared" si="2"/>
        <v>-11.330723827486171</v>
      </c>
      <c r="T37" s="78">
        <f t="shared" si="2"/>
        <v>-11.330723827486171</v>
      </c>
      <c r="U37" s="1">
        <v>0</v>
      </c>
      <c r="V37" s="80"/>
    </row>
    <row r="38" spans="2:23" x14ac:dyDescent="0.25">
      <c r="C38" s="28">
        <v>17</v>
      </c>
      <c r="D38" s="38" t="s">
        <v>69</v>
      </c>
      <c r="E38" s="1" t="s">
        <v>26</v>
      </c>
      <c r="F38" s="1" t="s">
        <v>70</v>
      </c>
      <c r="G38" s="1">
        <v>2</v>
      </c>
      <c r="I38" s="13">
        <v>-1.8</v>
      </c>
      <c r="J38" s="78"/>
      <c r="K38" s="78">
        <v>-2.1621999999999999</v>
      </c>
      <c r="L38" s="78">
        <v>-2.0734046948356801</v>
      </c>
      <c r="M38" s="78">
        <v>-2.17750503679633</v>
      </c>
      <c r="N38" s="78">
        <v>-2.4762586072070198</v>
      </c>
      <c r="O38" s="78">
        <v>-2.8456144629564002</v>
      </c>
      <c r="P38" s="78">
        <v>-3.3139535307517098</v>
      </c>
      <c r="Q38" s="78">
        <v>-3.7898416929311098</v>
      </c>
      <c r="R38" s="78">
        <v>-4.3109903068925002</v>
      </c>
      <c r="S38" s="78">
        <f>(1479/(Temperature+273.15))-0.6496</f>
        <v>1.9308763151007593</v>
      </c>
      <c r="T38" s="78">
        <v>-2.0734046948356801</v>
      </c>
      <c r="U38" s="1">
        <v>4</v>
      </c>
      <c r="V38" s="83"/>
      <c r="W38" t="s">
        <v>92</v>
      </c>
    </row>
    <row r="39" spans="2:23" x14ac:dyDescent="0.25">
      <c r="C39" s="28">
        <v>18</v>
      </c>
      <c r="D39" s="4" t="s">
        <v>84</v>
      </c>
      <c r="E39" s="1" t="s">
        <v>24</v>
      </c>
      <c r="F39" s="1" t="s">
        <v>70</v>
      </c>
      <c r="G39" s="1">
        <v>2</v>
      </c>
      <c r="I39" s="13">
        <v>-1.2</v>
      </c>
      <c r="J39" s="78"/>
      <c r="K39" s="78">
        <v>-1.4</v>
      </c>
      <c r="L39" s="78">
        <v>9.8109000000000002</v>
      </c>
      <c r="M39" s="78">
        <f xml:space="preserve"> 0.00006*M20^2 - 0.013*M20 + 8.9469</f>
        <v>9.4468999999999994</v>
      </c>
      <c r="N39" s="78">
        <v>8.5649999999999995</v>
      </c>
      <c r="O39" s="78">
        <v>8.2487999999999992</v>
      </c>
      <c r="P39" s="78">
        <v>8.2042000000000002</v>
      </c>
      <c r="Q39" s="78">
        <v>8.3640000000000008</v>
      </c>
      <c r="R39" s="78">
        <v>8.6594999999999995</v>
      </c>
      <c r="S39" s="78"/>
      <c r="T39" s="78">
        <f xml:space="preserve"> 0.00006*T21^2 - 0.013*T21 + 8.9469</f>
        <v>8.9468999999999994</v>
      </c>
      <c r="U39" s="1">
        <v>4</v>
      </c>
      <c r="V39" s="83"/>
      <c r="W39" t="s">
        <v>93</v>
      </c>
    </row>
    <row r="40" spans="2:23" x14ac:dyDescent="0.25">
      <c r="C40" s="28">
        <v>19</v>
      </c>
      <c r="D40" s="1" t="s">
        <v>87</v>
      </c>
      <c r="E40" s="1" t="s">
        <v>68</v>
      </c>
      <c r="F40" s="1" t="s">
        <v>30</v>
      </c>
      <c r="G40" s="1">
        <v>2</v>
      </c>
      <c r="I40" s="13">
        <v>-1</v>
      </c>
      <c r="J40" s="78"/>
      <c r="K40" s="78">
        <v>1.35</v>
      </c>
      <c r="L40" s="78">
        <v>1.9142999999999999</v>
      </c>
      <c r="M40" s="78">
        <v>1.6879999999999999</v>
      </c>
      <c r="N40" s="78">
        <v>2.2189999999999999</v>
      </c>
      <c r="O40" s="78">
        <v>2.5939999999999999</v>
      </c>
      <c r="P40" s="78">
        <v>3.5</v>
      </c>
      <c r="Q40" s="78">
        <v>4.0972999999999997</v>
      </c>
      <c r="R40" s="78">
        <v>4.9344999999999999</v>
      </c>
      <c r="S40" s="78"/>
      <c r="T40" s="78">
        <f xml:space="preserve"> 0.00004*T21^2 - 0.024*T21 + 5.4783</f>
        <v>5.4782999999999999</v>
      </c>
      <c r="U40" s="1">
        <v>5</v>
      </c>
      <c r="V40" s="80"/>
    </row>
    <row r="41" spans="2:23" x14ac:dyDescent="0.25">
      <c r="C41" s="28">
        <v>20</v>
      </c>
      <c r="D41" s="1" t="s">
        <v>88</v>
      </c>
      <c r="E41" s="1" t="s">
        <v>68</v>
      </c>
      <c r="F41" s="1" t="s">
        <v>25</v>
      </c>
      <c r="G41" s="1">
        <v>2</v>
      </c>
      <c r="I41" s="78">
        <v>-1</v>
      </c>
      <c r="J41" s="78"/>
      <c r="K41" s="78">
        <v>-9.5825999999999993</v>
      </c>
      <c r="L41" s="78">
        <v>-8.1908000000000012</v>
      </c>
      <c r="M41" s="78">
        <v>-7.2760999999999996</v>
      </c>
      <c r="N41" s="78">
        <v>-5.7855999999999996</v>
      </c>
      <c r="O41" s="78">
        <v>-4.6773999999999996</v>
      </c>
      <c r="P41" s="78">
        <v>-3.8191999999999999</v>
      </c>
      <c r="Q41" s="78">
        <v>-3.302</v>
      </c>
      <c r="R41" s="78">
        <v>-3.0095999999999998</v>
      </c>
      <c r="S41" s="78"/>
      <c r="T41" s="78">
        <f xml:space="preserve"> -0.00006*T21^2 - 0.0034*T21 - 2.8988</f>
        <v>-2.8988</v>
      </c>
      <c r="U41" s="1">
        <v>4</v>
      </c>
      <c r="V41" s="80"/>
    </row>
    <row r="42" spans="2:23" x14ac:dyDescent="0.25">
      <c r="C42" s="28">
        <v>21</v>
      </c>
      <c r="D42" s="38"/>
      <c r="E42" s="1"/>
      <c r="F42" s="1"/>
    </row>
    <row r="43" spans="2:23" x14ac:dyDescent="0.25">
      <c r="B43" t="s">
        <v>155</v>
      </c>
      <c r="C43" s="28">
        <v>22</v>
      </c>
      <c r="D43" t="s">
        <v>6</v>
      </c>
      <c r="J43">
        <v>11.92</v>
      </c>
      <c r="K43" s="16">
        <v>11.34</v>
      </c>
      <c r="L43" s="16"/>
      <c r="M43" s="16">
        <v>11.2</v>
      </c>
      <c r="N43" s="16">
        <v>11.31</v>
      </c>
      <c r="O43" s="16">
        <v>11.64</v>
      </c>
      <c r="P43" s="16">
        <v>12.25</v>
      </c>
    </row>
  </sheetData>
  <mergeCells count="1">
    <mergeCell ref="V20:V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20</vt:i4>
      </vt:variant>
    </vt:vector>
  </HeadingPairs>
  <TitlesOfParts>
    <vt:vector size="24" baseType="lpstr">
      <vt:lpstr>CALUCLATIONS</vt:lpstr>
      <vt:lpstr>extras</vt:lpstr>
      <vt:lpstr>initial</vt:lpstr>
      <vt:lpstr>K data</vt:lpstr>
      <vt:lpstr>A</vt:lpstr>
      <vt:lpstr>Al</vt:lpstr>
      <vt:lpstr>B</vt:lpstr>
      <vt:lpstr>Bdot</vt:lpstr>
      <vt:lpstr>Ca</vt:lpstr>
      <vt:lpstr>Cl</vt:lpstr>
      <vt:lpstr>Cl_</vt:lpstr>
      <vt:lpstr>Cl_C</vt:lpstr>
      <vt:lpstr>Fe</vt:lpstr>
      <vt:lpstr>H</vt:lpstr>
      <vt:lpstr>I</vt:lpstr>
      <vt:lpstr>K</vt:lpstr>
      <vt:lpstr>Mg</vt:lpstr>
      <vt:lpstr>Na</vt:lpstr>
      <vt:lpstr>NaCl</vt:lpstr>
      <vt:lpstr>Pressure</vt:lpstr>
      <vt:lpstr>SiO2_</vt:lpstr>
      <vt:lpstr>SO4_</vt:lpstr>
      <vt:lpstr>SO4_C</vt:lpstr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Lucjan Sajkowski</dc:creator>
  <cp:lastModifiedBy>Lucjan Sajkowski</cp:lastModifiedBy>
  <dcterms:created xsi:type="dcterms:W3CDTF">2019-07-11T21:01:17Z</dcterms:created>
  <dcterms:modified xsi:type="dcterms:W3CDTF">2020-01-29T01:55:34Z</dcterms:modified>
</cp:coreProperties>
</file>